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harts/chart13.xml" ContentType="application/vnd.openxmlformats-officedocument.drawingml.chart+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comments10.xml" ContentType="application/vnd.openxmlformats-officedocument.spreadsheetml.comments+xml"/>
  <Override PartName="/xl/drawings/drawing12.xml" ContentType="application/vnd.openxmlformats-officedocument.drawing+xml"/>
  <Override PartName="/xl/comments11.xml" ContentType="application/vnd.openxmlformats-officedocument.spreadsheetml.comments+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harts/chart14.xml" ContentType="application/vnd.openxmlformats-officedocument.drawingml.chart+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DieseArbeitsmappe"/>
  <mc:AlternateContent xmlns:mc="http://schemas.openxmlformats.org/markup-compatibility/2006">
    <mc:Choice Requires="x15">
      <x15ac:absPath xmlns:x15ac="http://schemas.microsoft.com/office/spreadsheetml/2010/11/ac" url="O:\Data-Work\22_Plant_Production-CH\226.14_Ökonomie\01_Projekte\011_CH_Projekte\Arbokost\Endversionen_Internet\Arbokost_Internet_2023\Versionen_2023_ff\Französisch\"/>
    </mc:Choice>
  </mc:AlternateContent>
  <bookViews>
    <workbookView xWindow="0" yWindow="0" windowWidth="16460" windowHeight="5550" tabRatio="937"/>
  </bookViews>
  <sheets>
    <sheet name="Page variable" sheetId="22715" r:id="rId1"/>
    <sheet name="Notizen" sheetId="22743" state="hidden" r:id="rId2"/>
    <sheet name="Variante données" sheetId="22744" r:id="rId3"/>
    <sheet name="Variante grêle" sheetId="22752" r:id="rId4"/>
    <sheet name="Variante irrigation" sheetId="22753" r:id="rId5"/>
    <sheet name="Variante plantation" sheetId="22745" r:id="rId6"/>
    <sheet name="Variante années de végétation" sheetId="22746" r:id="rId7"/>
    <sheet name="Variante pleine production" sheetId="22747" r:id="rId8"/>
    <sheet name="Variante Cashflow" sheetId="22748" r:id="rId9"/>
    <sheet name="Données normes" sheetId="1" r:id="rId10"/>
    <sheet name="Normes grêle" sheetId="22749" r:id="rId11"/>
    <sheet name="Normes Irrigation" sheetId="22750" r:id="rId12"/>
    <sheet name="Normes plantation" sheetId="2" r:id="rId13"/>
    <sheet name="Normes années de végétation" sheetId="3" r:id="rId14"/>
    <sheet name="Normes pleine production" sheetId="4" r:id="rId15"/>
    <sheet name="Normes cashflow" sheetId="22714" r:id="rId16"/>
  </sheets>
  <externalReferences>
    <externalReference r:id="rId17"/>
  </externalReferences>
  <definedNames>
    <definedName name="_xlnm.Print_Area" localSheetId="13">'Normes années de végétation'!$O$22:$T$58</definedName>
    <definedName name="_xlnm.Print_Area" localSheetId="15">'Normes cashflow'!$A$4:$J$45</definedName>
    <definedName name="_xlnm.Print_Area" localSheetId="14">'Normes pleine production'!$A$1:$G$189</definedName>
    <definedName name="_xlnm.Print_Area" localSheetId="0">'Page variable'!$A$1:$J$343</definedName>
    <definedName name="_xlnm.Print_Area" localSheetId="8">'Variante Cashflow'!$A$4:$J$45</definedName>
    <definedName name="_xlnm.Print_Area" localSheetId="7">'Variante pleine production'!$A$1:$G$189</definedName>
  </definedNames>
  <calcPr calcId="162913"/>
</workbook>
</file>

<file path=xl/calcChain.xml><?xml version="1.0" encoding="utf-8"?>
<calcChain xmlns="http://schemas.openxmlformats.org/spreadsheetml/2006/main">
  <c r="F88" i="22747" l="1"/>
  <c r="D88" i="22747"/>
  <c r="E88" i="22747"/>
  <c r="D61" i="22715"/>
  <c r="B61" i="22715"/>
  <c r="D67" i="4" l="1"/>
  <c r="C48" i="4"/>
  <c r="C47" i="4"/>
  <c r="CX63" i="3"/>
  <c r="CQ63" i="3"/>
  <c r="CJ63" i="3"/>
  <c r="CC63" i="3"/>
  <c r="BV63" i="3"/>
  <c r="BO63" i="3"/>
  <c r="BH63" i="3"/>
  <c r="BA63" i="3"/>
  <c r="AT63" i="3"/>
  <c r="AM63" i="3"/>
  <c r="AF63" i="3"/>
  <c r="Y63" i="3"/>
  <c r="R63" i="3"/>
  <c r="CW45" i="3"/>
  <c r="CW44" i="3"/>
  <c r="CP45" i="3"/>
  <c r="CP44" i="3"/>
  <c r="CI45" i="3"/>
  <c r="CI44" i="3"/>
  <c r="CB45" i="3"/>
  <c r="CB44" i="3"/>
  <c r="BU45" i="3"/>
  <c r="BU44" i="3"/>
  <c r="BN45" i="3"/>
  <c r="BN44" i="3"/>
  <c r="BG45" i="3"/>
  <c r="BG44" i="3"/>
  <c r="AZ45" i="3"/>
  <c r="AZ44" i="3"/>
  <c r="AS45" i="3"/>
  <c r="AS44" i="3"/>
  <c r="AL45" i="3"/>
  <c r="AL44" i="3"/>
  <c r="AE45" i="3"/>
  <c r="AE44" i="3"/>
  <c r="X45" i="3"/>
  <c r="X44" i="3"/>
  <c r="Q45" i="3"/>
  <c r="Q44" i="3"/>
  <c r="J45" i="3"/>
  <c r="J44" i="3"/>
  <c r="C45" i="3"/>
  <c r="C44" i="3"/>
  <c r="F27" i="4"/>
  <c r="F26" i="4"/>
  <c r="A26" i="4"/>
  <c r="F25" i="4"/>
  <c r="A25" i="4"/>
  <c r="F24" i="4"/>
  <c r="A24" i="4"/>
  <c r="F23" i="4"/>
  <c r="A23" i="4"/>
  <c r="F22" i="4"/>
  <c r="A22" i="4"/>
  <c r="F21" i="4"/>
  <c r="A21" i="4"/>
  <c r="CZ29" i="3"/>
  <c r="CZ28" i="3"/>
  <c r="CU28" i="3"/>
  <c r="CZ27" i="3"/>
  <c r="CU27" i="3"/>
  <c r="CZ26" i="3"/>
  <c r="CU26" i="3"/>
  <c r="CZ25" i="3"/>
  <c r="CU25" i="3"/>
  <c r="CZ24" i="3"/>
  <c r="CU24" i="3"/>
  <c r="CZ23" i="3"/>
  <c r="CU23" i="3"/>
  <c r="CS28" i="3"/>
  <c r="CN28" i="3"/>
  <c r="CS27" i="3"/>
  <c r="CN27" i="3"/>
  <c r="CS26" i="3"/>
  <c r="CN26" i="3"/>
  <c r="CS25" i="3"/>
  <c r="CN25" i="3"/>
  <c r="CS24" i="3"/>
  <c r="CN24" i="3"/>
  <c r="CS23" i="3"/>
  <c r="CS29" i="3" s="1"/>
  <c r="CN23" i="3"/>
  <c r="CL28" i="3"/>
  <c r="CG28" i="3"/>
  <c r="CL27" i="3"/>
  <c r="CG27" i="3"/>
  <c r="CL26" i="3"/>
  <c r="CG26" i="3"/>
  <c r="CL25" i="3"/>
  <c r="CG25" i="3"/>
  <c r="CL24" i="3"/>
  <c r="CG24" i="3"/>
  <c r="CL23" i="3"/>
  <c r="CL29" i="3" s="1"/>
  <c r="CG23" i="3"/>
  <c r="CE28" i="3"/>
  <c r="BZ28" i="3"/>
  <c r="CE27" i="3"/>
  <c r="BZ27" i="3"/>
  <c r="CE26" i="3"/>
  <c r="BZ26" i="3"/>
  <c r="CE25" i="3"/>
  <c r="BZ25" i="3"/>
  <c r="CE24" i="3"/>
  <c r="BZ24" i="3"/>
  <c r="CE23" i="3"/>
  <c r="CE29" i="3" s="1"/>
  <c r="BZ23" i="3"/>
  <c r="BX28" i="3"/>
  <c r="BS28" i="3"/>
  <c r="BX27" i="3"/>
  <c r="BS27" i="3"/>
  <c r="BX26" i="3"/>
  <c r="BS26" i="3"/>
  <c r="BX25" i="3"/>
  <c r="BS25" i="3"/>
  <c r="BX24" i="3"/>
  <c r="BS24" i="3"/>
  <c r="BX23" i="3"/>
  <c r="BX29" i="3" s="1"/>
  <c r="BS23" i="3"/>
  <c r="BQ28" i="3"/>
  <c r="BL28" i="3"/>
  <c r="BQ27" i="3"/>
  <c r="BL27" i="3"/>
  <c r="BQ26" i="3"/>
  <c r="BL26" i="3"/>
  <c r="BQ25" i="3"/>
  <c r="BL25" i="3"/>
  <c r="BQ24" i="3"/>
  <c r="BL24" i="3"/>
  <c r="BQ23" i="3"/>
  <c r="BQ29" i="3" s="1"/>
  <c r="BL23" i="3"/>
  <c r="BJ28" i="3"/>
  <c r="BE28" i="3"/>
  <c r="BJ27" i="3"/>
  <c r="BE27" i="3"/>
  <c r="BJ26" i="3"/>
  <c r="BE26" i="3"/>
  <c r="BJ25" i="3"/>
  <c r="BE25" i="3"/>
  <c r="BJ24" i="3"/>
  <c r="BE24" i="3"/>
  <c r="BJ23" i="3"/>
  <c r="BJ29" i="3" s="1"/>
  <c r="BE23" i="3"/>
  <c r="BC28" i="3"/>
  <c r="AX28" i="3"/>
  <c r="BC27" i="3"/>
  <c r="AX27" i="3"/>
  <c r="BC26" i="3"/>
  <c r="AX26" i="3"/>
  <c r="BC25" i="3"/>
  <c r="AX25" i="3"/>
  <c r="BC24" i="3"/>
  <c r="AX24" i="3"/>
  <c r="BC23" i="3"/>
  <c r="BC29" i="3" s="1"/>
  <c r="AX23" i="3"/>
  <c r="AV28" i="3"/>
  <c r="AQ28" i="3"/>
  <c r="AV27" i="3"/>
  <c r="AQ27" i="3"/>
  <c r="AV26" i="3"/>
  <c r="AQ26" i="3"/>
  <c r="AV25" i="3"/>
  <c r="AQ25" i="3"/>
  <c r="AV24" i="3"/>
  <c r="AQ24" i="3"/>
  <c r="AV23" i="3"/>
  <c r="AV29" i="3" s="1"/>
  <c r="AQ23" i="3"/>
  <c r="AO28" i="3"/>
  <c r="AJ28" i="3"/>
  <c r="AO27" i="3"/>
  <c r="AJ27" i="3"/>
  <c r="AO26" i="3"/>
  <c r="AJ26" i="3"/>
  <c r="AO25" i="3"/>
  <c r="AJ25" i="3"/>
  <c r="AO24" i="3"/>
  <c r="AJ24" i="3"/>
  <c r="AO23" i="3"/>
  <c r="AO29" i="3" s="1"/>
  <c r="AJ23" i="3"/>
  <c r="AH28" i="3"/>
  <c r="AC28" i="3"/>
  <c r="AH27" i="3"/>
  <c r="AC27" i="3"/>
  <c r="AH26" i="3"/>
  <c r="AC26" i="3"/>
  <c r="AH25" i="3"/>
  <c r="AC25" i="3"/>
  <c r="AH24" i="3"/>
  <c r="AC24" i="3"/>
  <c r="AH23" i="3"/>
  <c r="AH29" i="3" s="1"/>
  <c r="AC23" i="3"/>
  <c r="AA28" i="3"/>
  <c r="V28" i="3"/>
  <c r="AA27" i="3"/>
  <c r="V27" i="3"/>
  <c r="AA26" i="3"/>
  <c r="V26" i="3"/>
  <c r="AA25" i="3"/>
  <c r="V25" i="3"/>
  <c r="AA24" i="3"/>
  <c r="V24" i="3"/>
  <c r="AA23" i="3"/>
  <c r="AA29" i="3" s="1"/>
  <c r="V23" i="3"/>
  <c r="T28" i="3"/>
  <c r="T27" i="3"/>
  <c r="T26" i="3"/>
  <c r="T25" i="3"/>
  <c r="T24" i="3"/>
  <c r="T23" i="3"/>
  <c r="T29" i="3"/>
  <c r="O28" i="3"/>
  <c r="O27" i="3"/>
  <c r="O26" i="3"/>
  <c r="O25" i="3"/>
  <c r="O24" i="3"/>
  <c r="O23" i="3"/>
  <c r="M29" i="3"/>
  <c r="M28" i="3"/>
  <c r="M27" i="3"/>
  <c r="M26" i="3"/>
  <c r="M25" i="3"/>
  <c r="M24" i="3"/>
  <c r="M23" i="3"/>
  <c r="H28" i="3"/>
  <c r="H27" i="3"/>
  <c r="H26" i="3"/>
  <c r="H25" i="3"/>
  <c r="H24" i="3"/>
  <c r="H23" i="3"/>
  <c r="A28" i="3"/>
  <c r="A27" i="3"/>
  <c r="A26" i="3"/>
  <c r="A25" i="3"/>
  <c r="A24" i="3"/>
  <c r="A23" i="3"/>
  <c r="F24" i="3"/>
  <c r="F25" i="3"/>
  <c r="F29" i="3" s="1"/>
  <c r="F26" i="3"/>
  <c r="F27" i="3"/>
  <c r="F28" i="3"/>
  <c r="F23" i="3"/>
  <c r="C48" i="22747"/>
  <c r="C47" i="22747"/>
  <c r="C49" i="22747"/>
  <c r="CW45" i="22746"/>
  <c r="CW44" i="22746"/>
  <c r="CP45" i="22746"/>
  <c r="CP44" i="22746"/>
  <c r="CI45" i="22746"/>
  <c r="CI44" i="22746"/>
  <c r="CB45" i="22746"/>
  <c r="CB44" i="22746"/>
  <c r="BU45" i="22746"/>
  <c r="BU44" i="22746"/>
  <c r="BN45" i="22746"/>
  <c r="BN44" i="22746"/>
  <c r="BG45" i="22746"/>
  <c r="BG44" i="22746"/>
  <c r="AZ45" i="22746"/>
  <c r="AZ44" i="22746"/>
  <c r="AS45" i="22746"/>
  <c r="AS44" i="22746"/>
  <c r="AL45" i="22746"/>
  <c r="AL44" i="22746"/>
  <c r="AE45" i="22746"/>
  <c r="AE44" i="22746"/>
  <c r="X45" i="22746"/>
  <c r="X44" i="22746"/>
  <c r="Q45" i="22746"/>
  <c r="Q44" i="22746"/>
  <c r="J45" i="22746"/>
  <c r="J44" i="22746"/>
  <c r="C45" i="22746"/>
  <c r="C44" i="22746"/>
  <c r="CU28" i="22746" l="1"/>
  <c r="CU27" i="22746"/>
  <c r="CU26" i="22746"/>
  <c r="CU25" i="22746"/>
  <c r="CU24" i="22746"/>
  <c r="CU23" i="22746"/>
  <c r="CN28" i="22746"/>
  <c r="CN27" i="22746"/>
  <c r="CN26" i="22746"/>
  <c r="CN25" i="22746"/>
  <c r="CN24" i="22746"/>
  <c r="CN23" i="22746"/>
  <c r="CG28" i="22746"/>
  <c r="CG27" i="22746"/>
  <c r="CG26" i="22746"/>
  <c r="CG25" i="22746"/>
  <c r="CG24" i="22746"/>
  <c r="CG23" i="22746"/>
  <c r="BZ28" i="22746"/>
  <c r="BZ27" i="22746"/>
  <c r="BZ26" i="22746"/>
  <c r="BZ25" i="22746"/>
  <c r="BZ24" i="22746"/>
  <c r="BZ23" i="22746"/>
  <c r="BS28" i="22746"/>
  <c r="BS27" i="22746"/>
  <c r="BS26" i="22746"/>
  <c r="BS25" i="22746"/>
  <c r="BS24" i="22746"/>
  <c r="BS23" i="22746"/>
  <c r="BL28" i="22746"/>
  <c r="BL27" i="22746"/>
  <c r="BL26" i="22746"/>
  <c r="BL25" i="22746"/>
  <c r="BL24" i="22746"/>
  <c r="BL23" i="22746"/>
  <c r="BE28" i="22746"/>
  <c r="BE27" i="22746"/>
  <c r="BE26" i="22746"/>
  <c r="BE25" i="22746"/>
  <c r="BE24" i="22746"/>
  <c r="BE23" i="22746"/>
  <c r="AX28" i="22746"/>
  <c r="AX27" i="22746"/>
  <c r="AX26" i="22746"/>
  <c r="AX25" i="22746"/>
  <c r="AX24" i="22746"/>
  <c r="AX23" i="22746"/>
  <c r="AQ28" i="22746"/>
  <c r="AQ27" i="22746"/>
  <c r="AQ26" i="22746"/>
  <c r="AQ25" i="22746"/>
  <c r="AQ24" i="22746"/>
  <c r="AQ23" i="22746"/>
  <c r="AJ28" i="22746"/>
  <c r="AJ27" i="22746"/>
  <c r="AJ26" i="22746"/>
  <c r="AJ25" i="22746"/>
  <c r="AJ24" i="22746"/>
  <c r="AJ23" i="22746"/>
  <c r="AC28" i="22746"/>
  <c r="AC27" i="22746"/>
  <c r="AC26" i="22746"/>
  <c r="AC25" i="22746"/>
  <c r="AC24" i="22746"/>
  <c r="AC23" i="22746"/>
  <c r="O28" i="22746"/>
  <c r="O27" i="22746"/>
  <c r="O26" i="22746"/>
  <c r="O25" i="22746"/>
  <c r="O24" i="22746"/>
  <c r="O23" i="22746"/>
  <c r="H28" i="22746"/>
  <c r="H27" i="22746"/>
  <c r="H26" i="22746"/>
  <c r="H25" i="22746"/>
  <c r="H24" i="22746"/>
  <c r="H23" i="22746"/>
  <c r="A28" i="22746"/>
  <c r="A27" i="22746"/>
  <c r="A26" i="22746"/>
  <c r="A25" i="22746"/>
  <c r="A24" i="22746"/>
  <c r="A23" i="22746"/>
  <c r="F22" i="22747" l="1"/>
  <c r="F23" i="22747"/>
  <c r="F24" i="22747"/>
  <c r="F25" i="22747"/>
  <c r="F26" i="22747"/>
  <c r="F21" i="22747"/>
  <c r="A22" i="22747"/>
  <c r="A23" i="22747"/>
  <c r="A24" i="22747"/>
  <c r="A25" i="22747"/>
  <c r="A26" i="22747"/>
  <c r="A21" i="22747"/>
  <c r="V28" i="22746"/>
  <c r="V27" i="22746"/>
  <c r="V26" i="22746"/>
  <c r="V25" i="22746"/>
  <c r="V24" i="22746"/>
  <c r="V23" i="22746"/>
  <c r="F27" i="22747" l="1"/>
  <c r="G146" i="1"/>
  <c r="G145" i="1"/>
  <c r="G144" i="1"/>
  <c r="G16" i="22750" l="1"/>
  <c r="G15" i="22750"/>
  <c r="G14" i="22750"/>
  <c r="G13" i="22750"/>
  <c r="H12" i="22750"/>
  <c r="H11" i="22750"/>
  <c r="H10" i="22750"/>
  <c r="H9" i="22750"/>
  <c r="C6" i="22750"/>
  <c r="A6" i="22750"/>
  <c r="G17" i="22753"/>
  <c r="F16" i="22753"/>
  <c r="F15" i="22753"/>
  <c r="F14" i="22753"/>
  <c r="F13" i="22753"/>
  <c r="G12" i="22753"/>
  <c r="G11" i="22753"/>
  <c r="G10" i="22753"/>
  <c r="G9" i="22753"/>
  <c r="C5" i="22753"/>
  <c r="A5" i="22753"/>
  <c r="D30" i="22749"/>
  <c r="D29" i="22749"/>
  <c r="D28" i="22749"/>
  <c r="D27" i="22749"/>
  <c r="D26" i="22749"/>
  <c r="D23" i="22749"/>
  <c r="D22" i="22749"/>
  <c r="D21" i="22749"/>
  <c r="D20" i="22749"/>
  <c r="D19" i="22749"/>
  <c r="D18" i="22749"/>
  <c r="D17" i="22749"/>
  <c r="D16" i="22749"/>
  <c r="D15" i="22749"/>
  <c r="D14" i="22749"/>
  <c r="D12" i="22749"/>
  <c r="D11" i="22749"/>
  <c r="D10" i="22749"/>
  <c r="D9" i="22749"/>
  <c r="D32" i="22752"/>
  <c r="D31" i="22752"/>
  <c r="D30" i="22752"/>
  <c r="D29" i="22752"/>
  <c r="D28" i="22752"/>
  <c r="D25" i="22752"/>
  <c r="D24" i="22752"/>
  <c r="D23" i="22752"/>
  <c r="D22" i="22752"/>
  <c r="D21" i="22752"/>
  <c r="D20" i="22752"/>
  <c r="D19" i="22752"/>
  <c r="D18" i="22752"/>
  <c r="D17" i="22752"/>
  <c r="D16" i="22752"/>
  <c r="D14" i="22752"/>
  <c r="D13" i="22752"/>
  <c r="D12" i="22752"/>
  <c r="D11" i="22752"/>
  <c r="B24" i="22744"/>
  <c r="A2" i="22752" l="1"/>
  <c r="A1" i="1"/>
  <c r="A1" i="22749" s="1"/>
  <c r="A1" i="22750" s="1"/>
  <c r="A1" i="2" s="1"/>
  <c r="A1" i="4" s="1"/>
  <c r="A1" i="22714" s="1"/>
  <c r="A1" i="22753"/>
  <c r="A1" i="22752"/>
  <c r="A1" i="22744"/>
  <c r="A1" i="22746" s="1"/>
  <c r="T72" i="3"/>
  <c r="R73" i="3"/>
  <c r="M72" i="3"/>
  <c r="K73" i="3"/>
  <c r="D44" i="3"/>
  <c r="D45" i="3"/>
  <c r="C18" i="3"/>
  <c r="C19" i="3"/>
  <c r="D46" i="3"/>
  <c r="G9" i="3"/>
  <c r="D12" i="3"/>
  <c r="G10" i="3"/>
  <c r="C47" i="3"/>
  <c r="C50" i="3"/>
  <c r="D50" i="3"/>
  <c r="D51" i="3"/>
  <c r="C48" i="3"/>
  <c r="C49" i="3"/>
  <c r="F56" i="3"/>
  <c r="D61" i="3"/>
  <c r="D63" i="3"/>
  <c r="E68" i="3"/>
  <c r="D69" i="3"/>
  <c r="E69" i="3"/>
  <c r="F72" i="3"/>
  <c r="D73" i="3"/>
  <c r="C73" i="3"/>
  <c r="F33" i="3"/>
  <c r="E34" i="3"/>
  <c r="E35" i="3"/>
  <c r="E36" i="3"/>
  <c r="E37" i="3"/>
  <c r="B30" i="3"/>
  <c r="C30" i="3"/>
  <c r="E30" i="3"/>
  <c r="D18" i="3"/>
  <c r="E18" i="3"/>
  <c r="D19" i="3"/>
  <c r="E19" i="3"/>
  <c r="E9" i="3"/>
  <c r="E10" i="3"/>
  <c r="E11" i="3"/>
  <c r="F14" i="3"/>
  <c r="J73" i="3"/>
  <c r="K12" i="3"/>
  <c r="L68" i="3"/>
  <c r="K69" i="3"/>
  <c r="L69" i="3"/>
  <c r="K44" i="3"/>
  <c r="K45" i="3"/>
  <c r="J18" i="3"/>
  <c r="J20" i="3" s="1"/>
  <c r="J46" i="3" s="1"/>
  <c r="J19" i="3"/>
  <c r="K46" i="3"/>
  <c r="J47" i="3"/>
  <c r="J50" i="3"/>
  <c r="K50" i="3"/>
  <c r="K51" i="3"/>
  <c r="J48" i="3"/>
  <c r="J49" i="3"/>
  <c r="M56" i="3"/>
  <c r="K61" i="3"/>
  <c r="K63" i="3"/>
  <c r="M33" i="3"/>
  <c r="L34" i="3"/>
  <c r="L35" i="3"/>
  <c r="L36" i="3"/>
  <c r="L37" i="3"/>
  <c r="I30" i="3"/>
  <c r="J30" i="3"/>
  <c r="K18" i="3"/>
  <c r="L18" i="3"/>
  <c r="K19" i="3"/>
  <c r="L19" i="3"/>
  <c r="M14" i="3"/>
  <c r="Q73" i="3"/>
  <c r="R12" i="3"/>
  <c r="S68" i="3"/>
  <c r="R69" i="3"/>
  <c r="S69" i="3"/>
  <c r="R44" i="3"/>
  <c r="R45" i="3"/>
  <c r="Q18" i="3"/>
  <c r="Q19" i="3"/>
  <c r="R46" i="3"/>
  <c r="Q47" i="3"/>
  <c r="Q50" i="3"/>
  <c r="R50" i="3"/>
  <c r="R51" i="3"/>
  <c r="Q48" i="3"/>
  <c r="Q49" i="3"/>
  <c r="T56" i="3"/>
  <c r="R61" i="3"/>
  <c r="T33" i="3"/>
  <c r="S34" i="3"/>
  <c r="S35" i="3"/>
  <c r="S36" i="3"/>
  <c r="S37" i="3"/>
  <c r="P30" i="3"/>
  <c r="Q30" i="3"/>
  <c r="R18" i="3"/>
  <c r="S18" i="3"/>
  <c r="R19" i="3"/>
  <c r="T19" i="3" s="1"/>
  <c r="S19" i="3"/>
  <c r="T14" i="3"/>
  <c r="D47" i="4"/>
  <c r="D48" i="4"/>
  <c r="C18" i="4"/>
  <c r="C19" i="4" s="1"/>
  <c r="C49" i="4" s="1"/>
  <c r="D49" i="4"/>
  <c r="C50" i="4"/>
  <c r="C53" i="4"/>
  <c r="D53" i="4"/>
  <c r="D54" i="4"/>
  <c r="C54" i="4"/>
  <c r="C51" i="4"/>
  <c r="C52" i="4"/>
  <c r="F59" i="4"/>
  <c r="C91" i="22745"/>
  <c r="C92" i="22745"/>
  <c r="C93" i="22745"/>
  <c r="F133" i="22753"/>
  <c r="D17" i="4"/>
  <c r="E17" i="4"/>
  <c r="D18" i="4"/>
  <c r="E18" i="4"/>
  <c r="I25" i="22753"/>
  <c r="D25" i="22753" s="1"/>
  <c r="E82" i="22753" s="1"/>
  <c r="T72" i="22746"/>
  <c r="M72" i="22746"/>
  <c r="D44" i="22746"/>
  <c r="D45" i="22746"/>
  <c r="C18" i="22746"/>
  <c r="C19" i="22746"/>
  <c r="D46" i="22746"/>
  <c r="C47" i="22746"/>
  <c r="C50" i="22746"/>
  <c r="D50" i="22746"/>
  <c r="D51" i="22746"/>
  <c r="C48" i="22746"/>
  <c r="C49" i="22746"/>
  <c r="D61" i="22746"/>
  <c r="D63" i="22746"/>
  <c r="C64" i="22746"/>
  <c r="C65" i="22746"/>
  <c r="D69" i="22746"/>
  <c r="F72" i="22746"/>
  <c r="C73" i="22746"/>
  <c r="F33" i="22746"/>
  <c r="E34" i="22746"/>
  <c r="G11" i="22746"/>
  <c r="E35" i="22746"/>
  <c r="E36" i="22746"/>
  <c r="E37" i="22746"/>
  <c r="B30" i="22746"/>
  <c r="C30" i="22746"/>
  <c r="E30" i="22746"/>
  <c r="D18" i="22746"/>
  <c r="D19" i="22746"/>
  <c r="F14" i="22746"/>
  <c r="J73" i="22746"/>
  <c r="K69" i="22746"/>
  <c r="K44" i="22746"/>
  <c r="K45" i="22746"/>
  <c r="J18" i="22746"/>
  <c r="J19" i="22746"/>
  <c r="K46" i="22746"/>
  <c r="J47" i="22746"/>
  <c r="J50" i="22746"/>
  <c r="K50" i="22746"/>
  <c r="K51" i="22746"/>
  <c r="J48" i="22746"/>
  <c r="J49" i="22746"/>
  <c r="K61" i="22746"/>
  <c r="K63" i="22746"/>
  <c r="J64" i="22746"/>
  <c r="J65" i="22746"/>
  <c r="M33" i="22746"/>
  <c r="L34" i="22746"/>
  <c r="L35" i="22746"/>
  <c r="L36" i="22746"/>
  <c r="L37" i="22746"/>
  <c r="I30" i="22746"/>
  <c r="J30" i="22746"/>
  <c r="K18" i="22746"/>
  <c r="K19" i="22746"/>
  <c r="M14" i="22746"/>
  <c r="Q73" i="22746"/>
  <c r="R69" i="22746"/>
  <c r="R44" i="22746"/>
  <c r="R45" i="22746"/>
  <c r="Q18" i="22746"/>
  <c r="Q19" i="22746"/>
  <c r="R46" i="22746"/>
  <c r="Q47" i="22746"/>
  <c r="Q50" i="22746"/>
  <c r="R50" i="22746"/>
  <c r="R51" i="22746"/>
  <c r="Q48" i="22746"/>
  <c r="Q49" i="22746"/>
  <c r="R61" i="22746"/>
  <c r="Q64" i="22746"/>
  <c r="Q65" i="22746"/>
  <c r="T33" i="22746"/>
  <c r="S34" i="22746"/>
  <c r="S35" i="22746"/>
  <c r="S36" i="22746"/>
  <c r="S37" i="22746"/>
  <c r="P30" i="22746"/>
  <c r="Q30" i="22746"/>
  <c r="R18" i="22746"/>
  <c r="R19" i="22746"/>
  <c r="T14" i="22746"/>
  <c r="B38" i="22715"/>
  <c r="C38" i="22715" s="1"/>
  <c r="C8" i="2"/>
  <c r="D8" i="2"/>
  <c r="C9" i="22749"/>
  <c r="C10" i="2" s="1"/>
  <c r="D10" i="2"/>
  <c r="C11" i="2"/>
  <c r="D11" i="2"/>
  <c r="E11" i="2" s="1"/>
  <c r="C12" i="2"/>
  <c r="D12" i="2"/>
  <c r="E12" i="2" s="1"/>
  <c r="C12" i="22749"/>
  <c r="C13" i="2" s="1"/>
  <c r="D13" i="2"/>
  <c r="C36" i="2"/>
  <c r="E36" i="2" s="1"/>
  <c r="D36" i="2"/>
  <c r="E37" i="2"/>
  <c r="E38" i="2"/>
  <c r="C51" i="2"/>
  <c r="C66" i="2" s="1"/>
  <c r="D51" i="2"/>
  <c r="C52" i="2"/>
  <c r="D52" i="2"/>
  <c r="C53" i="2"/>
  <c r="C55" i="2"/>
  <c r="C56" i="2"/>
  <c r="H139" i="1"/>
  <c r="D139" i="1" s="1"/>
  <c r="D150" i="1" s="1"/>
  <c r="C60" i="2"/>
  <c r="D60" i="2"/>
  <c r="E61" i="2"/>
  <c r="C36" i="1"/>
  <c r="C69" i="2"/>
  <c r="C70" i="2"/>
  <c r="C71" i="2"/>
  <c r="C72" i="2"/>
  <c r="C73" i="2"/>
  <c r="C75" i="2"/>
  <c r="C76" i="2"/>
  <c r="C77" i="2"/>
  <c r="C54" i="22749"/>
  <c r="C78" i="2" s="1"/>
  <c r="D79" i="2"/>
  <c r="C8" i="22745"/>
  <c r="C31" i="22744"/>
  <c r="D8" i="22745" s="1"/>
  <c r="C11" i="22752"/>
  <c r="C10" i="22745" s="1"/>
  <c r="D10" i="22745"/>
  <c r="C11" i="22745"/>
  <c r="D11" i="22745"/>
  <c r="E11" i="22745" s="1"/>
  <c r="C12" i="22745"/>
  <c r="D12" i="22745"/>
  <c r="B10" i="22744"/>
  <c r="C14" i="22752" s="1"/>
  <c r="D13" i="22745"/>
  <c r="C36" i="22745"/>
  <c r="D36" i="22745"/>
  <c r="E36" i="22745" s="1"/>
  <c r="E39" i="22745" s="1"/>
  <c r="E37" i="22745"/>
  <c r="E38" i="22745"/>
  <c r="C51" i="22745"/>
  <c r="G146" i="22744"/>
  <c r="H133" i="1"/>
  <c r="D133" i="1" s="1"/>
  <c r="E44" i="3" s="1"/>
  <c r="H134" i="1"/>
  <c r="H135" i="1"/>
  <c r="E65" i="1"/>
  <c r="B74" i="1"/>
  <c r="AB9" i="3" s="1"/>
  <c r="B75" i="1"/>
  <c r="B79" i="1"/>
  <c r="BK9" i="3" s="1"/>
  <c r="B81" i="1"/>
  <c r="B82" i="1"/>
  <c r="B84" i="1"/>
  <c r="CT9" i="3" s="1"/>
  <c r="B85" i="1"/>
  <c r="C74" i="1"/>
  <c r="C75" i="1"/>
  <c r="AI10" i="3" s="1"/>
  <c r="C79" i="1"/>
  <c r="BK10" i="3" s="1"/>
  <c r="C81" i="1"/>
  <c r="C82" i="1"/>
  <c r="CF10" i="3" s="1"/>
  <c r="C84" i="1"/>
  <c r="C85" i="1"/>
  <c r="DA10" i="3" s="1"/>
  <c r="D74" i="1"/>
  <c r="D75" i="1"/>
  <c r="D76" i="1"/>
  <c r="D77" i="1"/>
  <c r="D78" i="1"/>
  <c r="D79" i="1"/>
  <c r="D80" i="1"/>
  <c r="D81" i="1"/>
  <c r="D82" i="1"/>
  <c r="D83" i="1"/>
  <c r="D84" i="1"/>
  <c r="D85" i="1"/>
  <c r="H136" i="1"/>
  <c r="D136" i="1" s="1"/>
  <c r="BB47" i="3" s="1"/>
  <c r="E74" i="1"/>
  <c r="E75" i="1"/>
  <c r="E76" i="1"/>
  <c r="E77" i="1"/>
  <c r="E78" i="1"/>
  <c r="E79" i="1"/>
  <c r="E80" i="1"/>
  <c r="E81" i="1"/>
  <c r="E82" i="1"/>
  <c r="E83" i="1"/>
  <c r="E84" i="1"/>
  <c r="E85" i="1"/>
  <c r="H137" i="1"/>
  <c r="D137" i="1" s="1"/>
  <c r="H138" i="1"/>
  <c r="D138" i="1" s="1"/>
  <c r="L51" i="3" s="1"/>
  <c r="G74" i="1"/>
  <c r="G75" i="1"/>
  <c r="G76" i="1"/>
  <c r="G77" i="1"/>
  <c r="G78" i="1"/>
  <c r="G79" i="1"/>
  <c r="G80" i="1"/>
  <c r="G81" i="1"/>
  <c r="G82" i="1"/>
  <c r="G83" i="1"/>
  <c r="G84" i="1"/>
  <c r="G85" i="1"/>
  <c r="H74" i="1"/>
  <c r="H75" i="1"/>
  <c r="H76" i="1"/>
  <c r="H77" i="1"/>
  <c r="H78" i="1"/>
  <c r="H79" i="1"/>
  <c r="H80" i="1"/>
  <c r="H81" i="1"/>
  <c r="H82" i="1"/>
  <c r="H83" i="1"/>
  <c r="H84" i="1"/>
  <c r="H85" i="1"/>
  <c r="C52" i="22745"/>
  <c r="C67" i="22745" s="1"/>
  <c r="G147" i="22744"/>
  <c r="C53" i="22745"/>
  <c r="G148" i="22744"/>
  <c r="C55" i="22745"/>
  <c r="D41" i="22752"/>
  <c r="E41" i="22752" s="1"/>
  <c r="C56" i="22745"/>
  <c r="H141" i="22744"/>
  <c r="D141" i="22744" s="1"/>
  <c r="D152" i="22744" s="1"/>
  <c r="C60" i="22745"/>
  <c r="C32" i="22744"/>
  <c r="C33" i="22744"/>
  <c r="C69" i="22745"/>
  <c r="C70" i="22745"/>
  <c r="C71" i="22745"/>
  <c r="C72" i="22745"/>
  <c r="C73" i="22745"/>
  <c r="C75" i="22745"/>
  <c r="C76" i="22745"/>
  <c r="C77" i="22745"/>
  <c r="C56" i="22752"/>
  <c r="C78" i="22745"/>
  <c r="C181" i="22744"/>
  <c r="C16" i="22745"/>
  <c r="D16" i="22745"/>
  <c r="C17" i="22745"/>
  <c r="D17" i="22745"/>
  <c r="C18" i="22745"/>
  <c r="D18" i="22745"/>
  <c r="E18" i="22745" s="1"/>
  <c r="C19" i="22745"/>
  <c r="D19" i="22745"/>
  <c r="C20" i="22745"/>
  <c r="E20" i="22745" s="1"/>
  <c r="D20" i="22745"/>
  <c r="C21" i="22745"/>
  <c r="D21" i="22745"/>
  <c r="C22" i="22745"/>
  <c r="D22" i="22745"/>
  <c r="C23" i="22745"/>
  <c r="D23" i="22745"/>
  <c r="C24" i="22745"/>
  <c r="E24" i="22745" s="1"/>
  <c r="D24" i="22745"/>
  <c r="C25" i="22745"/>
  <c r="D25" i="22745"/>
  <c r="E26" i="22745"/>
  <c r="C29" i="22745"/>
  <c r="D29" i="22745"/>
  <c r="C30" i="22745"/>
  <c r="D30" i="22745"/>
  <c r="E30" i="22745" s="1"/>
  <c r="C31" i="22745"/>
  <c r="D31" i="22745"/>
  <c r="C32" i="22745"/>
  <c r="D32" i="22745"/>
  <c r="C33" i="22745"/>
  <c r="E33" i="22745" s="1"/>
  <c r="D33" i="22745"/>
  <c r="C42" i="22745"/>
  <c r="D42" i="22745"/>
  <c r="E42" i="22745"/>
  <c r="C43" i="22745"/>
  <c r="D43" i="22745"/>
  <c r="C44" i="22745"/>
  <c r="D44" i="22745"/>
  <c r="C88" i="22745"/>
  <c r="D88" i="22745"/>
  <c r="D89" i="22745"/>
  <c r="D90" i="22745"/>
  <c r="D91" i="22745"/>
  <c r="D92" i="22745"/>
  <c r="E92" i="22745" s="1"/>
  <c r="D93" i="22745"/>
  <c r="D94" i="22745"/>
  <c r="D96" i="22745"/>
  <c r="E98" i="22745"/>
  <c r="C105" i="22745"/>
  <c r="C101" i="22745" s="1"/>
  <c r="C102" i="22745" s="1"/>
  <c r="C187" i="22744"/>
  <c r="C185" i="22744"/>
  <c r="I29" i="22753" s="1"/>
  <c r="E114" i="22745"/>
  <c r="E115" i="22745"/>
  <c r="E116" i="22745"/>
  <c r="E117" i="22745"/>
  <c r="C118" i="22745"/>
  <c r="D118" i="22745"/>
  <c r="C119" i="22745"/>
  <c r="D119" i="22745"/>
  <c r="C120" i="22745"/>
  <c r="D120" i="22745"/>
  <c r="E120" i="22745" s="1"/>
  <c r="C121" i="22745"/>
  <c r="D121" i="22745"/>
  <c r="E122" i="22745"/>
  <c r="C123" i="22745"/>
  <c r="C34" i="22744"/>
  <c r="AN68" i="22746" s="1"/>
  <c r="C186" i="22744"/>
  <c r="H37" i="22753"/>
  <c r="E128" i="22745"/>
  <c r="C23" i="22744"/>
  <c r="C32" i="22753"/>
  <c r="E42" i="22753"/>
  <c r="H42" i="22753"/>
  <c r="E46" i="22753"/>
  <c r="H47" i="22753"/>
  <c r="H50" i="22753"/>
  <c r="H51" i="22753"/>
  <c r="H52" i="22753"/>
  <c r="H53" i="22753"/>
  <c r="H54" i="22753"/>
  <c r="H55" i="22753"/>
  <c r="F71" i="22753"/>
  <c r="F72" i="22753" s="1"/>
  <c r="D74" i="22753" s="1"/>
  <c r="G65" i="22753"/>
  <c r="H66" i="22753"/>
  <c r="H70" i="22753"/>
  <c r="E72" i="22753"/>
  <c r="D75" i="22753"/>
  <c r="H75" i="22753" s="1"/>
  <c r="E133" i="22745" s="1"/>
  <c r="E138" i="22745"/>
  <c r="C23" i="1"/>
  <c r="B88" i="22753"/>
  <c r="C88" i="22753"/>
  <c r="H102" i="22753"/>
  <c r="H103" i="22753"/>
  <c r="H106" i="22753"/>
  <c r="H107" i="22753"/>
  <c r="H108" i="22753"/>
  <c r="H109" i="22753"/>
  <c r="H110" i="22753"/>
  <c r="H111" i="22753"/>
  <c r="F128" i="22753"/>
  <c r="F129" i="22753"/>
  <c r="D132" i="22753"/>
  <c r="G121" i="22753"/>
  <c r="H121" i="22753" s="1"/>
  <c r="H129" i="22753" s="1"/>
  <c r="D121" i="22753"/>
  <c r="H122" i="22753"/>
  <c r="H127" i="22753"/>
  <c r="E128" i="22753"/>
  <c r="E129" i="22753"/>
  <c r="D133" i="22753" s="1"/>
  <c r="H133" i="22753" s="1"/>
  <c r="E143" i="22745" s="1"/>
  <c r="E60" i="22752"/>
  <c r="E63" i="22752" s="1"/>
  <c r="E61" i="22752"/>
  <c r="E62" i="22752"/>
  <c r="E16" i="22752"/>
  <c r="E17" i="22752"/>
  <c r="E18" i="22752"/>
  <c r="E19" i="22752"/>
  <c r="E20" i="22752"/>
  <c r="E21" i="22752"/>
  <c r="E22" i="22752"/>
  <c r="E23" i="22752"/>
  <c r="E24" i="22752"/>
  <c r="E25" i="22752"/>
  <c r="E28" i="22752"/>
  <c r="E29" i="22752"/>
  <c r="E30" i="22752"/>
  <c r="E31" i="22752"/>
  <c r="E32" i="22752"/>
  <c r="D40" i="22752"/>
  <c r="E40" i="22752" s="1"/>
  <c r="C180" i="22744"/>
  <c r="H93" i="22753"/>
  <c r="C40" i="22744"/>
  <c r="K73" i="22746" s="1"/>
  <c r="C159" i="22744"/>
  <c r="BA42" i="22746" s="1"/>
  <c r="H135" i="22744"/>
  <c r="D135" i="22744" s="1"/>
  <c r="H137" i="22744"/>
  <c r="B71" i="22744"/>
  <c r="B76" i="22744" s="1"/>
  <c r="AP9" i="22746" s="1"/>
  <c r="C71" i="22744"/>
  <c r="D71" i="22744"/>
  <c r="D81" i="22744" s="1"/>
  <c r="H138" i="22744"/>
  <c r="D138" i="22744" s="1"/>
  <c r="E71" i="22744"/>
  <c r="E74" i="22744" s="1"/>
  <c r="H139" i="22744"/>
  <c r="D139" i="22744" s="1"/>
  <c r="H140" i="22744"/>
  <c r="D140" i="22744" s="1"/>
  <c r="G71" i="22744"/>
  <c r="H71" i="22744"/>
  <c r="H83" i="22744" s="1"/>
  <c r="F34" i="22744"/>
  <c r="C184" i="22744"/>
  <c r="E25" i="22753" s="1"/>
  <c r="H139" i="22753"/>
  <c r="J26" i="22753"/>
  <c r="H79" i="22753"/>
  <c r="H81" i="22753"/>
  <c r="E163" i="22744"/>
  <c r="B48" i="22744"/>
  <c r="B49" i="1"/>
  <c r="L9" i="3" s="1"/>
  <c r="B83" i="22749"/>
  <c r="B84" i="22749"/>
  <c r="B85" i="22749"/>
  <c r="B86" i="22749"/>
  <c r="B87" i="22749"/>
  <c r="B88" i="22749"/>
  <c r="B89" i="22749"/>
  <c r="B90" i="22749"/>
  <c r="B91" i="22749"/>
  <c r="B92" i="22749"/>
  <c r="B93" i="22749"/>
  <c r="B94" i="22749"/>
  <c r="C48" i="22744"/>
  <c r="E10" i="22746" s="1"/>
  <c r="D48" i="22744"/>
  <c r="D49" i="22744" s="1"/>
  <c r="L11" i="22746" s="1"/>
  <c r="F72" i="22744"/>
  <c r="N11" i="22746" s="1"/>
  <c r="B81" i="22752"/>
  <c r="E81" i="22752"/>
  <c r="L30" i="22746"/>
  <c r="E93" i="22744"/>
  <c r="F73" i="22744"/>
  <c r="U11" i="22746" s="1"/>
  <c r="B82" i="22752"/>
  <c r="E82" i="22752"/>
  <c r="S30" i="22746" s="1"/>
  <c r="C79" i="22747"/>
  <c r="F78" i="22747"/>
  <c r="B125" i="22747" s="1"/>
  <c r="J105" i="22715" s="1"/>
  <c r="C18" i="22747"/>
  <c r="C19" i="22747" s="1"/>
  <c r="D49" i="22747"/>
  <c r="D47" i="22747"/>
  <c r="D48" i="22747"/>
  <c r="D65" i="22747"/>
  <c r="C53" i="22747"/>
  <c r="D53" i="22747"/>
  <c r="C54" i="22747"/>
  <c r="D54" i="22747"/>
  <c r="C68" i="22747"/>
  <c r="C69" i="22747"/>
  <c r="E65" i="22744"/>
  <c r="D12" i="22747" s="1"/>
  <c r="B80" i="22744"/>
  <c r="B82" i="22744" s="1"/>
  <c r="CF9" i="22746" s="1"/>
  <c r="B83" i="22744"/>
  <c r="B85" i="22744" s="1"/>
  <c r="DA9" i="22746" s="1"/>
  <c r="C80" i="22744"/>
  <c r="C83" i="22744"/>
  <c r="C84" i="22744" s="1"/>
  <c r="CT10" i="22746" s="1"/>
  <c r="D74" i="22747"/>
  <c r="C50" i="22747"/>
  <c r="C51" i="22747"/>
  <c r="C52" i="22747"/>
  <c r="B28" i="22744"/>
  <c r="B29" i="22744" s="1"/>
  <c r="B28" i="22747"/>
  <c r="C28" i="22747"/>
  <c r="B83" i="22752"/>
  <c r="B84" i="22752"/>
  <c r="B85" i="22752"/>
  <c r="B86" i="22752"/>
  <c r="B87" i="22752"/>
  <c r="B88" i="22752"/>
  <c r="B89" i="22752"/>
  <c r="B90" i="22752"/>
  <c r="B91" i="22752"/>
  <c r="B92" i="22752"/>
  <c r="B93" i="22752"/>
  <c r="B94" i="22752"/>
  <c r="E28" i="22747"/>
  <c r="E30" i="22747"/>
  <c r="F30" i="22747" s="1"/>
  <c r="E31" i="22747"/>
  <c r="F74" i="22744"/>
  <c r="F75" i="22744"/>
  <c r="F76" i="22744"/>
  <c r="F77" i="22744"/>
  <c r="F78" i="22744"/>
  <c r="F79" i="22744"/>
  <c r="BK11" i="22746" s="1"/>
  <c r="F80" i="22744"/>
  <c r="BR11" i="22746" s="1"/>
  <c r="F81" i="22744"/>
  <c r="BY11" i="22746" s="1"/>
  <c r="F82" i="22744"/>
  <c r="F83" i="22744"/>
  <c r="F84" i="22744"/>
  <c r="CT11" i="22746" s="1"/>
  <c r="F85" i="22744"/>
  <c r="DA11" i="22746" s="1"/>
  <c r="E32" i="22747"/>
  <c r="E33" i="22747"/>
  <c r="E34" i="22747"/>
  <c r="D17" i="22747"/>
  <c r="D18" i="22747"/>
  <c r="D51" i="22744"/>
  <c r="Z11" i="22746" s="1"/>
  <c r="B37" i="22715"/>
  <c r="C37" i="22715" s="1"/>
  <c r="BM30" i="3"/>
  <c r="BN30" i="3"/>
  <c r="E88" i="22749"/>
  <c r="BP30" i="3"/>
  <c r="F141" i="22750"/>
  <c r="H24" i="22750"/>
  <c r="C24" i="22750" s="1"/>
  <c r="E83" i="22750" s="1"/>
  <c r="C37" i="1"/>
  <c r="H140" i="22750"/>
  <c r="G143" i="22750"/>
  <c r="F83" i="22750"/>
  <c r="H80" i="22750"/>
  <c r="H82" i="22750"/>
  <c r="G85" i="22750"/>
  <c r="D24" i="22750"/>
  <c r="I25" i="22750"/>
  <c r="H28" i="22750"/>
  <c r="BR9" i="3"/>
  <c r="BO12" i="3"/>
  <c r="BR10" i="3"/>
  <c r="BP35" i="3"/>
  <c r="BP36" i="3"/>
  <c r="BQ33" i="3"/>
  <c r="BP34" i="3"/>
  <c r="F71" i="1"/>
  <c r="F76" i="1" s="1"/>
  <c r="AP11" i="3" s="1"/>
  <c r="BP37" i="3"/>
  <c r="E161" i="1"/>
  <c r="BO18" i="3"/>
  <c r="BP18" i="3"/>
  <c r="BO19" i="3"/>
  <c r="BP19" i="3"/>
  <c r="C80" i="22749"/>
  <c r="D30" i="3" s="1"/>
  <c r="C16" i="2"/>
  <c r="D16" i="2"/>
  <c r="E16" i="2" s="1"/>
  <c r="C17" i="2"/>
  <c r="D17" i="2"/>
  <c r="C18" i="2"/>
  <c r="E18" i="2" s="1"/>
  <c r="D18" i="2"/>
  <c r="C19" i="2"/>
  <c r="D19" i="2"/>
  <c r="E19" i="2" s="1"/>
  <c r="C20" i="2"/>
  <c r="D20" i="2"/>
  <c r="E20" i="2"/>
  <c r="C21" i="2"/>
  <c r="D21" i="2"/>
  <c r="C22" i="2"/>
  <c r="E22" i="2"/>
  <c r="D22" i="2"/>
  <c r="C23" i="2"/>
  <c r="D23" i="2"/>
  <c r="C24" i="2"/>
  <c r="D24" i="2"/>
  <c r="E24" i="2"/>
  <c r="C25" i="2"/>
  <c r="D25" i="2"/>
  <c r="E26" i="2"/>
  <c r="C29" i="2"/>
  <c r="E29" i="2" s="1"/>
  <c r="D29" i="2"/>
  <c r="C30" i="2"/>
  <c r="D30" i="2"/>
  <c r="C31" i="2"/>
  <c r="D31" i="2"/>
  <c r="E31" i="2"/>
  <c r="C32" i="2"/>
  <c r="D32" i="2"/>
  <c r="C33" i="2"/>
  <c r="D33" i="2"/>
  <c r="E33" i="2" s="1"/>
  <c r="C42" i="2"/>
  <c r="D42" i="2"/>
  <c r="C43" i="2"/>
  <c r="D43" i="2"/>
  <c r="C44" i="2"/>
  <c r="D44" i="2"/>
  <c r="C88" i="2"/>
  <c r="D88" i="2"/>
  <c r="D89" i="2"/>
  <c r="D90" i="2"/>
  <c r="C91" i="2"/>
  <c r="D91" i="2"/>
  <c r="C92" i="2"/>
  <c r="D92" i="2"/>
  <c r="C93" i="2"/>
  <c r="D93" i="2"/>
  <c r="D94" i="2"/>
  <c r="D96" i="2"/>
  <c r="E98" i="2"/>
  <c r="C105" i="2"/>
  <c r="C101" i="2" s="1"/>
  <c r="C102" i="2" s="1"/>
  <c r="C186" i="1"/>
  <c r="C152" i="2" s="1"/>
  <c r="C125" i="2"/>
  <c r="E114" i="2"/>
  <c r="E115" i="2"/>
  <c r="E116" i="2"/>
  <c r="E117" i="2"/>
  <c r="C118" i="2"/>
  <c r="E118" i="2"/>
  <c r="D118" i="2"/>
  <c r="C119" i="2"/>
  <c r="D119" i="2"/>
  <c r="E119" i="2"/>
  <c r="C120" i="2"/>
  <c r="D120" i="2"/>
  <c r="C121" i="2"/>
  <c r="E121" i="2" s="1"/>
  <c r="D121" i="2"/>
  <c r="E122" i="2"/>
  <c r="C123" i="2"/>
  <c r="H35" i="22750"/>
  <c r="E128" i="2" s="1"/>
  <c r="C30" i="22750"/>
  <c r="D42" i="22750"/>
  <c r="H42" i="22750"/>
  <c r="D46" i="22750"/>
  <c r="H46" i="22750" s="1"/>
  <c r="H49" i="22750" s="1"/>
  <c r="E130" i="2" s="1"/>
  <c r="H47" i="22750"/>
  <c r="H50" i="22750"/>
  <c r="H51" i="22750"/>
  <c r="H52" i="22750"/>
  <c r="H53" i="22750"/>
  <c r="H54" i="22750"/>
  <c r="H55" i="22750"/>
  <c r="F71" i="22750"/>
  <c r="F72" i="22750" s="1"/>
  <c r="D75" i="22750" s="1"/>
  <c r="G65" i="22750"/>
  <c r="H66" i="22750"/>
  <c r="H70" i="22750"/>
  <c r="E72" i="22750"/>
  <c r="D76" i="22750"/>
  <c r="H76" i="22750"/>
  <c r="E133" i="2"/>
  <c r="H94" i="22750"/>
  <c r="E138" i="2"/>
  <c r="B89" i="22750"/>
  <c r="C89" i="22750"/>
  <c r="H103" i="22750"/>
  <c r="H104" i="22750"/>
  <c r="H106" i="22750"/>
  <c r="E140" i="2"/>
  <c r="H107" i="22750"/>
  <c r="H108" i="22750"/>
  <c r="H109" i="22750"/>
  <c r="H110" i="22750"/>
  <c r="H111" i="22750"/>
  <c r="H112" i="22750"/>
  <c r="F129" i="22750"/>
  <c r="F130" i="22750"/>
  <c r="D133" i="22750" s="1"/>
  <c r="G122" i="22750"/>
  <c r="D122" i="22750"/>
  <c r="H122" i="22750" s="1"/>
  <c r="H123" i="22750"/>
  <c r="H128" i="22750"/>
  <c r="F134" i="22750"/>
  <c r="H134" i="22750" s="1"/>
  <c r="E143" i="2" s="1"/>
  <c r="E129" i="22750"/>
  <c r="E130" i="22750" s="1"/>
  <c r="D134" i="22750" s="1"/>
  <c r="C135" i="2"/>
  <c r="C145" i="2"/>
  <c r="C188" i="1"/>
  <c r="C153" i="2" s="1"/>
  <c r="C35" i="1"/>
  <c r="BW63" i="3" s="1"/>
  <c r="C157" i="1"/>
  <c r="D157" i="1"/>
  <c r="AU42" i="3" s="1"/>
  <c r="B72" i="1"/>
  <c r="C72" i="1"/>
  <c r="N10" i="3" s="1"/>
  <c r="K10" i="3" s="1"/>
  <c r="B81" i="22749"/>
  <c r="E81" i="22749"/>
  <c r="L30" i="3"/>
  <c r="C49" i="1"/>
  <c r="L10" i="3" s="1"/>
  <c r="D49" i="1"/>
  <c r="L11" i="3" s="1"/>
  <c r="B73" i="1"/>
  <c r="U9" i="3" s="1"/>
  <c r="R9" i="3" s="1"/>
  <c r="C73" i="1"/>
  <c r="U10" i="3" s="1"/>
  <c r="R10" i="3" s="1"/>
  <c r="B82" i="22749"/>
  <c r="E82" i="22749"/>
  <c r="S30" i="3"/>
  <c r="C50" i="1"/>
  <c r="D50" i="1"/>
  <c r="S11" i="3" s="1"/>
  <c r="Y73" i="3"/>
  <c r="X73" i="3"/>
  <c r="AA72" i="3"/>
  <c r="X65" i="3"/>
  <c r="X18" i="3"/>
  <c r="X19" i="3"/>
  <c r="Y46" i="3"/>
  <c r="Y44" i="3"/>
  <c r="Y45" i="3"/>
  <c r="Y61" i="3"/>
  <c r="X50" i="3"/>
  <c r="Y50" i="3"/>
  <c r="X51" i="3"/>
  <c r="Y51" i="3"/>
  <c r="Y12" i="3"/>
  <c r="AB10" i="3"/>
  <c r="Z68" i="3"/>
  <c r="Y69" i="3"/>
  <c r="Z69" i="3"/>
  <c r="X47" i="3"/>
  <c r="X48" i="3"/>
  <c r="X49" i="3"/>
  <c r="AA56" i="3"/>
  <c r="W30" i="3"/>
  <c r="X30" i="3"/>
  <c r="E83" i="22749"/>
  <c r="Z30" i="3"/>
  <c r="Z35" i="3"/>
  <c r="Z36" i="3"/>
  <c r="AA33" i="3"/>
  <c r="Z34" i="3"/>
  <c r="F74" i="1"/>
  <c r="AB11" i="3" s="1"/>
  <c r="AB12" i="3" s="1"/>
  <c r="Z37" i="3"/>
  <c r="Y18" i="3"/>
  <c r="Z18" i="3"/>
  <c r="Y19" i="3"/>
  <c r="Z19" i="3"/>
  <c r="D51" i="1"/>
  <c r="Z11" i="3" s="1"/>
  <c r="AA14" i="3"/>
  <c r="AF73" i="3"/>
  <c r="AE73" i="3"/>
  <c r="AH72" i="3"/>
  <c r="AE18" i="3"/>
  <c r="AE19" i="3"/>
  <c r="AF46" i="3"/>
  <c r="AF44" i="3"/>
  <c r="AF45" i="3"/>
  <c r="AF61" i="3"/>
  <c r="AE50" i="3"/>
  <c r="AF50" i="3"/>
  <c r="AE51" i="3"/>
  <c r="AF51" i="3"/>
  <c r="AF12" i="3"/>
  <c r="AG68" i="3"/>
  <c r="AF69" i="3"/>
  <c r="AG69" i="3"/>
  <c r="AE47" i="3"/>
  <c r="AE48" i="3"/>
  <c r="AE49" i="3"/>
  <c r="AH56" i="3"/>
  <c r="AD30" i="3"/>
  <c r="AE30" i="3"/>
  <c r="E84" i="22749"/>
  <c r="AG30" i="3"/>
  <c r="AG35" i="3"/>
  <c r="AG36" i="3"/>
  <c r="AH33" i="3"/>
  <c r="AG34" i="3"/>
  <c r="AG37" i="3"/>
  <c r="AF18" i="3"/>
  <c r="AG18" i="3"/>
  <c r="AF19" i="3"/>
  <c r="AG19" i="3"/>
  <c r="D52" i="1"/>
  <c r="AG11" i="3" s="1"/>
  <c r="AH14" i="3"/>
  <c r="AM73" i="3"/>
  <c r="AL73" i="3"/>
  <c r="AO72" i="3"/>
  <c r="AL65" i="3"/>
  <c r="AL18" i="3"/>
  <c r="AL19" i="3"/>
  <c r="AM46" i="3"/>
  <c r="AM44" i="3"/>
  <c r="AM45" i="3"/>
  <c r="AM61" i="3"/>
  <c r="AL50" i="3"/>
  <c r="AM50" i="3"/>
  <c r="AL51" i="3"/>
  <c r="AM51" i="3"/>
  <c r="AP9" i="3"/>
  <c r="AM12" i="3"/>
  <c r="AN68" i="3"/>
  <c r="AM69" i="3"/>
  <c r="AN69" i="3"/>
  <c r="AL47" i="3"/>
  <c r="AL48" i="3"/>
  <c r="AL49" i="3"/>
  <c r="AO56" i="3"/>
  <c r="AM42" i="3"/>
  <c r="AK30" i="3"/>
  <c r="AL30" i="3"/>
  <c r="E85" i="22749"/>
  <c r="AN30" i="3"/>
  <c r="AN35" i="3"/>
  <c r="AN36" i="3"/>
  <c r="AO33" i="3"/>
  <c r="AN34" i="3"/>
  <c r="AN37" i="3"/>
  <c r="AM18" i="3"/>
  <c r="AN18" i="3"/>
  <c r="AM19" i="3"/>
  <c r="AN19" i="3"/>
  <c r="D53" i="1"/>
  <c r="AN11" i="3" s="1"/>
  <c r="AO14" i="3"/>
  <c r="AT73" i="3"/>
  <c r="AS73" i="3"/>
  <c r="AV72" i="3"/>
  <c r="AS65" i="3"/>
  <c r="AS18" i="3"/>
  <c r="AS19" i="3"/>
  <c r="AT46" i="3"/>
  <c r="AT44" i="3"/>
  <c r="AT45" i="3"/>
  <c r="AT61" i="3"/>
  <c r="AS50" i="3"/>
  <c r="AT50" i="3"/>
  <c r="AS51" i="3"/>
  <c r="AT51" i="3"/>
  <c r="AU63" i="3"/>
  <c r="AT12" i="3"/>
  <c r="AU68" i="3"/>
  <c r="AT69" i="3"/>
  <c r="AU69" i="3"/>
  <c r="AS47" i="3"/>
  <c r="AS48" i="3"/>
  <c r="AS49" i="3"/>
  <c r="AV56" i="3"/>
  <c r="AT42" i="3"/>
  <c r="AR30" i="3"/>
  <c r="AS30" i="3"/>
  <c r="E86" i="22749"/>
  <c r="AU30" i="3"/>
  <c r="AU35" i="3"/>
  <c r="AU36" i="3"/>
  <c r="AV33" i="3"/>
  <c r="AU34" i="3"/>
  <c r="AU37" i="3"/>
  <c r="AT18" i="3"/>
  <c r="AU18" i="3"/>
  <c r="AT19" i="3"/>
  <c r="AU19" i="3"/>
  <c r="D54" i="1"/>
  <c r="AU11" i="3" s="1"/>
  <c r="AV14" i="3"/>
  <c r="BA73" i="3"/>
  <c r="AZ73" i="3"/>
  <c r="BC72" i="3"/>
  <c r="AZ65" i="3"/>
  <c r="AZ18" i="3"/>
  <c r="AZ19" i="3"/>
  <c r="BA46" i="3"/>
  <c r="BA44" i="3"/>
  <c r="BA45" i="3"/>
  <c r="BB60" i="3"/>
  <c r="BA61" i="3"/>
  <c r="AZ50" i="3"/>
  <c r="BA50" i="3"/>
  <c r="AZ51" i="3"/>
  <c r="BA51" i="3"/>
  <c r="BA12" i="3"/>
  <c r="BB68" i="3"/>
  <c r="BA69" i="3"/>
  <c r="BB69" i="3"/>
  <c r="AZ47" i="3"/>
  <c r="AZ48" i="3"/>
  <c r="AZ49" i="3"/>
  <c r="BC56" i="3"/>
  <c r="BA42" i="3"/>
  <c r="AY30" i="3"/>
  <c r="AZ30" i="3"/>
  <c r="E87" i="22749"/>
  <c r="BB30" i="3" s="1"/>
  <c r="BB35" i="3"/>
  <c r="BB36" i="3"/>
  <c r="BC33" i="3"/>
  <c r="BB34" i="3"/>
  <c r="BB37" i="3"/>
  <c r="BA18" i="3"/>
  <c r="BB18" i="3"/>
  <c r="BA19" i="3"/>
  <c r="BB19" i="3"/>
  <c r="D55" i="1"/>
  <c r="BB11" i="3" s="1"/>
  <c r="BC14" i="3"/>
  <c r="BH73" i="3"/>
  <c r="BG73" i="3"/>
  <c r="BJ72" i="3"/>
  <c r="BG64" i="3"/>
  <c r="BG18" i="3"/>
  <c r="BG19" i="3"/>
  <c r="BH46" i="3"/>
  <c r="BI59" i="3"/>
  <c r="BH44" i="3"/>
  <c r="BH45" i="3"/>
  <c r="BH61" i="3"/>
  <c r="BG50" i="3"/>
  <c r="BH50" i="3"/>
  <c r="BG51" i="3"/>
  <c r="BH51" i="3"/>
  <c r="BH12" i="3"/>
  <c r="BI68" i="3"/>
  <c r="BH69" i="3"/>
  <c r="BI69" i="3"/>
  <c r="BG47" i="3"/>
  <c r="BG48" i="3"/>
  <c r="BG49" i="3"/>
  <c r="BJ56" i="3"/>
  <c r="BH42" i="3"/>
  <c r="BF30" i="3"/>
  <c r="BG30" i="3"/>
  <c r="BI30" i="3"/>
  <c r="BI35" i="3"/>
  <c r="BI36" i="3"/>
  <c r="BJ33" i="3"/>
  <c r="BI34" i="3"/>
  <c r="BI37" i="3"/>
  <c r="BH18" i="3"/>
  <c r="BI18" i="3"/>
  <c r="BH19" i="3"/>
  <c r="BI19" i="3"/>
  <c r="D56" i="1"/>
  <c r="BI11" i="3" s="1"/>
  <c r="BJ14" i="3"/>
  <c r="BO73" i="3"/>
  <c r="BN73" i="3"/>
  <c r="BQ72" i="3"/>
  <c r="BN65" i="3"/>
  <c r="BN18" i="3"/>
  <c r="BN19" i="3"/>
  <c r="BO46" i="3"/>
  <c r="BP59" i="3"/>
  <c r="BO44" i="3"/>
  <c r="BO45" i="3"/>
  <c r="BP60" i="3"/>
  <c r="BO61" i="3"/>
  <c r="BN50" i="3"/>
  <c r="BO50" i="3"/>
  <c r="BN51" i="3"/>
  <c r="BO51" i="3"/>
  <c r="BP68" i="3"/>
  <c r="BO69" i="3"/>
  <c r="BP69" i="3"/>
  <c r="BN47" i="3"/>
  <c r="BP51" i="3"/>
  <c r="BN48" i="3"/>
  <c r="BN49" i="3"/>
  <c r="BQ56" i="3"/>
  <c r="BO42" i="3"/>
  <c r="BT30" i="3"/>
  <c r="BU30" i="3"/>
  <c r="BW30" i="3"/>
  <c r="BY9" i="3"/>
  <c r="BV12" i="3"/>
  <c r="BY10" i="3"/>
  <c r="BW35" i="3"/>
  <c r="BW36" i="3"/>
  <c r="BX33" i="3"/>
  <c r="BW34" i="3"/>
  <c r="BW37" i="3"/>
  <c r="BV18" i="3"/>
  <c r="BW18" i="3"/>
  <c r="BV19" i="3"/>
  <c r="BW19" i="3"/>
  <c r="D57" i="1"/>
  <c r="BP11" i="3" s="1"/>
  <c r="BQ14" i="3"/>
  <c r="BV73" i="3"/>
  <c r="BU73" i="3"/>
  <c r="BX72" i="3"/>
  <c r="BU64" i="3"/>
  <c r="BU18" i="3"/>
  <c r="BU19" i="3"/>
  <c r="BV46" i="3"/>
  <c r="BV44" i="3"/>
  <c r="BV45" i="3"/>
  <c r="BV61" i="3"/>
  <c r="BU50" i="3"/>
  <c r="BV50" i="3"/>
  <c r="BU51" i="3"/>
  <c r="BV51" i="3"/>
  <c r="BW68" i="3"/>
  <c r="BV69" i="3"/>
  <c r="BW69" i="3"/>
  <c r="BU47" i="3"/>
  <c r="BU48" i="3"/>
  <c r="BU49" i="3"/>
  <c r="BX56" i="3"/>
  <c r="BV42" i="3"/>
  <c r="BW42" i="3"/>
  <c r="C180" i="1"/>
  <c r="CV30" i="3"/>
  <c r="CW30" i="3"/>
  <c r="CY30" i="3"/>
  <c r="CZ33" i="3"/>
  <c r="CY34" i="3"/>
  <c r="CX12" i="3"/>
  <c r="DA9" i="3"/>
  <c r="CY35" i="3"/>
  <c r="CY36" i="3"/>
  <c r="CY37" i="3"/>
  <c r="CX18" i="3"/>
  <c r="CY18" i="3"/>
  <c r="CX19" i="3"/>
  <c r="CY19" i="3"/>
  <c r="AD30" i="22746"/>
  <c r="AE30" i="22746"/>
  <c r="E84" i="22752"/>
  <c r="AG30" i="22746" s="1"/>
  <c r="AI11" i="22746"/>
  <c r="AG34" i="22746"/>
  <c r="AG35" i="22746"/>
  <c r="AG36" i="22746"/>
  <c r="AG37" i="22746"/>
  <c r="AH33" i="22746"/>
  <c r="AF18" i="22746"/>
  <c r="AF19" i="22746"/>
  <c r="CO30" i="22746"/>
  <c r="CP30" i="22746"/>
  <c r="E93" i="22752"/>
  <c r="CR30" i="22746"/>
  <c r="CR34" i="22746"/>
  <c r="CR35" i="22746"/>
  <c r="CR36" i="22746"/>
  <c r="CR37" i="22746"/>
  <c r="CS33" i="22746"/>
  <c r="CQ18" i="22746"/>
  <c r="CQ19" i="22746"/>
  <c r="CO30" i="3"/>
  <c r="CP30" i="3"/>
  <c r="CR30" i="3"/>
  <c r="CS33" i="3"/>
  <c r="CR34" i="3"/>
  <c r="CQ12" i="3"/>
  <c r="CQ9" i="3" s="1"/>
  <c r="CT10" i="3"/>
  <c r="CQ10" i="3" s="1"/>
  <c r="CR35" i="3"/>
  <c r="CR36" i="3"/>
  <c r="CR37" i="3"/>
  <c r="CQ18" i="3"/>
  <c r="CR18" i="3"/>
  <c r="CQ19" i="3"/>
  <c r="CR19" i="3"/>
  <c r="CH30" i="3"/>
  <c r="CI30" i="3"/>
  <c r="CK30" i="3"/>
  <c r="CL33" i="3"/>
  <c r="CK34" i="3"/>
  <c r="CJ12" i="3"/>
  <c r="CM9" i="3"/>
  <c r="CM10" i="3"/>
  <c r="CK35" i="3"/>
  <c r="CK36" i="3"/>
  <c r="CK37" i="3"/>
  <c r="CJ18" i="3"/>
  <c r="CK18" i="3"/>
  <c r="CJ19" i="3"/>
  <c r="CK19" i="3"/>
  <c r="CA30" i="3"/>
  <c r="CB30" i="3"/>
  <c r="CD30" i="3"/>
  <c r="CE33" i="3"/>
  <c r="CD34" i="3"/>
  <c r="CC12" i="3"/>
  <c r="CF9" i="3"/>
  <c r="CD35" i="3"/>
  <c r="CD36" i="3"/>
  <c r="CD37" i="3"/>
  <c r="CC18" i="3"/>
  <c r="CD18" i="3"/>
  <c r="CC19" i="3"/>
  <c r="CD19" i="3"/>
  <c r="BM30" i="22746"/>
  <c r="BN30" i="22746"/>
  <c r="E89" i="22752"/>
  <c r="BP30" i="22746"/>
  <c r="BP34" i="22746"/>
  <c r="BP35" i="22746"/>
  <c r="BP36" i="22746"/>
  <c r="BP37" i="22746"/>
  <c r="BQ33" i="22746"/>
  <c r="BO18" i="22746"/>
  <c r="BO19" i="22746"/>
  <c r="D58" i="1"/>
  <c r="BW11" i="3" s="1"/>
  <c r="BX14" i="3"/>
  <c r="CV30" i="22746"/>
  <c r="DA30" i="22746" s="1"/>
  <c r="CW30" i="22746"/>
  <c r="E94" i="22752"/>
  <c r="CY30" i="22746"/>
  <c r="CY34" i="22746"/>
  <c r="CY35" i="22746"/>
  <c r="CY36" i="22746"/>
  <c r="CY37" i="22746"/>
  <c r="CZ33" i="22746"/>
  <c r="CX18" i="22746"/>
  <c r="CX19" i="22746"/>
  <c r="BT30" i="22746"/>
  <c r="BU30" i="22746"/>
  <c r="E90" i="22752"/>
  <c r="BW30" i="22746"/>
  <c r="BW34" i="22746"/>
  <c r="BW35" i="22746"/>
  <c r="BW36" i="22746"/>
  <c r="BW37" i="22746"/>
  <c r="BX33" i="22746"/>
  <c r="BV18" i="22746"/>
  <c r="BV19" i="22746"/>
  <c r="BX14" i="22746"/>
  <c r="X73" i="22746"/>
  <c r="AA72" i="22746"/>
  <c r="X64" i="22746"/>
  <c r="X65" i="22746"/>
  <c r="X18" i="22746"/>
  <c r="X19" i="22746"/>
  <c r="X20" i="22746" s="1"/>
  <c r="X46" i="22746" s="1"/>
  <c r="Y46" i="22746"/>
  <c r="Y44" i="22746"/>
  <c r="Y45" i="22746"/>
  <c r="Y61" i="22746"/>
  <c r="X50" i="22746"/>
  <c r="Y50" i="22746"/>
  <c r="X51" i="22746"/>
  <c r="Y51" i="22746"/>
  <c r="Y69" i="22746"/>
  <c r="X47" i="22746"/>
  <c r="X48" i="22746"/>
  <c r="X49" i="22746"/>
  <c r="W30" i="22746"/>
  <c r="X30" i="22746"/>
  <c r="E83" i="22752"/>
  <c r="Z30" i="22746" s="1"/>
  <c r="AB11" i="22746"/>
  <c r="Z34" i="22746"/>
  <c r="Z35" i="22746"/>
  <c r="Z36" i="22746"/>
  <c r="Z37" i="22746"/>
  <c r="AA33" i="22746"/>
  <c r="Y18" i="22746"/>
  <c r="Y19" i="22746"/>
  <c r="AA14" i="22746"/>
  <c r="AE73" i="22746"/>
  <c r="AH72" i="22746"/>
  <c r="AE64" i="22746"/>
  <c r="AE65" i="22746"/>
  <c r="AE18" i="22746"/>
  <c r="AE19" i="22746"/>
  <c r="AF46" i="22746"/>
  <c r="AF44" i="22746"/>
  <c r="AF45" i="22746"/>
  <c r="AF61" i="22746"/>
  <c r="AE50" i="22746"/>
  <c r="AF50" i="22746"/>
  <c r="AE51" i="22746"/>
  <c r="AF51" i="22746"/>
  <c r="AF69" i="22746"/>
  <c r="AE47" i="22746"/>
  <c r="AE48" i="22746"/>
  <c r="AE49" i="22746"/>
  <c r="AH14" i="22746"/>
  <c r="AL73" i="22746"/>
  <c r="AO72" i="22746"/>
  <c r="AL64" i="22746"/>
  <c r="AL65" i="22746"/>
  <c r="AL18" i="22746"/>
  <c r="AL19" i="22746"/>
  <c r="AM46" i="22746"/>
  <c r="AM44" i="22746"/>
  <c r="AM45" i="22746"/>
  <c r="AM61" i="22746"/>
  <c r="AL50" i="22746"/>
  <c r="AM50" i="22746"/>
  <c r="AL51" i="22746"/>
  <c r="AM51" i="22746"/>
  <c r="AM69" i="22746"/>
  <c r="AL47" i="22746"/>
  <c r="AL48" i="22746"/>
  <c r="AL49" i="22746"/>
  <c r="AK30" i="22746"/>
  <c r="AL30" i="22746"/>
  <c r="E85" i="22752"/>
  <c r="AN30" i="22746" s="1"/>
  <c r="AN34" i="22746"/>
  <c r="AN35" i="22746"/>
  <c r="AN36" i="22746"/>
  <c r="AN37" i="22746"/>
  <c r="AO33" i="22746"/>
  <c r="AM18" i="22746"/>
  <c r="AM19" i="22746"/>
  <c r="AO14" i="22746"/>
  <c r="AS73" i="22746"/>
  <c r="AV72" i="22746"/>
  <c r="AS64" i="22746"/>
  <c r="AS65" i="22746"/>
  <c r="AS18" i="22746"/>
  <c r="AS19" i="22746"/>
  <c r="AT46" i="22746"/>
  <c r="AT44" i="22746"/>
  <c r="AT45" i="22746"/>
  <c r="AT61" i="22746"/>
  <c r="AS50" i="22746"/>
  <c r="AT50" i="22746"/>
  <c r="AS51" i="22746"/>
  <c r="AT51" i="22746"/>
  <c r="AT69" i="22746"/>
  <c r="AS47" i="22746"/>
  <c r="AS48" i="22746"/>
  <c r="AS49" i="22746"/>
  <c r="AR30" i="22746"/>
  <c r="AS30" i="22746"/>
  <c r="E86" i="22752"/>
  <c r="AU30" i="22746"/>
  <c r="AU34" i="22746"/>
  <c r="AU35" i="22746"/>
  <c r="AU36" i="22746"/>
  <c r="AU37" i="22746"/>
  <c r="AV33" i="22746"/>
  <c r="AT18" i="22746"/>
  <c r="AT19" i="22746"/>
  <c r="AV14" i="22746"/>
  <c r="AZ73" i="22746"/>
  <c r="BC72" i="22746"/>
  <c r="AZ64" i="22746"/>
  <c r="AZ65" i="22746"/>
  <c r="AZ18" i="22746"/>
  <c r="AZ19" i="22746"/>
  <c r="BA46" i="22746"/>
  <c r="BA44" i="22746"/>
  <c r="BA45" i="22746"/>
  <c r="BA61" i="22746"/>
  <c r="AZ50" i="22746"/>
  <c r="BA50" i="22746"/>
  <c r="AZ51" i="22746"/>
  <c r="BA51" i="22746"/>
  <c r="BA69" i="22746"/>
  <c r="AZ47" i="22746"/>
  <c r="AZ48" i="22746"/>
  <c r="AZ49" i="22746"/>
  <c r="AY30" i="22746"/>
  <c r="AZ30" i="22746"/>
  <c r="E87" i="22752"/>
  <c r="BB30" i="22746"/>
  <c r="BD11" i="22746"/>
  <c r="BB34" i="22746"/>
  <c r="BB35" i="22746"/>
  <c r="BB36" i="22746"/>
  <c r="BB37" i="22746"/>
  <c r="BC33" i="22746"/>
  <c r="BA18" i="22746"/>
  <c r="BA19" i="22746"/>
  <c r="BC14" i="22746"/>
  <c r="BG73" i="22746"/>
  <c r="BJ72" i="22746"/>
  <c r="BG64" i="22746"/>
  <c r="BG65" i="22746"/>
  <c r="BG18" i="22746"/>
  <c r="BG19" i="22746"/>
  <c r="BH46" i="22746"/>
  <c r="BH44" i="22746"/>
  <c r="BH45" i="22746"/>
  <c r="BH61" i="22746"/>
  <c r="BG50" i="22746"/>
  <c r="BH50" i="22746"/>
  <c r="BG51" i="22746"/>
  <c r="BH51" i="22746"/>
  <c r="BH69" i="22746"/>
  <c r="BG47" i="22746"/>
  <c r="BG48" i="22746"/>
  <c r="BG49" i="22746"/>
  <c r="BF30" i="22746"/>
  <c r="BG30" i="22746"/>
  <c r="BI30" i="22746"/>
  <c r="BI34" i="22746"/>
  <c r="BI35" i="22746"/>
  <c r="BI36" i="22746"/>
  <c r="BI37" i="22746"/>
  <c r="BJ33" i="22746"/>
  <c r="BH18" i="22746"/>
  <c r="BH19" i="22746"/>
  <c r="BJ14" i="22746"/>
  <c r="BN73" i="22746"/>
  <c r="BQ72" i="22746"/>
  <c r="BN64" i="22746"/>
  <c r="BN65" i="22746"/>
  <c r="BN18" i="22746"/>
  <c r="BN19" i="22746"/>
  <c r="BO46" i="22746"/>
  <c r="BO44" i="22746"/>
  <c r="BO45" i="22746"/>
  <c r="BO61" i="22746"/>
  <c r="BN50" i="22746"/>
  <c r="BO50" i="22746"/>
  <c r="BN51" i="22746"/>
  <c r="BO51" i="22746"/>
  <c r="BO69" i="22746"/>
  <c r="BN47" i="22746"/>
  <c r="BN48" i="22746"/>
  <c r="BN49" i="22746"/>
  <c r="BQ14" i="22746"/>
  <c r="BU73" i="22746"/>
  <c r="BX72" i="22746"/>
  <c r="BU64" i="22746"/>
  <c r="BU65" i="22746"/>
  <c r="BU18" i="22746"/>
  <c r="BU19" i="22746"/>
  <c r="BV46" i="22746"/>
  <c r="BV44" i="22746"/>
  <c r="BV45" i="22746"/>
  <c r="BV61" i="22746"/>
  <c r="BU50" i="22746"/>
  <c r="BV50" i="22746"/>
  <c r="BU51" i="22746"/>
  <c r="BV51" i="22746"/>
  <c r="BV69" i="22746"/>
  <c r="BU47" i="22746"/>
  <c r="BU48" i="22746"/>
  <c r="BU49" i="22746"/>
  <c r="CB73" i="22746"/>
  <c r="CE72" i="22746"/>
  <c r="CB64" i="22746"/>
  <c r="CB65" i="22746"/>
  <c r="CB18" i="22746"/>
  <c r="CB19" i="22746"/>
  <c r="CC46" i="22746"/>
  <c r="CC44" i="22746"/>
  <c r="CC45" i="22746"/>
  <c r="CC61" i="22746"/>
  <c r="CB50" i="22746"/>
  <c r="CC50" i="22746"/>
  <c r="CB51" i="22746"/>
  <c r="CC51" i="22746"/>
  <c r="CC69" i="22746"/>
  <c r="CB47" i="22746"/>
  <c r="CB48" i="22746"/>
  <c r="CB49" i="22746"/>
  <c r="CA30" i="22746"/>
  <c r="CB30" i="22746"/>
  <c r="E91" i="22752"/>
  <c r="CD30" i="22746" s="1"/>
  <c r="CF11" i="22746"/>
  <c r="CD34" i="22746"/>
  <c r="CD35" i="22746"/>
  <c r="CD36" i="22746"/>
  <c r="CD37" i="22746"/>
  <c r="CE33" i="22746"/>
  <c r="CC18" i="22746"/>
  <c r="CC19" i="22746"/>
  <c r="CE14" i="22746"/>
  <c r="CI73" i="22746"/>
  <c r="CL72" i="22746"/>
  <c r="CI64" i="22746"/>
  <c r="CI65" i="22746"/>
  <c r="CI18" i="22746"/>
  <c r="CI19" i="22746"/>
  <c r="CJ46" i="22746"/>
  <c r="CJ44" i="22746"/>
  <c r="CJ45" i="22746"/>
  <c r="CJ61" i="22746"/>
  <c r="CI50" i="22746"/>
  <c r="CJ50" i="22746"/>
  <c r="CI51" i="22746"/>
  <c r="CJ51" i="22746"/>
  <c r="CM10" i="22746"/>
  <c r="CJ69" i="22746"/>
  <c r="CI47" i="22746"/>
  <c r="CI48" i="22746"/>
  <c r="CI49" i="22746"/>
  <c r="CH30" i="22746"/>
  <c r="CI30" i="22746"/>
  <c r="E92" i="22752"/>
  <c r="CK30" i="22746"/>
  <c r="CM11" i="22746"/>
  <c r="CK34" i="22746"/>
  <c r="CK35" i="22746"/>
  <c r="CK36" i="22746"/>
  <c r="CK37" i="22746"/>
  <c r="CL33" i="22746"/>
  <c r="CJ18" i="22746"/>
  <c r="CJ19" i="22746"/>
  <c r="CL14" i="22746"/>
  <c r="CP73" i="22746"/>
  <c r="CS72" i="22746"/>
  <c r="CP64" i="22746"/>
  <c r="CP65" i="22746"/>
  <c r="CP18" i="22746"/>
  <c r="CP19" i="22746"/>
  <c r="CQ46" i="22746"/>
  <c r="CQ44" i="22746"/>
  <c r="CQ45" i="22746"/>
  <c r="CQ61" i="22746"/>
  <c r="CP50" i="22746"/>
  <c r="CQ50" i="22746"/>
  <c r="CP51" i="22746"/>
  <c r="CQ51" i="22746"/>
  <c r="CQ69" i="22746"/>
  <c r="CP47" i="22746"/>
  <c r="CP48" i="22746"/>
  <c r="CP49" i="22746"/>
  <c r="CS14" i="22746"/>
  <c r="CC73" i="3"/>
  <c r="CB73" i="3"/>
  <c r="CE72" i="3"/>
  <c r="CB64" i="3"/>
  <c r="CB18" i="3"/>
  <c r="CB19" i="3"/>
  <c r="CC46" i="3"/>
  <c r="CD59" i="3"/>
  <c r="CC44" i="3"/>
  <c r="CC45" i="3"/>
  <c r="CD60" i="3"/>
  <c r="CC61" i="3"/>
  <c r="CB50" i="3"/>
  <c r="CC50" i="3"/>
  <c r="CB51" i="3"/>
  <c r="CC51" i="3"/>
  <c r="CD68" i="3"/>
  <c r="CC69" i="3"/>
  <c r="CD69" i="3"/>
  <c r="CB47" i="3"/>
  <c r="CB48" i="3"/>
  <c r="CB49" i="3"/>
  <c r="CE56" i="3"/>
  <c r="CC42" i="3"/>
  <c r="CD42" i="3"/>
  <c r="D59" i="1"/>
  <c r="CD11" i="3" s="1"/>
  <c r="CE14" i="3"/>
  <c r="CJ73" i="3"/>
  <c r="CI73" i="3"/>
  <c r="CL72" i="3"/>
  <c r="CI64" i="3"/>
  <c r="CK64" i="3"/>
  <c r="CI65" i="3"/>
  <c r="CI18" i="3"/>
  <c r="CI19" i="3"/>
  <c r="CJ46" i="3"/>
  <c r="CJ44" i="3"/>
  <c r="CJ45" i="3"/>
  <c r="CJ61" i="3"/>
  <c r="CI50" i="3"/>
  <c r="CJ50" i="3"/>
  <c r="CI51" i="3"/>
  <c r="CJ51" i="3"/>
  <c r="CK68" i="3"/>
  <c r="CJ69" i="3"/>
  <c r="CK69" i="3"/>
  <c r="CI47" i="3"/>
  <c r="CI48" i="3"/>
  <c r="CI49" i="3"/>
  <c r="CK50" i="3"/>
  <c r="CL56" i="3"/>
  <c r="CK42" i="3"/>
  <c r="CL42" i="3" s="1"/>
  <c r="D60" i="1"/>
  <c r="CK11" i="3" s="1"/>
  <c r="CL14" i="3"/>
  <c r="CQ73" i="3"/>
  <c r="CP73" i="3"/>
  <c r="CS72" i="3"/>
  <c r="CP65" i="3"/>
  <c r="CP18" i="3"/>
  <c r="CP19" i="3"/>
  <c r="CQ46" i="3"/>
  <c r="CQ44" i="3"/>
  <c r="CQ45" i="3"/>
  <c r="CQ61" i="3"/>
  <c r="CP50" i="3"/>
  <c r="CQ50" i="3"/>
  <c r="CP51" i="3"/>
  <c r="CQ51" i="3"/>
  <c r="CR68" i="3"/>
  <c r="CQ69" i="3"/>
  <c r="CR69" i="3"/>
  <c r="CP47" i="3"/>
  <c r="CP48" i="3"/>
  <c r="CP49" i="3"/>
  <c r="CS56" i="3"/>
  <c r="CQ42" i="3"/>
  <c r="D61" i="1"/>
  <c r="CR11" i="3" s="1"/>
  <c r="CS14" i="3"/>
  <c r="CX73" i="3"/>
  <c r="CW73" i="3"/>
  <c r="CZ72" i="3"/>
  <c r="CW64" i="3"/>
  <c r="CW18" i="3"/>
  <c r="CW19" i="3"/>
  <c r="CX46" i="3"/>
  <c r="CY59" i="3"/>
  <c r="CX44" i="3"/>
  <c r="CX45" i="3"/>
  <c r="CY60" i="3"/>
  <c r="CX61" i="3"/>
  <c r="CW50" i="3"/>
  <c r="CX50" i="3"/>
  <c r="CW51" i="3"/>
  <c r="CX51" i="3"/>
  <c r="CY67" i="3"/>
  <c r="CY68" i="3"/>
  <c r="CX69" i="3"/>
  <c r="CY69" i="3"/>
  <c r="CW47" i="3"/>
  <c r="CW48" i="3"/>
  <c r="CW49" i="3"/>
  <c r="CY51" i="3"/>
  <c r="CZ56" i="3"/>
  <c r="CX42" i="3"/>
  <c r="CY42" i="3"/>
  <c r="CV82" i="3"/>
  <c r="D62" i="1"/>
  <c r="CY11" i="3" s="1"/>
  <c r="CZ14" i="3"/>
  <c r="D79" i="4"/>
  <c r="C79" i="4"/>
  <c r="F78" i="4"/>
  <c r="E68" i="4"/>
  <c r="E63" i="4"/>
  <c r="D65" i="4"/>
  <c r="E66" i="4"/>
  <c r="E67" i="4"/>
  <c r="E73" i="4"/>
  <c r="D74" i="4"/>
  <c r="E74" i="4"/>
  <c r="D44" i="4"/>
  <c r="E44" i="4"/>
  <c r="B28" i="1"/>
  <c r="B29" i="1"/>
  <c r="E41" i="4" s="1"/>
  <c r="B28" i="4"/>
  <c r="D81" i="22749"/>
  <c r="C28" i="4"/>
  <c r="E28" i="4"/>
  <c r="E30" i="4"/>
  <c r="F30" i="4" s="1"/>
  <c r="E31" i="4"/>
  <c r="E32" i="4"/>
  <c r="E33" i="4"/>
  <c r="E34" i="4"/>
  <c r="F14" i="4"/>
  <c r="B55" i="22715" s="1"/>
  <c r="F14" i="22747"/>
  <c r="D55" i="22715" s="1"/>
  <c r="B10" i="22715"/>
  <c r="C10" i="22715" s="1"/>
  <c r="B11" i="22715"/>
  <c r="C11" i="22715" s="1"/>
  <c r="B12" i="22715"/>
  <c r="C12" i="22715" s="1"/>
  <c r="B13" i="22715"/>
  <c r="C13" i="22715" s="1"/>
  <c r="B14" i="22715"/>
  <c r="C14" i="22715" s="1"/>
  <c r="B15" i="22715"/>
  <c r="C15" i="22715" s="1"/>
  <c r="B16" i="22715"/>
  <c r="C16" i="22715" s="1"/>
  <c r="B17" i="22715"/>
  <c r="C17" i="22715" s="1"/>
  <c r="B18" i="22715"/>
  <c r="C18" i="22715" s="1"/>
  <c r="B19" i="22715"/>
  <c r="C19" i="22715" s="1"/>
  <c r="B20" i="22715"/>
  <c r="C20" i="22715" s="1"/>
  <c r="B21" i="22715"/>
  <c r="C21" i="22715" s="1"/>
  <c r="B26" i="22715"/>
  <c r="C26" i="22715" s="1"/>
  <c r="B27" i="22715"/>
  <c r="C27" i="22715" s="1"/>
  <c r="B28" i="22715"/>
  <c r="C28" i="22715" s="1"/>
  <c r="B29" i="22715"/>
  <c r="C29" i="22715" s="1"/>
  <c r="B30" i="22715"/>
  <c r="C30" i="22715" s="1"/>
  <c r="B31" i="22715"/>
  <c r="C31" i="22715" s="1"/>
  <c r="B32" i="22715"/>
  <c r="C32" i="22715" s="1"/>
  <c r="B36" i="22715"/>
  <c r="C36" i="22715" s="1"/>
  <c r="B40" i="22715"/>
  <c r="C40" i="22715" s="1"/>
  <c r="B41" i="22715"/>
  <c r="C41" i="22715" s="1"/>
  <c r="B42" i="22715"/>
  <c r="C42" i="22715" s="1"/>
  <c r="B43" i="22715"/>
  <c r="C43" i="22715" s="1"/>
  <c r="B128" i="22745"/>
  <c r="B138" i="22745"/>
  <c r="B141" i="22745"/>
  <c r="B140" i="22745"/>
  <c r="B129" i="22745"/>
  <c r="B138" i="2"/>
  <c r="G13" i="22753"/>
  <c r="G14" i="22753"/>
  <c r="G15" i="22753"/>
  <c r="G16" i="22753"/>
  <c r="B131" i="22745"/>
  <c r="B130" i="22745"/>
  <c r="A123" i="22745"/>
  <c r="B127" i="22745"/>
  <c r="A122" i="22745"/>
  <c r="B113" i="22745"/>
  <c r="A125" i="22745"/>
  <c r="B143" i="22745"/>
  <c r="B142" i="22745"/>
  <c r="B139" i="22745"/>
  <c r="B137" i="22745"/>
  <c r="B133" i="22745"/>
  <c r="B132" i="22745"/>
  <c r="B121" i="22745"/>
  <c r="B120" i="22745"/>
  <c r="B119" i="22745"/>
  <c r="B118" i="22745"/>
  <c r="B117" i="22745"/>
  <c r="B116" i="22745"/>
  <c r="B115" i="22745"/>
  <c r="B114" i="22745"/>
  <c r="B135" i="22745"/>
  <c r="B145" i="22745"/>
  <c r="B135" i="2"/>
  <c r="B145" i="2" s="1"/>
  <c r="B143" i="2"/>
  <c r="B142" i="2"/>
  <c r="B141" i="2"/>
  <c r="B140" i="2"/>
  <c r="B139" i="2"/>
  <c r="B137" i="2"/>
  <c r="B133" i="2"/>
  <c r="B132" i="2"/>
  <c r="B131" i="2"/>
  <c r="B130" i="2"/>
  <c r="B129" i="2"/>
  <c r="B127" i="2"/>
  <c r="B113" i="2"/>
  <c r="A125" i="2"/>
  <c r="A123" i="2"/>
  <c r="A122" i="2"/>
  <c r="C114" i="2"/>
  <c r="D115" i="2"/>
  <c r="D116" i="2"/>
  <c r="D117" i="2"/>
  <c r="D114" i="2"/>
  <c r="C115" i="2"/>
  <c r="C116" i="2"/>
  <c r="C117" i="2"/>
  <c r="B121" i="2"/>
  <c r="B115" i="2"/>
  <c r="B116" i="2"/>
  <c r="B117" i="2"/>
  <c r="B118" i="2"/>
  <c r="B119" i="2"/>
  <c r="B120" i="2"/>
  <c r="B114" i="2"/>
  <c r="H13" i="22750"/>
  <c r="H14" i="22750"/>
  <c r="H15" i="22750"/>
  <c r="H16" i="22750"/>
  <c r="B2" i="22753"/>
  <c r="A2" i="22753"/>
  <c r="CW65" i="22746"/>
  <c r="CW64" i="22746"/>
  <c r="D38" i="22749"/>
  <c r="E38" i="22749" s="1"/>
  <c r="D52" i="22749"/>
  <c r="E52" i="22749" s="1"/>
  <c r="D64" i="22749"/>
  <c r="E64" i="22749" s="1"/>
  <c r="E58" i="22749"/>
  <c r="E59" i="22749"/>
  <c r="E60" i="22749"/>
  <c r="E14" i="22749"/>
  <c r="E15" i="22749"/>
  <c r="E16" i="22749"/>
  <c r="E17" i="22749"/>
  <c r="E18" i="22749"/>
  <c r="E19" i="22749"/>
  <c r="E20" i="22749"/>
  <c r="E21" i="22749"/>
  <c r="E22" i="22749"/>
  <c r="E23" i="22749"/>
  <c r="E26" i="22749"/>
  <c r="E27" i="22749"/>
  <c r="E28" i="22749"/>
  <c r="E29" i="22749"/>
  <c r="E30" i="22749"/>
  <c r="C73" i="22749"/>
  <c r="B2" i="22750"/>
  <c r="A28" i="4"/>
  <c r="A28" i="22747"/>
  <c r="D83" i="22752"/>
  <c r="D84" i="22752"/>
  <c r="D85" i="22752"/>
  <c r="D86" i="22752"/>
  <c r="D87" i="22752"/>
  <c r="D88" i="22752"/>
  <c r="D89" i="22752"/>
  <c r="D90" i="22752"/>
  <c r="D91" i="22752"/>
  <c r="D92" i="22752"/>
  <c r="D93" i="22752"/>
  <c r="D94" i="22752"/>
  <c r="E88" i="22752"/>
  <c r="D82" i="22752"/>
  <c r="D81" i="22752"/>
  <c r="E13" i="22752"/>
  <c r="E12" i="22752"/>
  <c r="H30" i="22746"/>
  <c r="O30" i="22746" s="1"/>
  <c r="V30" i="22746" s="1"/>
  <c r="AC30" i="22746" s="1"/>
  <c r="AJ30" i="22746" s="1"/>
  <c r="AQ30" i="22746" s="1"/>
  <c r="AX30" i="22746" s="1"/>
  <c r="BE30" i="22746" s="1"/>
  <c r="BL30" i="22746" s="1"/>
  <c r="BS30" i="22746" s="1"/>
  <c r="BZ30" i="22746" s="1"/>
  <c r="CG30" i="22746" s="1"/>
  <c r="CN30" i="22746" s="1"/>
  <c r="CU30" i="22746" s="1"/>
  <c r="AD6" i="3"/>
  <c r="H30" i="3"/>
  <c r="O30" i="3" s="1"/>
  <c r="V30" i="3" s="1"/>
  <c r="AC30" i="3" s="1"/>
  <c r="AJ30" i="3" s="1"/>
  <c r="AQ30" i="3" s="1"/>
  <c r="AX30" i="3" s="1"/>
  <c r="BE30" i="3" s="1"/>
  <c r="BL30" i="3" s="1"/>
  <c r="BS30" i="3" s="1"/>
  <c r="BZ30" i="3" s="1"/>
  <c r="CG30" i="3" s="1"/>
  <c r="CN30" i="3" s="1"/>
  <c r="CU30" i="3" s="1"/>
  <c r="D83" i="22749"/>
  <c r="E94" i="22749"/>
  <c r="E93" i="22749"/>
  <c r="E92" i="22749"/>
  <c r="E91" i="22749"/>
  <c r="E90" i="22749"/>
  <c r="E89" i="22749"/>
  <c r="D84" i="22749"/>
  <c r="D85" i="22749"/>
  <c r="D86" i="22749"/>
  <c r="D87" i="22749"/>
  <c r="D88" i="22749"/>
  <c r="D89" i="22749"/>
  <c r="D90" i="22749"/>
  <c r="D91" i="22749"/>
  <c r="D92" i="22749"/>
  <c r="D93" i="22749"/>
  <c r="D94" i="22749"/>
  <c r="D82" i="22749"/>
  <c r="A2" i="22749"/>
  <c r="A2" i="22750"/>
  <c r="E12" i="22749"/>
  <c r="E11" i="22749"/>
  <c r="E10" i="22749"/>
  <c r="B48" i="22747"/>
  <c r="A164" i="22747" s="1"/>
  <c r="B47" i="22747"/>
  <c r="A163" i="22747" s="1"/>
  <c r="CW47" i="22746"/>
  <c r="CW48" i="22746"/>
  <c r="CW49" i="22746"/>
  <c r="CX44" i="22746"/>
  <c r="CX45" i="22746"/>
  <c r="CW18" i="22746"/>
  <c r="CW19" i="22746"/>
  <c r="CX46" i="22746"/>
  <c r="CW50" i="22746"/>
  <c r="CX50" i="22746"/>
  <c r="CW51" i="22746"/>
  <c r="CX51" i="22746"/>
  <c r="I6" i="22746"/>
  <c r="CV47" i="3"/>
  <c r="CO47" i="3"/>
  <c r="CH47" i="3"/>
  <c r="CA47" i="3"/>
  <c r="BT47" i="3"/>
  <c r="BM47" i="3"/>
  <c r="BF47" i="3"/>
  <c r="AY47" i="3"/>
  <c r="AR47" i="3"/>
  <c r="AK47" i="3"/>
  <c r="AD47" i="3"/>
  <c r="W47" i="3"/>
  <c r="P47" i="3"/>
  <c r="I47" i="3"/>
  <c r="I14" i="3"/>
  <c r="F42" i="1"/>
  <c r="CV36" i="3" s="1"/>
  <c r="F41" i="1"/>
  <c r="B20" i="1"/>
  <c r="C20" i="1"/>
  <c r="B10" i="1"/>
  <c r="B18" i="22714" s="1"/>
  <c r="G245" i="22715"/>
  <c r="G244" i="22715"/>
  <c r="G204" i="22715"/>
  <c r="G203" i="22715"/>
  <c r="CQ33" i="22746"/>
  <c r="CJ33" i="22746" s="1"/>
  <c r="CC33" i="22746" s="1"/>
  <c r="BV33" i="22746" s="1"/>
  <c r="BO33" i="22746" s="1"/>
  <c r="BH33" i="22746" s="1"/>
  <c r="BA33" i="22746" s="1"/>
  <c r="AT33" i="22746" s="1"/>
  <c r="AM33" i="22746" s="1"/>
  <c r="AF33" i="22746" s="1"/>
  <c r="Y33" i="22746" s="1"/>
  <c r="R33" i="22746" s="1"/>
  <c r="K33" i="22746" s="1"/>
  <c r="CY33" i="22746"/>
  <c r="CR33" i="22746"/>
  <c r="CK33" i="22746"/>
  <c r="CD33" i="22746"/>
  <c r="BW33" i="22746"/>
  <c r="BP33" i="22746"/>
  <c r="BI33" i="22746"/>
  <c r="BB33" i="22746"/>
  <c r="AU33" i="22746"/>
  <c r="AN33" i="22746"/>
  <c r="AG33" i="22746"/>
  <c r="Z33" i="22746"/>
  <c r="S33" i="22746"/>
  <c r="L33" i="22746"/>
  <c r="K34" i="3"/>
  <c r="R34" i="3" s="1"/>
  <c r="Y34" i="3" s="1"/>
  <c r="AF34" i="3" s="1"/>
  <c r="AM34" i="3" s="1"/>
  <c r="AT34" i="3" s="1"/>
  <c r="BA34" i="3" s="1"/>
  <c r="BH34" i="3" s="1"/>
  <c r="BO34" i="3" s="1"/>
  <c r="BV34" i="3" s="1"/>
  <c r="CC34" i="3" s="1"/>
  <c r="CJ34" i="3" s="1"/>
  <c r="CQ34" i="3" s="1"/>
  <c r="CX34" i="3" s="1"/>
  <c r="K35" i="3"/>
  <c r="R35" i="3" s="1"/>
  <c r="Y35" i="3" s="1"/>
  <c r="AF35" i="3" s="1"/>
  <c r="AM35" i="3" s="1"/>
  <c r="AT35" i="3" s="1"/>
  <c r="BA35" i="3" s="1"/>
  <c r="BH35" i="3" s="1"/>
  <c r="BO35" i="3" s="1"/>
  <c r="BV35" i="3" s="1"/>
  <c r="CC35" i="3" s="1"/>
  <c r="CJ35" i="3" s="1"/>
  <c r="CQ35" i="3" s="1"/>
  <c r="CX35" i="3" s="1"/>
  <c r="K36" i="3"/>
  <c r="R36" i="3" s="1"/>
  <c r="Y36" i="3" s="1"/>
  <c r="AF36" i="3" s="1"/>
  <c r="AM36" i="3" s="1"/>
  <c r="AT36" i="3" s="1"/>
  <c r="BA36" i="3" s="1"/>
  <c r="BH36" i="3" s="1"/>
  <c r="BO36" i="3" s="1"/>
  <c r="BV36" i="3" s="1"/>
  <c r="CC36" i="3" s="1"/>
  <c r="CJ36" i="3" s="1"/>
  <c r="CQ36" i="3" s="1"/>
  <c r="CX36" i="3" s="1"/>
  <c r="K37" i="3"/>
  <c r="R37" i="3" s="1"/>
  <c r="Y37" i="3" s="1"/>
  <c r="AF37" i="3" s="1"/>
  <c r="AM37" i="3" s="1"/>
  <c r="AT37" i="3" s="1"/>
  <c r="BA37" i="3" s="1"/>
  <c r="BH37" i="3" s="1"/>
  <c r="BO37" i="3" s="1"/>
  <c r="BV37" i="3" s="1"/>
  <c r="CC37" i="3" s="1"/>
  <c r="CJ37" i="3" s="1"/>
  <c r="CQ37" i="3" s="1"/>
  <c r="CX37" i="3" s="1"/>
  <c r="K33" i="3"/>
  <c r="R33" i="3" s="1"/>
  <c r="Y33" i="3" s="1"/>
  <c r="AF33" i="3" s="1"/>
  <c r="AM33" i="3" s="1"/>
  <c r="AT33" i="3" s="1"/>
  <c r="BA33" i="3" s="1"/>
  <c r="BH33" i="3" s="1"/>
  <c r="BO33" i="3" s="1"/>
  <c r="BV33" i="3" s="1"/>
  <c r="CC33" i="3" s="1"/>
  <c r="CJ33" i="3" s="1"/>
  <c r="CQ33" i="3" s="1"/>
  <c r="CX33" i="3" s="1"/>
  <c r="E33" i="3"/>
  <c r="L33" i="3"/>
  <c r="S33" i="3"/>
  <c r="Z33" i="3"/>
  <c r="AG33" i="3"/>
  <c r="E33" i="22746"/>
  <c r="F51" i="1"/>
  <c r="F52" i="1"/>
  <c r="F53" i="1"/>
  <c r="F54" i="1"/>
  <c r="F55" i="1"/>
  <c r="F56" i="1"/>
  <c r="F57" i="1"/>
  <c r="F58" i="1"/>
  <c r="F59" i="1"/>
  <c r="F60" i="1"/>
  <c r="F61" i="1"/>
  <c r="F62" i="1"/>
  <c r="B1" i="22747"/>
  <c r="B1" i="4"/>
  <c r="B19" i="3"/>
  <c r="B18" i="3"/>
  <c r="B1" i="22746"/>
  <c r="B1" i="3"/>
  <c r="B3" i="22744"/>
  <c r="B3" i="22745" s="1"/>
  <c r="A3" i="22745"/>
  <c r="B3" i="2"/>
  <c r="A3" i="2"/>
  <c r="CW73" i="22746"/>
  <c r="CZ72" i="22746"/>
  <c r="CX69" i="22746"/>
  <c r="CX61" i="22746"/>
  <c r="CV82" i="22746"/>
  <c r="AN33" i="3"/>
  <c r="AU33" i="3"/>
  <c r="BB33" i="3"/>
  <c r="BI33" i="3"/>
  <c r="BP33" i="3"/>
  <c r="BW33" i="3"/>
  <c r="CD33" i="3"/>
  <c r="CK33" i="3"/>
  <c r="CR33" i="3"/>
  <c r="CY33" i="3"/>
  <c r="J50" i="22747"/>
  <c r="J56" i="22747"/>
  <c r="J47" i="22747"/>
  <c r="J48" i="22747"/>
  <c r="J49" i="22747"/>
  <c r="J53" i="22747"/>
  <c r="J54" i="22747"/>
  <c r="B19" i="22746"/>
  <c r="B18" i="22746"/>
  <c r="I19" i="22746"/>
  <c r="I18" i="22746"/>
  <c r="B94" i="22745"/>
  <c r="B94" i="2"/>
  <c r="A30" i="22747"/>
  <c r="CZ14" i="22746"/>
  <c r="B80" i="22715"/>
  <c r="A144" i="4"/>
  <c r="A145" i="4"/>
  <c r="A147" i="4"/>
  <c r="A139" i="4"/>
  <c r="A126" i="4"/>
  <c r="A125" i="4"/>
  <c r="A143" i="4"/>
  <c r="B125" i="4"/>
  <c r="H105" i="22715" s="1"/>
  <c r="D80" i="22715"/>
  <c r="J47" i="4"/>
  <c r="J48" i="4"/>
  <c r="J49" i="4"/>
  <c r="J50" i="4"/>
  <c r="J53" i="4"/>
  <c r="K53" i="4" s="1"/>
  <c r="J54" i="4"/>
  <c r="J56" i="4"/>
  <c r="C17" i="22714"/>
  <c r="D17" i="22714"/>
  <c r="E17" i="22714"/>
  <c r="H23" i="22714"/>
  <c r="H24" i="22714"/>
  <c r="H25" i="22714"/>
  <c r="H26" i="22714"/>
  <c r="H27" i="22714"/>
  <c r="H28" i="22714"/>
  <c r="H29" i="22714"/>
  <c r="H30" i="22714"/>
  <c r="H31" i="22714"/>
  <c r="H32" i="22714"/>
  <c r="H33" i="22714"/>
  <c r="H34" i="22714"/>
  <c r="H35" i="22714"/>
  <c r="H36" i="22714"/>
  <c r="B44" i="2"/>
  <c r="B43" i="2"/>
  <c r="B42" i="2"/>
  <c r="A41" i="2"/>
  <c r="B59" i="2"/>
  <c r="B17" i="2"/>
  <c r="B18" i="2"/>
  <c r="B19" i="2"/>
  <c r="B20" i="2"/>
  <c r="B21" i="2"/>
  <c r="B22" i="2"/>
  <c r="B23" i="2"/>
  <c r="B24" i="2"/>
  <c r="B25" i="2"/>
  <c r="B11" i="2"/>
  <c r="B12" i="2"/>
  <c r="B13" i="2"/>
  <c r="B10" i="2"/>
  <c r="B33" i="2"/>
  <c r="B26" i="2"/>
  <c r="B29" i="2"/>
  <c r="B30" i="2"/>
  <c r="B31" i="2"/>
  <c r="B32" i="2"/>
  <c r="B16" i="2"/>
  <c r="B54" i="2"/>
  <c r="B53" i="2"/>
  <c r="B52" i="2"/>
  <c r="B51" i="2"/>
  <c r="B9" i="4"/>
  <c r="B10" i="4"/>
  <c r="B57" i="4"/>
  <c r="B34" i="4"/>
  <c r="B4" i="4"/>
  <c r="B50" i="4"/>
  <c r="A185" i="4" s="1"/>
  <c r="A190" i="4"/>
  <c r="A189" i="4"/>
  <c r="A169" i="4"/>
  <c r="B48" i="4"/>
  <c r="A164" i="4" s="1"/>
  <c r="B47" i="4"/>
  <c r="A163" i="4" s="1"/>
  <c r="B59" i="4"/>
  <c r="B54" i="4"/>
  <c r="B53" i="4"/>
  <c r="B67" i="4"/>
  <c r="A134" i="4" s="1"/>
  <c r="B65" i="4"/>
  <c r="A132" i="4" s="1"/>
  <c r="A131" i="4"/>
  <c r="A133" i="4"/>
  <c r="A138" i="4"/>
  <c r="A130" i="4"/>
  <c r="A33" i="4"/>
  <c r="A151" i="4"/>
  <c r="A152" i="4"/>
  <c r="A153" i="4"/>
  <c r="A122" i="4"/>
  <c r="A32" i="4"/>
  <c r="B14" i="4"/>
  <c r="B18" i="4"/>
  <c r="B17" i="4"/>
  <c r="B56" i="4"/>
  <c r="B49" i="4"/>
  <c r="B30" i="4"/>
  <c r="B31" i="4"/>
  <c r="B11" i="4"/>
  <c r="P61" i="3"/>
  <c r="CV37" i="3"/>
  <c r="CO37" i="3"/>
  <c r="CH37" i="3"/>
  <c r="CA37" i="3"/>
  <c r="BT37" i="3"/>
  <c r="BM37" i="3"/>
  <c r="BF37" i="3"/>
  <c r="AY37" i="3"/>
  <c r="AR37" i="3"/>
  <c r="AK37" i="3"/>
  <c r="AD37" i="3"/>
  <c r="W37" i="3"/>
  <c r="P37" i="3"/>
  <c r="I37" i="3"/>
  <c r="CV54" i="3"/>
  <c r="CO54" i="3"/>
  <c r="CH54" i="3"/>
  <c r="CA54" i="3"/>
  <c r="BT54" i="3"/>
  <c r="BM54" i="3"/>
  <c r="BF54" i="3"/>
  <c r="AY54" i="3"/>
  <c r="AR54" i="3"/>
  <c r="AK54" i="3"/>
  <c r="AD54" i="3"/>
  <c r="W54" i="3"/>
  <c r="P54" i="3"/>
  <c r="I54" i="3"/>
  <c r="B54" i="3"/>
  <c r="CV34" i="3"/>
  <c r="CV33" i="3"/>
  <c r="CO34" i="3"/>
  <c r="CO33" i="3"/>
  <c r="CH34" i="3"/>
  <c r="CH33" i="3"/>
  <c r="CA34" i="3"/>
  <c r="CA33" i="3"/>
  <c r="BT34" i="3"/>
  <c r="BT33" i="3"/>
  <c r="BM34" i="3"/>
  <c r="BM33" i="3"/>
  <c r="BF34" i="3"/>
  <c r="BF33" i="3"/>
  <c r="AY34" i="3"/>
  <c r="AY33" i="3"/>
  <c r="AR34" i="3"/>
  <c r="AR33" i="3"/>
  <c r="AK34" i="3"/>
  <c r="AK33" i="3"/>
  <c r="AD34" i="3"/>
  <c r="AD33" i="3"/>
  <c r="W34" i="3"/>
  <c r="W33" i="3"/>
  <c r="P34" i="3"/>
  <c r="P33" i="3"/>
  <c r="I34" i="3"/>
  <c r="I33" i="3"/>
  <c r="CU36" i="3"/>
  <c r="CU35" i="3"/>
  <c r="CN36" i="3"/>
  <c r="CN35" i="3"/>
  <c r="CG36" i="3"/>
  <c r="CG35" i="3"/>
  <c r="BZ36" i="3"/>
  <c r="BZ35" i="3"/>
  <c r="BS36" i="3"/>
  <c r="BS35" i="3"/>
  <c r="BL36" i="3"/>
  <c r="BL35" i="3"/>
  <c r="BE36" i="3"/>
  <c r="BE35" i="3"/>
  <c r="AX36" i="3"/>
  <c r="AX35" i="3"/>
  <c r="AQ36" i="3"/>
  <c r="AQ35" i="3"/>
  <c r="AJ36" i="3"/>
  <c r="AJ35" i="3"/>
  <c r="AC36" i="3"/>
  <c r="AC35" i="3"/>
  <c r="V36" i="3"/>
  <c r="V35" i="3"/>
  <c r="O36" i="3"/>
  <c r="O35" i="3"/>
  <c r="H36" i="3"/>
  <c r="H35" i="3"/>
  <c r="AD14" i="3"/>
  <c r="AD11" i="3"/>
  <c r="AD10" i="3"/>
  <c r="AD9" i="3"/>
  <c r="AK14" i="3"/>
  <c r="AK11" i="3"/>
  <c r="AK10" i="3"/>
  <c r="AK9" i="3"/>
  <c r="AR14" i="3"/>
  <c r="AR11" i="3"/>
  <c r="AR10" i="3"/>
  <c r="AR9" i="3"/>
  <c r="AY14" i="3"/>
  <c r="AY11" i="3"/>
  <c r="AY10" i="3"/>
  <c r="AY9" i="3"/>
  <c r="BF14" i="3"/>
  <c r="BF11" i="3"/>
  <c r="BF10" i="3"/>
  <c r="BF9" i="3"/>
  <c r="BM14" i="3"/>
  <c r="BM11" i="3"/>
  <c r="BM10" i="3"/>
  <c r="BM9" i="3"/>
  <c r="BT14" i="3"/>
  <c r="BT11" i="3"/>
  <c r="BT10" i="3"/>
  <c r="BT9" i="3"/>
  <c r="CA14" i="3"/>
  <c r="CA11" i="3"/>
  <c r="CA10" i="3"/>
  <c r="CA9" i="3"/>
  <c r="CH14" i="3"/>
  <c r="CH11" i="3"/>
  <c r="CH10" i="3"/>
  <c r="CH9" i="3"/>
  <c r="CO14" i="3"/>
  <c r="CO11" i="3"/>
  <c r="CO10" i="3"/>
  <c r="CO9" i="3"/>
  <c r="CV14" i="3"/>
  <c r="CV11" i="3"/>
  <c r="CV10" i="3"/>
  <c r="CV9" i="3"/>
  <c r="W14" i="3"/>
  <c r="W11" i="3"/>
  <c r="W10" i="3"/>
  <c r="W9" i="3"/>
  <c r="P14" i="3"/>
  <c r="P11" i="3"/>
  <c r="P10" i="3"/>
  <c r="P9" i="3"/>
  <c r="P6" i="3"/>
  <c r="Q10" i="3" s="1"/>
  <c r="B67" i="3"/>
  <c r="B37" i="3"/>
  <c r="CV6" i="3"/>
  <c r="CO6" i="3"/>
  <c r="CH6" i="3"/>
  <c r="CA6" i="3"/>
  <c r="BT6" i="3"/>
  <c r="BM6" i="3"/>
  <c r="BF6" i="3"/>
  <c r="AY6" i="3"/>
  <c r="AR6" i="3"/>
  <c r="AK6" i="3"/>
  <c r="W6" i="3"/>
  <c r="I6" i="3"/>
  <c r="B6" i="3"/>
  <c r="B47" i="3"/>
  <c r="A36" i="3"/>
  <c r="A35" i="3"/>
  <c r="B33" i="3"/>
  <c r="B14" i="3"/>
  <c r="CV63" i="3"/>
  <c r="CO63" i="3"/>
  <c r="CH63" i="3"/>
  <c r="CA63" i="3"/>
  <c r="BT63" i="3"/>
  <c r="BM63" i="3"/>
  <c r="BF63" i="3"/>
  <c r="AY63" i="3"/>
  <c r="AR63" i="3"/>
  <c r="AK63" i="3"/>
  <c r="AD63" i="3"/>
  <c r="W63" i="3"/>
  <c r="P63" i="3"/>
  <c r="I63" i="3"/>
  <c r="B63" i="3"/>
  <c r="CV61" i="3"/>
  <c r="CO61" i="3"/>
  <c r="CH61" i="3"/>
  <c r="CA61" i="3"/>
  <c r="BT61" i="3"/>
  <c r="BM61" i="3"/>
  <c r="BF61" i="3"/>
  <c r="AY61" i="3"/>
  <c r="AR61" i="3"/>
  <c r="AK61" i="3"/>
  <c r="AD61" i="3"/>
  <c r="W61" i="3"/>
  <c r="I61" i="3"/>
  <c r="B61" i="3"/>
  <c r="CV56" i="3"/>
  <c r="CV53" i="3"/>
  <c r="CV51" i="3"/>
  <c r="CV50" i="3"/>
  <c r="CV46" i="3"/>
  <c r="CV45" i="3"/>
  <c r="CV44" i="3"/>
  <c r="CO56" i="3"/>
  <c r="CO53" i="3"/>
  <c r="CO51" i="3"/>
  <c r="CO50" i="3"/>
  <c r="CO46" i="3"/>
  <c r="CO45" i="3"/>
  <c r="CO44" i="3"/>
  <c r="CH56" i="3"/>
  <c r="CH53" i="3"/>
  <c r="CH51" i="3"/>
  <c r="CH50" i="3"/>
  <c r="CH46" i="3"/>
  <c r="CH45" i="3"/>
  <c r="CH44" i="3"/>
  <c r="CA56" i="3"/>
  <c r="CA53" i="3"/>
  <c r="CA51" i="3"/>
  <c r="CA50" i="3"/>
  <c r="CA46" i="3"/>
  <c r="CA45" i="3"/>
  <c r="CA44" i="3"/>
  <c r="BT56" i="3"/>
  <c r="BT53" i="3"/>
  <c r="BT51" i="3"/>
  <c r="BT50" i="3"/>
  <c r="BT46" i="3"/>
  <c r="BT45" i="3"/>
  <c r="BT44" i="3"/>
  <c r="BM56" i="3"/>
  <c r="BM53" i="3"/>
  <c r="BM51" i="3"/>
  <c r="BM50" i="3"/>
  <c r="BM46" i="3"/>
  <c r="BM45" i="3"/>
  <c r="BM44" i="3"/>
  <c r="BF56" i="3"/>
  <c r="BF53" i="3"/>
  <c r="BF51" i="3"/>
  <c r="BF50" i="3"/>
  <c r="BF46" i="3"/>
  <c r="BF45" i="3"/>
  <c r="BF44" i="3"/>
  <c r="AY56" i="3"/>
  <c r="AY53" i="3"/>
  <c r="AY51" i="3"/>
  <c r="AY50" i="3"/>
  <c r="AY46" i="3"/>
  <c r="AY45" i="3"/>
  <c r="AY44" i="3"/>
  <c r="AR56" i="3"/>
  <c r="AR53" i="3"/>
  <c r="AR51" i="3"/>
  <c r="AR50" i="3"/>
  <c r="AR46" i="3"/>
  <c r="AR45" i="3"/>
  <c r="AR44" i="3"/>
  <c r="AK56" i="3"/>
  <c r="AK53" i="3"/>
  <c r="AK51" i="3"/>
  <c r="AK50" i="3"/>
  <c r="AK46" i="3"/>
  <c r="AK45" i="3"/>
  <c r="AK44" i="3"/>
  <c r="AD56" i="3"/>
  <c r="AD53" i="3"/>
  <c r="AD51" i="3"/>
  <c r="AD50" i="3"/>
  <c r="AD46" i="3"/>
  <c r="AD45" i="3"/>
  <c r="AD44" i="3"/>
  <c r="W56" i="3"/>
  <c r="W53" i="3"/>
  <c r="W51" i="3"/>
  <c r="W50" i="3"/>
  <c r="W46" i="3"/>
  <c r="W45" i="3"/>
  <c r="W44" i="3"/>
  <c r="P56" i="3"/>
  <c r="P53" i="3"/>
  <c r="P51" i="3"/>
  <c r="P50" i="3"/>
  <c r="P46" i="3"/>
  <c r="P45" i="3"/>
  <c r="P44" i="3"/>
  <c r="I56" i="3"/>
  <c r="I53" i="3"/>
  <c r="I51" i="3"/>
  <c r="I50" i="3"/>
  <c r="I46" i="3"/>
  <c r="I45" i="3"/>
  <c r="I44" i="3"/>
  <c r="B56" i="3"/>
  <c r="B53" i="3"/>
  <c r="B51" i="3"/>
  <c r="B50" i="3"/>
  <c r="B46" i="3"/>
  <c r="B45" i="3"/>
  <c r="B44" i="3"/>
  <c r="CV19" i="3"/>
  <c r="CO19" i="3"/>
  <c r="CH19" i="3"/>
  <c r="CA19" i="3"/>
  <c r="BT19" i="3"/>
  <c r="BM19" i="3"/>
  <c r="BF19" i="3"/>
  <c r="AY19" i="3"/>
  <c r="AR19" i="3"/>
  <c r="AK19" i="3"/>
  <c r="AD19" i="3"/>
  <c r="W19" i="3"/>
  <c r="CV18" i="3"/>
  <c r="CO18" i="3"/>
  <c r="CH18" i="3"/>
  <c r="CA18" i="3"/>
  <c r="BT18" i="3"/>
  <c r="BM18" i="3"/>
  <c r="BF18" i="3"/>
  <c r="AY18" i="3"/>
  <c r="AR18" i="3"/>
  <c r="AK18" i="3"/>
  <c r="AD18" i="3"/>
  <c r="W18" i="3"/>
  <c r="P19" i="3"/>
  <c r="P18" i="3"/>
  <c r="I19" i="3"/>
  <c r="I18" i="3"/>
  <c r="B34" i="3"/>
  <c r="I9" i="3"/>
  <c r="B9" i="3"/>
  <c r="I10" i="3"/>
  <c r="B10" i="3"/>
  <c r="B11" i="3"/>
  <c r="I11" i="3"/>
  <c r="CV35" i="3"/>
  <c r="D72" i="1"/>
  <c r="D87" i="1" s="1"/>
  <c r="E72" i="1"/>
  <c r="D73" i="1"/>
  <c r="E73" i="1"/>
  <c r="H72" i="1"/>
  <c r="H87" i="1" s="1"/>
  <c r="H73" i="1"/>
  <c r="F48" i="1"/>
  <c r="F49" i="1"/>
  <c r="F50" i="1"/>
  <c r="E63" i="1"/>
  <c r="G73" i="1"/>
  <c r="G72" i="1"/>
  <c r="G87" i="1" s="1"/>
  <c r="E66" i="1"/>
  <c r="E64" i="1"/>
  <c r="E17" i="22748"/>
  <c r="D17" i="22748"/>
  <c r="C17" i="22748"/>
  <c r="B59" i="22745"/>
  <c r="B54" i="22745"/>
  <c r="B53" i="22745"/>
  <c r="B52" i="22745"/>
  <c r="B51" i="22745"/>
  <c r="B44" i="22745"/>
  <c r="B43" i="22745"/>
  <c r="B42" i="22745"/>
  <c r="A41" i="22745"/>
  <c r="B33" i="22745"/>
  <c r="B32" i="22745"/>
  <c r="B31" i="22745"/>
  <c r="B30" i="22745"/>
  <c r="B29" i="22745"/>
  <c r="B26" i="22745"/>
  <c r="B25" i="22745"/>
  <c r="B24" i="22745"/>
  <c r="B23" i="22745"/>
  <c r="B22" i="22745"/>
  <c r="B21" i="22745"/>
  <c r="B20" i="22745"/>
  <c r="B19" i="22745"/>
  <c r="B18" i="22745"/>
  <c r="B17" i="22745"/>
  <c r="B16" i="22745"/>
  <c r="B13" i="22745"/>
  <c r="B12" i="22745"/>
  <c r="B11" i="22745"/>
  <c r="B10" i="22745"/>
  <c r="B11" i="22747"/>
  <c r="B10" i="22747"/>
  <c r="B9" i="22747"/>
  <c r="B67" i="22747"/>
  <c r="A134" i="22747" s="1"/>
  <c r="B65" i="22747"/>
  <c r="A132" i="22747" s="1"/>
  <c r="B59" i="22747"/>
  <c r="B57" i="22747"/>
  <c r="B56" i="22747"/>
  <c r="B54" i="22747"/>
  <c r="B53" i="22747"/>
  <c r="B50" i="22747"/>
  <c r="A185" i="22747" s="1"/>
  <c r="B49" i="22747"/>
  <c r="B34" i="22747"/>
  <c r="A33" i="22747"/>
  <c r="A32" i="22747"/>
  <c r="B31" i="22747"/>
  <c r="B30" i="22747"/>
  <c r="B18" i="22747"/>
  <c r="B17" i="22747"/>
  <c r="B14" i="22747"/>
  <c r="A190" i="22747"/>
  <c r="A189" i="22747"/>
  <c r="A169" i="22747"/>
  <c r="A126" i="22747"/>
  <c r="A125" i="22747"/>
  <c r="A143" i="22747"/>
  <c r="A147" i="22747"/>
  <c r="A139" i="22747"/>
  <c r="A131" i="22747"/>
  <c r="A133" i="22747"/>
  <c r="A138" i="22747"/>
  <c r="A130" i="22747"/>
  <c r="A151" i="22747"/>
  <c r="A152" i="22747"/>
  <c r="A153" i="22747"/>
  <c r="A122" i="22747"/>
  <c r="A145" i="22747"/>
  <c r="A144" i="22747"/>
  <c r="F42" i="22744"/>
  <c r="F41" i="22744"/>
  <c r="CH35" i="22746" s="1"/>
  <c r="B4" i="22747"/>
  <c r="BF9" i="22746"/>
  <c r="B67" i="22746"/>
  <c r="CV63" i="22746"/>
  <c r="CO63" i="22746"/>
  <c r="CH63" i="22746"/>
  <c r="CA63" i="22746"/>
  <c r="BT63" i="22746"/>
  <c r="BM63" i="22746"/>
  <c r="BF63" i="22746"/>
  <c r="AY63" i="22746"/>
  <c r="AR63" i="22746"/>
  <c r="AK63" i="22746"/>
  <c r="AD63" i="22746"/>
  <c r="W63" i="22746"/>
  <c r="P63" i="22746"/>
  <c r="I63" i="22746"/>
  <c r="B63" i="22746"/>
  <c r="CV61" i="22746"/>
  <c r="CO61" i="22746"/>
  <c r="CH61" i="22746"/>
  <c r="CA61" i="22746"/>
  <c r="BT61" i="22746"/>
  <c r="BM61" i="22746"/>
  <c r="BF61" i="22746"/>
  <c r="AY61" i="22746"/>
  <c r="AR61" i="22746"/>
  <c r="AK61" i="22746"/>
  <c r="AD61" i="22746"/>
  <c r="W61" i="22746"/>
  <c r="P61" i="22746"/>
  <c r="I61" i="22746"/>
  <c r="B61" i="22746"/>
  <c r="CV56" i="22746"/>
  <c r="CO56" i="22746"/>
  <c r="CH56" i="22746"/>
  <c r="CA56" i="22746"/>
  <c r="BT56" i="22746"/>
  <c r="BM56" i="22746"/>
  <c r="BF56" i="22746"/>
  <c r="AY56" i="22746"/>
  <c r="AR56" i="22746"/>
  <c r="AK56" i="22746"/>
  <c r="AD56" i="22746"/>
  <c r="W56" i="22746"/>
  <c r="P56" i="22746"/>
  <c r="I56" i="22746"/>
  <c r="B56" i="22746"/>
  <c r="CV54" i="22746"/>
  <c r="CO54" i="22746"/>
  <c r="CH54" i="22746"/>
  <c r="CA54" i="22746"/>
  <c r="BT54" i="22746"/>
  <c r="BM54" i="22746"/>
  <c r="BF54" i="22746"/>
  <c r="AY54" i="22746"/>
  <c r="AR54" i="22746"/>
  <c r="AK54" i="22746"/>
  <c r="AD54" i="22746"/>
  <c r="W54" i="22746"/>
  <c r="P54" i="22746"/>
  <c r="I54" i="22746"/>
  <c r="B54" i="22746"/>
  <c r="CV53" i="22746"/>
  <c r="CO53" i="22746"/>
  <c r="CH53" i="22746"/>
  <c r="CA53" i="22746"/>
  <c r="BT53" i="22746"/>
  <c r="BM53" i="22746"/>
  <c r="BF53" i="22746"/>
  <c r="AY53" i="22746"/>
  <c r="AR53" i="22746"/>
  <c r="AK53" i="22746"/>
  <c r="AD53" i="22746"/>
  <c r="W53" i="22746"/>
  <c r="P53" i="22746"/>
  <c r="I53" i="22746"/>
  <c r="B53" i="22746"/>
  <c r="CV51" i="22746"/>
  <c r="CO51" i="22746"/>
  <c r="CH51" i="22746"/>
  <c r="CA51" i="22746"/>
  <c r="BT51" i="22746"/>
  <c r="BM51" i="22746"/>
  <c r="BF51" i="22746"/>
  <c r="AY51" i="22746"/>
  <c r="AR51" i="22746"/>
  <c r="AK51" i="22746"/>
  <c r="AD51" i="22746"/>
  <c r="W51" i="22746"/>
  <c r="P51" i="22746"/>
  <c r="I51" i="22746"/>
  <c r="B51" i="22746"/>
  <c r="CV50" i="22746"/>
  <c r="CO50" i="22746"/>
  <c r="CH50" i="22746"/>
  <c r="CA50" i="22746"/>
  <c r="BT50" i="22746"/>
  <c r="BM50" i="22746"/>
  <c r="BF50" i="22746"/>
  <c r="AY50" i="22746"/>
  <c r="AR50" i="22746"/>
  <c r="AK50" i="22746"/>
  <c r="AD50" i="22746"/>
  <c r="W50" i="22746"/>
  <c r="P50" i="22746"/>
  <c r="I50" i="22746"/>
  <c r="B50" i="22746"/>
  <c r="CV47" i="22746"/>
  <c r="CO47" i="22746"/>
  <c r="CH47" i="22746"/>
  <c r="CA47" i="22746"/>
  <c r="BT47" i="22746"/>
  <c r="BM47" i="22746"/>
  <c r="BF47" i="22746"/>
  <c r="AY47" i="22746"/>
  <c r="AR47" i="22746"/>
  <c r="AK47" i="22746"/>
  <c r="AD47" i="22746"/>
  <c r="W47" i="22746"/>
  <c r="P47" i="22746"/>
  <c r="I47" i="22746"/>
  <c r="B47" i="22746"/>
  <c r="CV46" i="22746"/>
  <c r="CO46" i="22746"/>
  <c r="CH46" i="22746"/>
  <c r="CA46" i="22746"/>
  <c r="BT46" i="22746"/>
  <c r="BM46" i="22746"/>
  <c r="BF46" i="22746"/>
  <c r="AY46" i="22746"/>
  <c r="AR46" i="22746"/>
  <c r="AK46" i="22746"/>
  <c r="AD46" i="22746"/>
  <c r="W46" i="22746"/>
  <c r="P46" i="22746"/>
  <c r="I46" i="22746"/>
  <c r="B46" i="22746"/>
  <c r="CV45" i="22746"/>
  <c r="CO45" i="22746"/>
  <c r="CH45" i="22746"/>
  <c r="CA45" i="22746"/>
  <c r="BT45" i="22746"/>
  <c r="BM45" i="22746"/>
  <c r="BF45" i="22746"/>
  <c r="AY45" i="22746"/>
  <c r="AR45" i="22746"/>
  <c r="AK45" i="22746"/>
  <c r="AD45" i="22746"/>
  <c r="W45" i="22746"/>
  <c r="P45" i="22746"/>
  <c r="I45" i="22746"/>
  <c r="B45" i="22746"/>
  <c r="CV44" i="22746"/>
  <c r="CO44" i="22746"/>
  <c r="CH44" i="22746"/>
  <c r="CA44" i="22746"/>
  <c r="BT44" i="22746"/>
  <c r="BM44" i="22746"/>
  <c r="BF44" i="22746"/>
  <c r="AY44" i="22746"/>
  <c r="AR44" i="22746"/>
  <c r="AK44" i="22746"/>
  <c r="AD44" i="22746"/>
  <c r="W44" i="22746"/>
  <c r="P44" i="22746"/>
  <c r="I44" i="22746"/>
  <c r="B44" i="22746"/>
  <c r="CV37" i="22746"/>
  <c r="CO37" i="22746"/>
  <c r="CH37" i="22746"/>
  <c r="CA37" i="22746"/>
  <c r="BT37" i="22746"/>
  <c r="BM37" i="22746"/>
  <c r="BF37" i="22746"/>
  <c r="AY37" i="22746"/>
  <c r="AR37" i="22746"/>
  <c r="AK37" i="22746"/>
  <c r="AD37" i="22746"/>
  <c r="W37" i="22746"/>
  <c r="P37" i="22746"/>
  <c r="I37" i="22746"/>
  <c r="B37" i="22746"/>
  <c r="CU36" i="22746"/>
  <c r="CN36" i="22746"/>
  <c r="CG36" i="22746"/>
  <c r="BZ36" i="22746"/>
  <c r="BS36" i="22746"/>
  <c r="BL36" i="22746"/>
  <c r="BE36" i="22746"/>
  <c r="AX36" i="22746"/>
  <c r="AQ36" i="22746"/>
  <c r="AJ36" i="22746"/>
  <c r="AC36" i="22746"/>
  <c r="V36" i="22746"/>
  <c r="O36" i="22746"/>
  <c r="H36" i="22746"/>
  <c r="A36" i="22746"/>
  <c r="CU35" i="22746"/>
  <c r="CN35" i="22746"/>
  <c r="CG35" i="22746"/>
  <c r="BZ35" i="22746"/>
  <c r="BS35" i="22746"/>
  <c r="BL35" i="22746"/>
  <c r="BE35" i="22746"/>
  <c r="AX35" i="22746"/>
  <c r="AQ35" i="22746"/>
  <c r="AJ35" i="22746"/>
  <c r="AC35" i="22746"/>
  <c r="V35" i="22746"/>
  <c r="O35" i="22746"/>
  <c r="H35" i="22746"/>
  <c r="A35" i="22746"/>
  <c r="CV34" i="22746"/>
  <c r="CO34" i="22746"/>
  <c r="CH34" i="22746"/>
  <c r="CA34" i="22746"/>
  <c r="BT34" i="22746"/>
  <c r="BM34" i="22746"/>
  <c r="BF34" i="22746"/>
  <c r="AY34" i="22746"/>
  <c r="AR34" i="22746"/>
  <c r="AK34" i="22746"/>
  <c r="AD34" i="22746"/>
  <c r="W34" i="22746"/>
  <c r="P34" i="22746"/>
  <c r="I34" i="22746"/>
  <c r="B34" i="22746"/>
  <c r="CV33" i="22746"/>
  <c r="CO33" i="22746"/>
  <c r="CH33" i="22746"/>
  <c r="CA33" i="22746"/>
  <c r="BT33" i="22746"/>
  <c r="BM33" i="22746"/>
  <c r="BF33" i="22746"/>
  <c r="AY33" i="22746"/>
  <c r="AR33" i="22746"/>
  <c r="AK33" i="22746"/>
  <c r="AD33" i="22746"/>
  <c r="W33" i="22746"/>
  <c r="P33" i="22746"/>
  <c r="I33" i="22746"/>
  <c r="B33" i="22746"/>
  <c r="CV19" i="22746"/>
  <c r="CO19" i="22746"/>
  <c r="CH19" i="22746"/>
  <c r="CA19" i="22746"/>
  <c r="BT19" i="22746"/>
  <c r="BM19" i="22746"/>
  <c r="BF19" i="22746"/>
  <c r="AY19" i="22746"/>
  <c r="AR19" i="22746"/>
  <c r="AK19" i="22746"/>
  <c r="AD19" i="22746"/>
  <c r="W19" i="22746"/>
  <c r="P19" i="22746"/>
  <c r="CV18" i="22746"/>
  <c r="CO18" i="22746"/>
  <c r="CH18" i="22746"/>
  <c r="CA18" i="22746"/>
  <c r="BT18" i="22746"/>
  <c r="BM18" i="22746"/>
  <c r="BF18" i="22746"/>
  <c r="AY18" i="22746"/>
  <c r="AR18" i="22746"/>
  <c r="AK18" i="22746"/>
  <c r="AD18" i="22746"/>
  <c r="W18" i="22746"/>
  <c r="P18" i="22746"/>
  <c r="CV14" i="22746"/>
  <c r="CO14" i="22746"/>
  <c r="CH14" i="22746"/>
  <c r="CA14" i="22746"/>
  <c r="BT14" i="22746"/>
  <c r="BM14" i="22746"/>
  <c r="BF14" i="22746"/>
  <c r="AY14" i="22746"/>
  <c r="AR14" i="22746"/>
  <c r="AK14" i="22746"/>
  <c r="AD14" i="22746"/>
  <c r="W14" i="22746"/>
  <c r="P14" i="22746"/>
  <c r="I14" i="22746"/>
  <c r="B14" i="22746"/>
  <c r="CV11" i="22746"/>
  <c r="CO11" i="22746"/>
  <c r="CH11" i="22746"/>
  <c r="CA11" i="22746"/>
  <c r="BT11" i="22746"/>
  <c r="BM11" i="22746"/>
  <c r="BF11" i="22746"/>
  <c r="AY11" i="22746"/>
  <c r="AR11" i="22746"/>
  <c r="AK11" i="22746"/>
  <c r="AD11" i="22746"/>
  <c r="W11" i="22746"/>
  <c r="P11" i="22746"/>
  <c r="I11" i="22746"/>
  <c r="B11" i="22746"/>
  <c r="CV10" i="22746"/>
  <c r="CO10" i="22746"/>
  <c r="CH10" i="22746"/>
  <c r="CA10" i="22746"/>
  <c r="BT10" i="22746"/>
  <c r="BM10" i="22746"/>
  <c r="BF10" i="22746"/>
  <c r="AY10" i="22746"/>
  <c r="AR10" i="22746"/>
  <c r="AK10" i="22746"/>
  <c r="AD10" i="22746"/>
  <c r="W10" i="22746"/>
  <c r="P10" i="22746"/>
  <c r="I10" i="22746"/>
  <c r="B10" i="22746"/>
  <c r="CV9" i="22746"/>
  <c r="CO9" i="22746"/>
  <c r="CH9" i="22746"/>
  <c r="CA9" i="22746"/>
  <c r="BT9" i="22746"/>
  <c r="BM9" i="22746"/>
  <c r="AY9" i="22746"/>
  <c r="AR9" i="22746"/>
  <c r="AK9" i="22746"/>
  <c r="AD9" i="22746"/>
  <c r="W9" i="22746"/>
  <c r="P9" i="22746"/>
  <c r="I9" i="22746"/>
  <c r="B9" i="22746"/>
  <c r="CV36" i="22746"/>
  <c r="AK36" i="22746"/>
  <c r="CV35" i="22746"/>
  <c r="CA35" i="22746"/>
  <c r="BM35" i="22746"/>
  <c r="AR35" i="22746"/>
  <c r="W35" i="22746"/>
  <c r="I35" i="22746"/>
  <c r="B6" i="22746"/>
  <c r="P6" i="22746"/>
  <c r="AY6" i="22746"/>
  <c r="AR6" i="22746"/>
  <c r="AK6" i="22746"/>
  <c r="AD6" i="22746"/>
  <c r="W6" i="22746"/>
  <c r="BF6" i="22746"/>
  <c r="BM6" i="22746"/>
  <c r="BT6" i="22746"/>
  <c r="CA6" i="22746"/>
  <c r="CH6" i="22746"/>
  <c r="CO6" i="22746"/>
  <c r="CV6" i="22746"/>
  <c r="G72" i="22744"/>
  <c r="G73" i="22744"/>
  <c r="C20" i="22744"/>
  <c r="B20" i="22744"/>
  <c r="C154" i="2"/>
  <c r="C155" i="2" s="1"/>
  <c r="C151" i="2" s="1"/>
  <c r="E49" i="4"/>
  <c r="AU46" i="3"/>
  <c r="BI46" i="3"/>
  <c r="CR46" i="3"/>
  <c r="CY46" i="3"/>
  <c r="BB46" i="3"/>
  <c r="L44" i="3"/>
  <c r="AN44" i="3"/>
  <c r="AG44" i="3"/>
  <c r="CD44" i="3"/>
  <c r="B36" i="3"/>
  <c r="CP10" i="3"/>
  <c r="I36" i="3"/>
  <c r="P36" i="3"/>
  <c r="W36" i="3"/>
  <c r="AD36" i="3"/>
  <c r="AK36" i="3"/>
  <c r="AR36" i="3"/>
  <c r="AY36" i="3"/>
  <c r="BF36" i="3"/>
  <c r="BM36" i="3"/>
  <c r="BT36" i="3"/>
  <c r="CA36" i="3"/>
  <c r="CH36" i="3"/>
  <c r="CO36" i="3"/>
  <c r="E50" i="4"/>
  <c r="AG47" i="3"/>
  <c r="E45" i="3"/>
  <c r="L45" i="3"/>
  <c r="S45" i="3"/>
  <c r="E48" i="4"/>
  <c r="AG45" i="3"/>
  <c r="AU45" i="3"/>
  <c r="BI45" i="3"/>
  <c r="BW45" i="3"/>
  <c r="CD45" i="3"/>
  <c r="CR45" i="3"/>
  <c r="CY45" i="3"/>
  <c r="Z45" i="3"/>
  <c r="AN45" i="3"/>
  <c r="BB45" i="3"/>
  <c r="BP45" i="3"/>
  <c r="CK45" i="3"/>
  <c r="K42" i="3"/>
  <c r="R42" i="3"/>
  <c r="D42" i="3"/>
  <c r="T40" i="22746"/>
  <c r="E62" i="3"/>
  <c r="S60" i="3"/>
  <c r="S61" i="3"/>
  <c r="T61" i="3" s="1"/>
  <c r="E59" i="3"/>
  <c r="L62" i="3"/>
  <c r="F132" i="22753"/>
  <c r="H132" i="22753" s="1"/>
  <c r="E142" i="22745" s="1"/>
  <c r="D57" i="2"/>
  <c r="E57" i="2" s="1"/>
  <c r="B50" i="1"/>
  <c r="B51" i="1" s="1"/>
  <c r="G84" i="22744"/>
  <c r="G82" i="22744"/>
  <c r="G80" i="22744"/>
  <c r="G78" i="22744"/>
  <c r="G76" i="22744"/>
  <c r="E78" i="22744"/>
  <c r="E42" i="3"/>
  <c r="L42" i="3"/>
  <c r="S42" i="3"/>
  <c r="L65" i="3"/>
  <c r="L64" i="3"/>
  <c r="S63" i="3"/>
  <c r="L67" i="3"/>
  <c r="S67" i="3"/>
  <c r="T40" i="3"/>
  <c r="F40" i="3"/>
  <c r="C65" i="3"/>
  <c r="C64" i="3"/>
  <c r="J65" i="3"/>
  <c r="R42" i="22746"/>
  <c r="S51" i="3"/>
  <c r="T51" i="3" s="1"/>
  <c r="L50" i="3"/>
  <c r="M50" i="3" s="1"/>
  <c r="S50" i="3"/>
  <c r="D12" i="4"/>
  <c r="B22" i="22715"/>
  <c r="C22" i="22715" s="1"/>
  <c r="D69" i="2"/>
  <c r="E69" i="2" s="1"/>
  <c r="D66" i="2"/>
  <c r="E66" i="2" s="1"/>
  <c r="K62" i="3"/>
  <c r="R62" i="3"/>
  <c r="D62" i="3"/>
  <c r="F19" i="3"/>
  <c r="CE18" i="3"/>
  <c r="AG42" i="3"/>
  <c r="H130" i="22750"/>
  <c r="AA19" i="3"/>
  <c r="Y42" i="3"/>
  <c r="AF42" i="3"/>
  <c r="I24" i="22750"/>
  <c r="E140" i="22753"/>
  <c r="F139" i="22750"/>
  <c r="H139" i="22750" s="1"/>
  <c r="H57" i="22753"/>
  <c r="E131" i="22745" s="1"/>
  <c r="D65" i="22750"/>
  <c r="H65" i="22750"/>
  <c r="C72" i="22744"/>
  <c r="N10" i="22746" s="1"/>
  <c r="E26" i="22750"/>
  <c r="I26" i="22750" s="1"/>
  <c r="B76" i="1"/>
  <c r="G85" i="22744"/>
  <c r="D77" i="2"/>
  <c r="D73" i="2"/>
  <c r="E73" i="2" s="1"/>
  <c r="C67" i="2"/>
  <c r="D78" i="2"/>
  <c r="D75" i="2"/>
  <c r="E75" i="2" s="1"/>
  <c r="D71" i="2"/>
  <c r="E71" i="2" s="1"/>
  <c r="D76" i="2"/>
  <c r="E76" i="2" s="1"/>
  <c r="D72" i="2"/>
  <c r="E72" i="2" s="1"/>
  <c r="A1" i="22745"/>
  <c r="CQ62" i="3"/>
  <c r="CH35" i="3"/>
  <c r="BF35" i="3"/>
  <c r="AD35" i="3"/>
  <c r="B32" i="4"/>
  <c r="CA35" i="3"/>
  <c r="AY35" i="3"/>
  <c r="W35" i="3"/>
  <c r="B35" i="3"/>
  <c r="BT35" i="3"/>
  <c r="P35" i="3"/>
  <c r="BM35" i="3"/>
  <c r="I35" i="3"/>
  <c r="CJ9" i="3"/>
  <c r="H57" i="22750"/>
  <c r="C89" i="2"/>
  <c r="E89" i="2" s="1"/>
  <c r="E88" i="2"/>
  <c r="C94" i="2"/>
  <c r="E94" i="2" s="1"/>
  <c r="C90" i="2"/>
  <c r="E90" i="2" s="1"/>
  <c r="AH40" i="3"/>
  <c r="BQ40" i="3"/>
  <c r="AA40" i="3"/>
  <c r="CL40" i="3"/>
  <c r="AO40" i="3"/>
  <c r="BC40" i="3"/>
  <c r="BJ40" i="3"/>
  <c r="CZ40" i="3"/>
  <c r="AV40" i="3"/>
  <c r="BX40" i="3"/>
  <c r="CS40" i="3"/>
  <c r="CE40" i="3"/>
  <c r="F39" i="4"/>
  <c r="M40" i="3"/>
  <c r="H86" i="1"/>
  <c r="BG68" i="3" s="1"/>
  <c r="BI49" i="3" s="1"/>
  <c r="Z47" i="3"/>
  <c r="AU47" i="3"/>
  <c r="AN47" i="3"/>
  <c r="BI47" i="3"/>
  <c r="CK47" i="3"/>
  <c r="CY47" i="3"/>
  <c r="D70" i="2"/>
  <c r="D67" i="2"/>
  <c r="E67" i="2" s="1"/>
  <c r="D74" i="2"/>
  <c r="Z60" i="3"/>
  <c r="AG59" i="3"/>
  <c r="AG60" i="3"/>
  <c r="D68" i="2"/>
  <c r="E68" i="2" s="1"/>
  <c r="Z61" i="3"/>
  <c r="Z62" i="3"/>
  <c r="AG61" i="3"/>
  <c r="AH61" i="3" s="1"/>
  <c r="AG62" i="3"/>
  <c r="AN61" i="3"/>
  <c r="AO61" i="3" s="1"/>
  <c r="AN59" i="3"/>
  <c r="AU62" i="3"/>
  <c r="BI61" i="3"/>
  <c r="BJ61" i="3" s="1"/>
  <c r="BI62" i="3"/>
  <c r="BW60" i="3"/>
  <c r="CK62" i="3"/>
  <c r="CR59" i="3"/>
  <c r="CR60" i="3"/>
  <c r="D105" i="2"/>
  <c r="E105" i="2" s="1"/>
  <c r="Z59" i="3"/>
  <c r="AU59" i="3"/>
  <c r="AU60" i="3"/>
  <c r="BW61" i="3"/>
  <c r="BX61" i="3" s="1"/>
  <c r="BW62" i="3"/>
  <c r="CR61" i="3"/>
  <c r="CR62" i="3"/>
  <c r="BB61" i="3"/>
  <c r="BC61" i="3" s="1"/>
  <c r="BP61" i="3"/>
  <c r="BQ61" i="3" s="1"/>
  <c r="AN60" i="3"/>
  <c r="AN62" i="3"/>
  <c r="AU61" i="3"/>
  <c r="AV61" i="3" s="1"/>
  <c r="BB59" i="3"/>
  <c r="CD61" i="3"/>
  <c r="CE61" i="3" s="1"/>
  <c r="CK61" i="3"/>
  <c r="CL61" i="3" s="1"/>
  <c r="CK59" i="3"/>
  <c r="CY61" i="3"/>
  <c r="CZ61" i="3" s="1"/>
  <c r="L59" i="3"/>
  <c r="L60" i="3"/>
  <c r="D105" i="22745"/>
  <c r="E105" i="22745" s="1"/>
  <c r="BB62" i="3"/>
  <c r="BW59" i="3"/>
  <c r="E64" i="4"/>
  <c r="D51" i="22749"/>
  <c r="E51" i="22749" s="1"/>
  <c r="D53" i="22749"/>
  <c r="E53" i="22749" s="1"/>
  <c r="D63" i="22749"/>
  <c r="E63" i="22749" s="1"/>
  <c r="E60" i="3"/>
  <c r="L61" i="3"/>
  <c r="M61" i="3" s="1"/>
  <c r="S59" i="3"/>
  <c r="E61" i="3"/>
  <c r="F61" i="3" s="1"/>
  <c r="CK60" i="3"/>
  <c r="D54" i="22749"/>
  <c r="E54" i="22749" s="1"/>
  <c r="BP62" i="3"/>
  <c r="CD62" i="3"/>
  <c r="CY62" i="3"/>
  <c r="E65" i="4"/>
  <c r="F65" i="4" s="1"/>
  <c r="B132" i="4" s="1"/>
  <c r="H124" i="22715" s="1"/>
  <c r="S62" i="3"/>
  <c r="BI60" i="3"/>
  <c r="D54" i="2"/>
  <c r="E54" i="2" s="1"/>
  <c r="D66" i="22749"/>
  <c r="E66" i="22749" s="1"/>
  <c r="D37" i="4"/>
  <c r="F41" i="4"/>
  <c r="D65" i="1"/>
  <c r="E11" i="4" s="1"/>
  <c r="D95" i="22749"/>
  <c r="CZ42" i="3"/>
  <c r="BF36" i="22746"/>
  <c r="AD36" i="22746"/>
  <c r="CA36" i="22746"/>
  <c r="W36" i="22746"/>
  <c r="E87" i="1"/>
  <c r="CZ45" i="3"/>
  <c r="BV62" i="3"/>
  <c r="BQ69" i="3"/>
  <c r="AN65" i="3"/>
  <c r="AN67" i="3"/>
  <c r="AG64" i="3"/>
  <c r="AN63" i="3"/>
  <c r="Z63" i="3"/>
  <c r="Z67" i="3"/>
  <c r="BB64" i="3"/>
  <c r="BI64" i="3"/>
  <c r="BJ64" i="3" s="1"/>
  <c r="CD63" i="3"/>
  <c r="CK67" i="3"/>
  <c r="CY65" i="3"/>
  <c r="CY63" i="3"/>
  <c r="BB65" i="3"/>
  <c r="BB63" i="3"/>
  <c r="BB67" i="3"/>
  <c r="BI65" i="3"/>
  <c r="BP63" i="3"/>
  <c r="BW65" i="3"/>
  <c r="BW67" i="3"/>
  <c r="CR64" i="3"/>
  <c r="CR65" i="3"/>
  <c r="CR67" i="3"/>
  <c r="Z64" i="3"/>
  <c r="AG65" i="3"/>
  <c r="AU64" i="3"/>
  <c r="BP67" i="3"/>
  <c r="BW64" i="3"/>
  <c r="AN64" i="3"/>
  <c r="BP65" i="3"/>
  <c r="CY64" i="3"/>
  <c r="CZ64" i="3" s="1"/>
  <c r="BX42" i="3"/>
  <c r="BH62" i="3"/>
  <c r="BA62" i="3"/>
  <c r="BC62" i="3" s="1"/>
  <c r="AV42" i="3"/>
  <c r="Y62" i="3"/>
  <c r="AA62" i="3" s="1"/>
  <c r="CM9" i="22746"/>
  <c r="BX40" i="22746"/>
  <c r="AA61" i="3"/>
  <c r="Z42" i="3"/>
  <c r="AA42" i="3" s="1"/>
  <c r="AN42" i="3"/>
  <c r="AO42" i="3" s="1"/>
  <c r="CR42" i="3"/>
  <c r="CS42" i="3" s="1"/>
  <c r="BB42" i="3"/>
  <c r="BC42" i="3" s="1"/>
  <c r="BP42" i="3"/>
  <c r="BQ42" i="3" s="1"/>
  <c r="F138" i="22750"/>
  <c r="H138" i="22750" s="1"/>
  <c r="G19" i="22750"/>
  <c r="G77" i="22744"/>
  <c r="G81" i="22744"/>
  <c r="G75" i="22744"/>
  <c r="G83" i="22744"/>
  <c r="G74" i="22744"/>
  <c r="G79" i="22744"/>
  <c r="BO73" i="22746"/>
  <c r="BH73" i="22746"/>
  <c r="H65" i="22753"/>
  <c r="H72" i="22753" s="1"/>
  <c r="H74" i="22753" s="1"/>
  <c r="E132" i="22745" s="1"/>
  <c r="AG51" i="3"/>
  <c r="AH51" i="3" s="1"/>
  <c r="BB51" i="3"/>
  <c r="BC51" i="3" s="1"/>
  <c r="BI51" i="3"/>
  <c r="BJ51" i="3" s="1"/>
  <c r="AM62" i="3"/>
  <c r="AH19" i="3"/>
  <c r="AA69" i="3"/>
  <c r="H114" i="22750"/>
  <c r="C78" i="1"/>
  <c r="BD10" i="3" s="1"/>
  <c r="BA10" i="3" s="1"/>
  <c r="C76" i="1"/>
  <c r="C77" i="1"/>
  <c r="AP10" i="3"/>
  <c r="AM10" i="3" s="1"/>
  <c r="AL10" i="3" s="1"/>
  <c r="D130" i="1"/>
  <c r="AG53" i="3" s="1"/>
  <c r="F133" i="22750"/>
  <c r="H133" i="22750" s="1"/>
  <c r="N9" i="3"/>
  <c r="K9" i="3" s="1"/>
  <c r="D53" i="2"/>
  <c r="E53" i="2" s="1"/>
  <c r="F30" i="3"/>
  <c r="F140" i="22753"/>
  <c r="H46" i="22753"/>
  <c r="H49" i="22753" s="1"/>
  <c r="D65" i="22753"/>
  <c r="E32" i="22745"/>
  <c r="G86" i="1"/>
  <c r="J67" i="3" s="1"/>
  <c r="L48" i="3" s="1"/>
  <c r="C74" i="2"/>
  <c r="H105" i="22753"/>
  <c r="E140" i="22745"/>
  <c r="E121" i="22745"/>
  <c r="E44" i="22745"/>
  <c r="Q20" i="3"/>
  <c r="Q46" i="3" s="1"/>
  <c r="AG54" i="3"/>
  <c r="AH54" i="3" s="1"/>
  <c r="CK54" i="3"/>
  <c r="CL54" i="3" s="1"/>
  <c r="BB53" i="3"/>
  <c r="Z54" i="3"/>
  <c r="AA54" i="3" s="1"/>
  <c r="CD53" i="3"/>
  <c r="L53" i="3"/>
  <c r="CD54" i="3"/>
  <c r="CE54" i="3" s="1"/>
  <c r="L54" i="3"/>
  <c r="M54" i="3" s="1"/>
  <c r="S53" i="3"/>
  <c r="E141" i="2"/>
  <c r="D101" i="2"/>
  <c r="BU68" i="3"/>
  <c r="BW49" i="3" s="1"/>
  <c r="B25" i="22715"/>
  <c r="C25" i="22715" s="1"/>
  <c r="C73" i="4"/>
  <c r="CW68" i="3"/>
  <c r="AE68" i="3"/>
  <c r="AG49" i="3" s="1"/>
  <c r="E131" i="2"/>
  <c r="E130" i="22745"/>
  <c r="AE67" i="3"/>
  <c r="BG67" i="3"/>
  <c r="BI48" i="3" s="1"/>
  <c r="C67" i="3"/>
  <c r="BU67" i="3"/>
  <c r="AZ67" i="3"/>
  <c r="BB48" i="3" s="1"/>
  <c r="CB67" i="3"/>
  <c r="CD48" i="3" s="1"/>
  <c r="B24" i="22715"/>
  <c r="C24" i="22715" s="1"/>
  <c r="AZ10" i="3"/>
  <c r="CX63" i="22746" l="1"/>
  <c r="CJ63" i="22746"/>
  <c r="BV63" i="22746"/>
  <c r="BH63" i="22746"/>
  <c r="AT63" i="22746"/>
  <c r="AF63" i="22746"/>
  <c r="R63" i="22746"/>
  <c r="D67" i="22747"/>
  <c r="CQ63" i="22746"/>
  <c r="CC63" i="22746"/>
  <c r="BO63" i="22746"/>
  <c r="BA63" i="22746"/>
  <c r="AM63" i="22746"/>
  <c r="Y63" i="22746"/>
  <c r="CJ73" i="22746"/>
  <c r="BQ65" i="3"/>
  <c r="BX64" i="3"/>
  <c r="CS65" i="3"/>
  <c r="BC65" i="3"/>
  <c r="AO65" i="3"/>
  <c r="A1" i="22748"/>
  <c r="H85" i="22744"/>
  <c r="Q65" i="3"/>
  <c r="Q64" i="3"/>
  <c r="T64" i="3" s="1"/>
  <c r="J64" i="3"/>
  <c r="D80" i="22744"/>
  <c r="E82" i="22744"/>
  <c r="H78" i="22744"/>
  <c r="CX73" i="22746"/>
  <c r="D72" i="22744"/>
  <c r="E11" i="22752"/>
  <c r="C69" i="4"/>
  <c r="C68" i="4"/>
  <c r="CW65" i="3"/>
  <c r="CZ65" i="3" s="1"/>
  <c r="CP64" i="3"/>
  <c r="CS64" i="3" s="1"/>
  <c r="CB65" i="3"/>
  <c r="BU65" i="3"/>
  <c r="BX65" i="3" s="1"/>
  <c r="BN64" i="3"/>
  <c r="BG65" i="3"/>
  <c r="BJ65" i="3" s="1"/>
  <c r="AZ64" i="3"/>
  <c r="BC64" i="3" s="1"/>
  <c r="AS64" i="3"/>
  <c r="AV64" i="3" s="1"/>
  <c r="AE65" i="3"/>
  <c r="AH65" i="3" s="1"/>
  <c r="D66" i="1"/>
  <c r="E18" i="22714" s="1"/>
  <c r="C81" i="22749"/>
  <c r="K30" i="3" s="1"/>
  <c r="M30" i="3" s="1"/>
  <c r="E52" i="4"/>
  <c r="F49" i="4"/>
  <c r="K54" i="4"/>
  <c r="AH69" i="3"/>
  <c r="CS35" i="3"/>
  <c r="BX19" i="3"/>
  <c r="BJ18" i="3"/>
  <c r="Y10" i="3"/>
  <c r="X10" i="3" s="1"/>
  <c r="C20" i="3"/>
  <c r="C46" i="3" s="1"/>
  <c r="D59" i="3" s="1"/>
  <c r="F59" i="3" s="1"/>
  <c r="E101" i="2"/>
  <c r="M65" i="3"/>
  <c r="T42" i="3"/>
  <c r="M42" i="3"/>
  <c r="F64" i="1"/>
  <c r="CZ51" i="3"/>
  <c r="CP20" i="3"/>
  <c r="CP46" i="3" s="1"/>
  <c r="CQ59" i="3" s="1"/>
  <c r="CS59" i="3" s="1"/>
  <c r="CL69" i="3"/>
  <c r="CE42" i="3"/>
  <c r="CC9" i="3"/>
  <c r="CZ19" i="3"/>
  <c r="CZ18" i="3"/>
  <c r="AZ20" i="3"/>
  <c r="AZ46" i="3" s="1"/>
  <c r="BC46" i="3" s="1"/>
  <c r="AL64" i="3"/>
  <c r="AO64" i="3" s="1"/>
  <c r="AE64" i="3"/>
  <c r="AH64" i="3" s="1"/>
  <c r="X64" i="3"/>
  <c r="AA64" i="3" s="1"/>
  <c r="E91" i="2"/>
  <c r="J25" i="22753"/>
  <c r="M51" i="3"/>
  <c r="AF10" i="3"/>
  <c r="AE10" i="3" s="1"/>
  <c r="C58" i="2"/>
  <c r="H83" i="22750"/>
  <c r="H84" i="22750" s="1"/>
  <c r="I80" i="22750" s="1"/>
  <c r="D66" i="4"/>
  <c r="K59" i="3"/>
  <c r="M59" i="3" s="1"/>
  <c r="Q68" i="3"/>
  <c r="BN68" i="3"/>
  <c r="BP49" i="3" s="1"/>
  <c r="J68" i="3"/>
  <c r="CB68" i="3"/>
  <c r="CD49" i="3" s="1"/>
  <c r="AL68" i="3"/>
  <c r="AN49" i="3" s="1"/>
  <c r="E54" i="3"/>
  <c r="F54" i="3" s="1"/>
  <c r="D65" i="22749"/>
  <c r="E65" i="22749" s="1"/>
  <c r="E57" i="4"/>
  <c r="F57" i="4" s="1"/>
  <c r="BB54" i="3"/>
  <c r="BC54" i="3" s="1"/>
  <c r="BI54" i="3"/>
  <c r="BJ54" i="3" s="1"/>
  <c r="CR53" i="3"/>
  <c r="AU54" i="3"/>
  <c r="AV54" i="3" s="1"/>
  <c r="AN53" i="3"/>
  <c r="Z53" i="3"/>
  <c r="AP12" i="3"/>
  <c r="AO62" i="3"/>
  <c r="D123" i="2"/>
  <c r="E123" i="2" s="1"/>
  <c r="H19" i="22750"/>
  <c r="BJ62" i="3"/>
  <c r="F62" i="3"/>
  <c r="B33" i="4"/>
  <c r="CZ69" i="3"/>
  <c r="CS69" i="3"/>
  <c r="CJ62" i="3"/>
  <c r="CL62" i="3" s="1"/>
  <c r="CB20" i="3"/>
  <c r="CB46" i="3" s="1"/>
  <c r="CL19" i="3"/>
  <c r="CS19" i="3"/>
  <c r="BX69" i="3"/>
  <c r="BX18" i="3"/>
  <c r="BX20" i="3" s="1"/>
  <c r="BJ19" i="3"/>
  <c r="BJ20" i="3" s="1"/>
  <c r="F79" i="1"/>
  <c r="BK11" i="3" s="1"/>
  <c r="BI42" i="3"/>
  <c r="BC69" i="3"/>
  <c r="AV69" i="3"/>
  <c r="AO19" i="3"/>
  <c r="AM9" i="3"/>
  <c r="AL9" i="3" s="1"/>
  <c r="AL20" i="3"/>
  <c r="AL46" i="3" s="1"/>
  <c r="BQ19" i="3"/>
  <c r="E77" i="2"/>
  <c r="E8" i="2"/>
  <c r="T18" i="3"/>
  <c r="T20" i="3" s="1"/>
  <c r="T69" i="3"/>
  <c r="BH62" i="22746"/>
  <c r="D83" i="22744"/>
  <c r="F82" i="22753"/>
  <c r="CQ73" i="22746"/>
  <c r="BA73" i="22746"/>
  <c r="CC73" i="22746"/>
  <c r="B84" i="22744"/>
  <c r="CT9" i="22746" s="1"/>
  <c r="A1" i="22747"/>
  <c r="D78" i="22744"/>
  <c r="D82" i="22744"/>
  <c r="E80" i="22744"/>
  <c r="H80" i="22744"/>
  <c r="R73" i="22746"/>
  <c r="H72" i="22744"/>
  <c r="D73" i="22744"/>
  <c r="D85" i="22744"/>
  <c r="CW20" i="22746"/>
  <c r="CW46" i="22746" s="1"/>
  <c r="CB20" i="22746"/>
  <c r="CB46" i="22746" s="1"/>
  <c r="CC59" i="22746" s="1"/>
  <c r="BO62" i="22746"/>
  <c r="AZ20" i="22746"/>
  <c r="AZ46" i="22746" s="1"/>
  <c r="E81" i="22744"/>
  <c r="D74" i="22744"/>
  <c r="C125" i="22745"/>
  <c r="P35" i="22746"/>
  <c r="AK35" i="22746"/>
  <c r="AY35" i="22746"/>
  <c r="BT35" i="22746"/>
  <c r="CO35" i="22746"/>
  <c r="B32" i="22747"/>
  <c r="CX62" i="22746"/>
  <c r="AT42" i="22746"/>
  <c r="E91" i="22745"/>
  <c r="H82" i="22753"/>
  <c r="H83" i="22753" s="1"/>
  <c r="CK51" i="3"/>
  <c r="CL51" i="3" s="1"/>
  <c r="CR51" i="3"/>
  <c r="CS51" i="3" s="1"/>
  <c r="Z51" i="3"/>
  <c r="AA51" i="3" s="1"/>
  <c r="S47" i="3"/>
  <c r="BP47" i="3"/>
  <c r="CR47" i="3"/>
  <c r="L47" i="3"/>
  <c r="CD47" i="3"/>
  <c r="E47" i="3"/>
  <c r="BW47" i="3"/>
  <c r="BW44" i="3"/>
  <c r="CK44" i="3"/>
  <c r="Z44" i="3"/>
  <c r="AV45" i="3"/>
  <c r="H17" i="22750"/>
  <c r="H20" i="22750" s="1"/>
  <c r="I19" i="22750" s="1"/>
  <c r="E120" i="2"/>
  <c r="E119" i="22745"/>
  <c r="E118" i="22745"/>
  <c r="E17" i="2"/>
  <c r="E31" i="22749"/>
  <c r="E69" i="22749" s="1"/>
  <c r="E13" i="2"/>
  <c r="E10" i="2"/>
  <c r="E39" i="2"/>
  <c r="E67" i="22749"/>
  <c r="E55" i="22749"/>
  <c r="E71" i="22749" s="1"/>
  <c r="E70" i="2"/>
  <c r="E9" i="22749"/>
  <c r="E43" i="2"/>
  <c r="E42" i="2"/>
  <c r="E32" i="2"/>
  <c r="E30" i="2"/>
  <c r="E25" i="2"/>
  <c r="E23" i="2"/>
  <c r="E21" i="2"/>
  <c r="E25" i="22745"/>
  <c r="E33" i="22752"/>
  <c r="E71" i="22752" s="1"/>
  <c r="E21" i="22745"/>
  <c r="E43" i="22745"/>
  <c r="E45" i="22745" s="1"/>
  <c r="E31" i="22745"/>
  <c r="E29" i="22745"/>
  <c r="E23" i="22745"/>
  <c r="E19" i="22745"/>
  <c r="E17" i="22745"/>
  <c r="E16" i="22745"/>
  <c r="E12" i="22745"/>
  <c r="I27" i="22714"/>
  <c r="I25" i="22714"/>
  <c r="I36" i="22714"/>
  <c r="I30" i="22714"/>
  <c r="I32" i="22714"/>
  <c r="I31" i="22714"/>
  <c r="I29" i="22714"/>
  <c r="I33" i="22714"/>
  <c r="I34" i="22714"/>
  <c r="E141" i="22750"/>
  <c r="B18" i="22748"/>
  <c r="C55" i="22715"/>
  <c r="Z9" i="3"/>
  <c r="C83" i="22749"/>
  <c r="F83" i="22749" s="1"/>
  <c r="B52" i="1"/>
  <c r="CZ63" i="3"/>
  <c r="AH42" i="3"/>
  <c r="J10" i="3"/>
  <c r="M10" i="3"/>
  <c r="AG63" i="3"/>
  <c r="AH63" i="3" s="1"/>
  <c r="AG67" i="3"/>
  <c r="BP64" i="3"/>
  <c r="BQ64" i="3" s="1"/>
  <c r="CD65" i="3"/>
  <c r="CK63" i="3"/>
  <c r="CL63" i="3" s="1"/>
  <c r="E72" i="4"/>
  <c r="AU67" i="3"/>
  <c r="BI63" i="3"/>
  <c r="BJ63" i="3" s="1"/>
  <c r="BI67" i="3"/>
  <c r="CD67" i="3"/>
  <c r="CK65" i="3"/>
  <c r="CL65" i="3" s="1"/>
  <c r="CR63" i="3"/>
  <c r="E69" i="4"/>
  <c r="F69" i="4" s="1"/>
  <c r="B137" i="4" s="1"/>
  <c r="E64" i="3"/>
  <c r="F64" i="3" s="1"/>
  <c r="E65" i="3"/>
  <c r="S65" i="3"/>
  <c r="T65" i="3" s="1"/>
  <c r="S64" i="3"/>
  <c r="AU65" i="3"/>
  <c r="AV65" i="3" s="1"/>
  <c r="CD64" i="3"/>
  <c r="L63" i="3"/>
  <c r="M63" i="3" s="1"/>
  <c r="E67" i="3"/>
  <c r="E63" i="3"/>
  <c r="F63" i="3" s="1"/>
  <c r="BW50" i="3"/>
  <c r="BX50" i="3" s="1"/>
  <c r="CD50" i="3"/>
  <c r="CE50" i="3" s="1"/>
  <c r="CR50" i="3"/>
  <c r="CS50" i="3" s="1"/>
  <c r="AG50" i="3"/>
  <c r="AH50" i="3" s="1"/>
  <c r="AN50" i="3"/>
  <c r="AO50" i="3" s="1"/>
  <c r="BB50" i="3"/>
  <c r="BC50" i="3" s="1"/>
  <c r="BI50" i="3"/>
  <c r="BJ50" i="3" s="1"/>
  <c r="BP50" i="3"/>
  <c r="BQ50" i="3" s="1"/>
  <c r="CY50" i="3"/>
  <c r="E50" i="3"/>
  <c r="F50" i="3" s="1"/>
  <c r="E53" i="4"/>
  <c r="F53" i="4" s="1"/>
  <c r="D55" i="2"/>
  <c r="D39" i="22749"/>
  <c r="E39" i="22749" s="1"/>
  <c r="D60" i="3"/>
  <c r="F60" i="3" s="1"/>
  <c r="CL45" i="3"/>
  <c r="F65" i="3"/>
  <c r="CO35" i="3"/>
  <c r="AR35" i="3"/>
  <c r="AK35" i="3"/>
  <c r="S10" i="3"/>
  <c r="T10" i="3" s="1"/>
  <c r="C51" i="1"/>
  <c r="L46" i="3"/>
  <c r="M46" i="3" s="1"/>
  <c r="S46" i="3"/>
  <c r="T46" i="3" s="1"/>
  <c r="BW46" i="3"/>
  <c r="Z46" i="3"/>
  <c r="BP46" i="3"/>
  <c r="E46" i="3"/>
  <c r="AG46" i="3"/>
  <c r="CD46" i="3"/>
  <c r="AN46" i="3"/>
  <c r="AO46" i="3" s="1"/>
  <c r="CK46" i="3"/>
  <c r="D59" i="2"/>
  <c r="D102" i="2" s="1"/>
  <c r="D58" i="2"/>
  <c r="I35" i="22714"/>
  <c r="I24" i="22714"/>
  <c r="CS36" i="3"/>
  <c r="AF62" i="3"/>
  <c r="AA44" i="3"/>
  <c r="Z65" i="3"/>
  <c r="AA65" i="3" s="1"/>
  <c r="E86" i="1"/>
  <c r="K68" i="3" s="1"/>
  <c r="M68" i="3" s="1"/>
  <c r="BH10" i="3"/>
  <c r="BG10" i="3" s="1"/>
  <c r="BK12" i="3"/>
  <c r="AI9" i="3"/>
  <c r="B78" i="1"/>
  <c r="BD9" i="3" s="1"/>
  <c r="B77" i="1"/>
  <c r="AW9" i="3" s="1"/>
  <c r="AT9" i="3" s="1"/>
  <c r="AS9" i="3" s="1"/>
  <c r="T50" i="3"/>
  <c r="AS67" i="3"/>
  <c r="AU48" i="3" s="1"/>
  <c r="CI67" i="3"/>
  <c r="CK48" i="3" s="1"/>
  <c r="CP68" i="3"/>
  <c r="AS68" i="3"/>
  <c r="AU49" i="3" s="1"/>
  <c r="CI68" i="3"/>
  <c r="X68" i="3"/>
  <c r="Z49" i="3" s="1"/>
  <c r="S54" i="3"/>
  <c r="T54" i="3" s="1"/>
  <c r="D37" i="22749"/>
  <c r="E37" i="22749" s="1"/>
  <c r="BW53" i="3"/>
  <c r="BW54" i="3"/>
  <c r="BX54" i="3" s="1"/>
  <c r="CK53" i="3"/>
  <c r="AN54" i="3"/>
  <c r="AO54" i="3" s="1"/>
  <c r="H140" i="22753"/>
  <c r="BX62" i="3"/>
  <c r="E74" i="2"/>
  <c r="F44" i="3"/>
  <c r="F52" i="3" s="1"/>
  <c r="AU50" i="3"/>
  <c r="AV50" i="3" s="1"/>
  <c r="Z50" i="3"/>
  <c r="AA50" i="3" s="1"/>
  <c r="G11" i="3"/>
  <c r="F77" i="1"/>
  <c r="AW11" i="3" s="1"/>
  <c r="AT11" i="3" s="1"/>
  <c r="F83" i="1"/>
  <c r="CM11" i="3" s="1"/>
  <c r="CJ11" i="3" s="1"/>
  <c r="F72" i="1"/>
  <c r="N11" i="3" s="1"/>
  <c r="F75" i="1"/>
  <c r="AI11" i="3" s="1"/>
  <c r="AF11" i="3" s="1"/>
  <c r="AH34" i="3" s="1"/>
  <c r="F84" i="1"/>
  <c r="CT11" i="3" s="1"/>
  <c r="CT12" i="3" s="1"/>
  <c r="F80" i="1"/>
  <c r="F73" i="1"/>
  <c r="U11" i="3" s="1"/>
  <c r="F78" i="1"/>
  <c r="BD11" i="3" s="1"/>
  <c r="BA11" i="3" s="1"/>
  <c r="F81" i="1"/>
  <c r="BY11" i="3" s="1"/>
  <c r="BV11" i="3" s="1"/>
  <c r="F85" i="1"/>
  <c r="DA11" i="3" s="1"/>
  <c r="F82" i="1"/>
  <c r="CF11" i="3" s="1"/>
  <c r="CF12" i="3" s="1"/>
  <c r="AU51" i="3"/>
  <c r="BW51" i="3"/>
  <c r="BX51" i="3" s="1"/>
  <c r="CD51" i="3"/>
  <c r="E54" i="4"/>
  <c r="F54" i="4" s="1"/>
  <c r="AN51" i="3"/>
  <c r="AO51" i="3" s="1"/>
  <c r="E51" i="3"/>
  <c r="F51" i="3" s="1"/>
  <c r="E47" i="4"/>
  <c r="BB44" i="3"/>
  <c r="AU44" i="3"/>
  <c r="CR44" i="3"/>
  <c r="S44" i="3"/>
  <c r="BP44" i="3"/>
  <c r="BI44" i="3"/>
  <c r="CY44" i="3"/>
  <c r="I27" i="22750"/>
  <c r="I23" i="22714"/>
  <c r="F68" i="4"/>
  <c r="B136" i="4" s="1"/>
  <c r="CC62" i="3"/>
  <c r="CJ10" i="3"/>
  <c r="CI10" i="3" s="1"/>
  <c r="BO62" i="3"/>
  <c r="BQ62" i="3" s="1"/>
  <c r="BJ42" i="3"/>
  <c r="AO69" i="3"/>
  <c r="AA18" i="3"/>
  <c r="AA20" i="3" s="1"/>
  <c r="E92" i="2"/>
  <c r="F17" i="4"/>
  <c r="M64" i="3"/>
  <c r="I26" i="22714"/>
  <c r="CC59" i="3"/>
  <c r="CE59" i="3" s="1"/>
  <c r="CE64" i="3"/>
  <c r="CE19" i="3"/>
  <c r="CE20" i="3" s="1"/>
  <c r="CL18" i="3"/>
  <c r="CL20" i="3" s="1"/>
  <c r="BV10" i="3"/>
  <c r="BU10" i="3" s="1"/>
  <c r="F18" i="4"/>
  <c r="F19" i="4" s="1"/>
  <c r="B35" i="22715" s="1"/>
  <c r="C35" i="22715" s="1"/>
  <c r="F28" i="22746" s="1"/>
  <c r="F45" i="3"/>
  <c r="I28" i="22714"/>
  <c r="D20" i="1"/>
  <c r="CW20" i="3"/>
  <c r="CW46" i="3" s="1"/>
  <c r="CZ46" i="3" s="1"/>
  <c r="BJ45" i="3"/>
  <c r="BC63" i="3"/>
  <c r="AV63" i="3"/>
  <c r="AS20" i="3"/>
  <c r="AS46" i="3" s="1"/>
  <c r="AT59" i="3" s="1"/>
  <c r="AV59" i="3" s="1"/>
  <c r="AO18" i="3"/>
  <c r="AO20" i="3" s="1"/>
  <c r="AO63" i="3"/>
  <c r="AE20" i="3"/>
  <c r="AE46" i="3" s="1"/>
  <c r="BO9" i="3"/>
  <c r="D86" i="1"/>
  <c r="CS37" i="3" s="1"/>
  <c r="E60" i="2"/>
  <c r="D9" i="3"/>
  <c r="F9" i="3" s="1"/>
  <c r="L49" i="3"/>
  <c r="E52" i="22744"/>
  <c r="F52" i="22744" s="1"/>
  <c r="E51" i="22744"/>
  <c r="Y12" i="22746" s="1"/>
  <c r="E57" i="22744"/>
  <c r="BO12" i="22746" s="1"/>
  <c r="E59" i="22744"/>
  <c r="AT68" i="3"/>
  <c r="AV68" i="3" s="1"/>
  <c r="BV68" i="3"/>
  <c r="BX68" i="3" s="1"/>
  <c r="AO35" i="3"/>
  <c r="R59" i="3"/>
  <c r="T59" i="3" s="1"/>
  <c r="CS46" i="3"/>
  <c r="AM59" i="3"/>
  <c r="AO59" i="3" s="1"/>
  <c r="AH62" i="3"/>
  <c r="D63" i="4"/>
  <c r="F63" i="4" s="1"/>
  <c r="B130" i="4" s="1"/>
  <c r="K49" i="4"/>
  <c r="I81" i="22750"/>
  <c r="I82" i="22750"/>
  <c r="CR49" i="3"/>
  <c r="CY49" i="3"/>
  <c r="T36" i="3"/>
  <c r="Q9" i="3"/>
  <c r="T35" i="3"/>
  <c r="AF59" i="3"/>
  <c r="AH59" i="3" s="1"/>
  <c r="T44" i="3"/>
  <c r="BX63" i="3"/>
  <c r="BA59" i="3"/>
  <c r="BC59" i="3" s="1"/>
  <c r="AV19" i="3"/>
  <c r="T63" i="3"/>
  <c r="M18" i="3"/>
  <c r="M44" i="3"/>
  <c r="F18" i="3"/>
  <c r="F20" i="3" s="1"/>
  <c r="CS62" i="3"/>
  <c r="E58" i="2"/>
  <c r="E102" i="2"/>
  <c r="E103" i="2" s="1"/>
  <c r="E106" i="2" s="1"/>
  <c r="T62" i="3"/>
  <c r="CE46" i="3"/>
  <c r="F74" i="4"/>
  <c r="CL50" i="3"/>
  <c r="CE51" i="3"/>
  <c r="BV9" i="3"/>
  <c r="BU9" i="3" s="1"/>
  <c r="BQ51" i="3"/>
  <c r="BH9" i="3"/>
  <c r="BC37" i="3"/>
  <c r="AF9" i="3"/>
  <c r="X20" i="3"/>
  <c r="X46" i="3" s="1"/>
  <c r="E93" i="2"/>
  <c r="BO10" i="3"/>
  <c r="BN10" i="3" s="1"/>
  <c r="Y9" i="3"/>
  <c r="E52" i="2"/>
  <c r="M69" i="3"/>
  <c r="D10" i="3"/>
  <c r="C80" i="22715"/>
  <c r="CM12" i="3"/>
  <c r="DA30" i="3"/>
  <c r="BN20" i="3"/>
  <c r="BN46" i="3" s="1"/>
  <c r="BH11" i="3"/>
  <c r="BC19" i="3"/>
  <c r="AV18" i="3"/>
  <c r="AO45" i="3"/>
  <c r="AH18" i="3"/>
  <c r="AH20" i="3" s="1"/>
  <c r="E55" i="2"/>
  <c r="M19" i="3"/>
  <c r="F69" i="3"/>
  <c r="M45" i="3"/>
  <c r="A1" i="3"/>
  <c r="BC45" i="3"/>
  <c r="CE45" i="3"/>
  <c r="AH45" i="3"/>
  <c r="F48" i="4"/>
  <c r="B164" i="4" s="1"/>
  <c r="BX45" i="3"/>
  <c r="BQ45" i="3"/>
  <c r="AO44" i="3"/>
  <c r="T45" i="3"/>
  <c r="K48" i="22747"/>
  <c r="BA60" i="3"/>
  <c r="BC60" i="3" s="1"/>
  <c r="K48" i="3"/>
  <c r="M47" i="3" s="1"/>
  <c r="M36" i="3"/>
  <c r="M35" i="3"/>
  <c r="M9" i="3"/>
  <c r="J9" i="3"/>
  <c r="J25" i="22750"/>
  <c r="J24" i="22750"/>
  <c r="J27" i="22750"/>
  <c r="E124" i="2"/>
  <c r="CX10" i="3"/>
  <c r="DA12" i="3"/>
  <c r="E78" i="2"/>
  <c r="C79" i="2"/>
  <c r="E79" i="2" s="1"/>
  <c r="AG55" i="3"/>
  <c r="AH55" i="3" s="1"/>
  <c r="AU55" i="3"/>
  <c r="AV55" i="3" s="1"/>
  <c r="CY55" i="3"/>
  <c r="CZ55" i="3" s="1"/>
  <c r="AN55" i="3"/>
  <c r="AO55" i="3" s="1"/>
  <c r="BB55" i="3"/>
  <c r="BC55" i="3" s="1"/>
  <c r="BI55" i="3"/>
  <c r="BJ55" i="3" s="1"/>
  <c r="CD55" i="3"/>
  <c r="CE55" i="3" s="1"/>
  <c r="CK55" i="3"/>
  <c r="CL55" i="3" s="1"/>
  <c r="CR55" i="3"/>
  <c r="CS55" i="3" s="1"/>
  <c r="D40" i="22749"/>
  <c r="E40" i="22749" s="1"/>
  <c r="E41" i="22749" s="1"/>
  <c r="E70" i="22749" s="1"/>
  <c r="BP55" i="3"/>
  <c r="BQ55" i="3" s="1"/>
  <c r="BW55" i="3"/>
  <c r="BX55" i="3" s="1"/>
  <c r="Z55" i="3"/>
  <c r="AA55" i="3" s="1"/>
  <c r="D56" i="2"/>
  <c r="E56" i="2" s="1"/>
  <c r="E58" i="4"/>
  <c r="F58" i="4" s="1"/>
  <c r="S55" i="3"/>
  <c r="T55" i="3" s="1"/>
  <c r="E55" i="3"/>
  <c r="F55" i="3" s="1"/>
  <c r="E14" i="2"/>
  <c r="S49" i="3"/>
  <c r="E95" i="2"/>
  <c r="CL36" i="3"/>
  <c r="CI9" i="3"/>
  <c r="B87" i="1"/>
  <c r="B86" i="1"/>
  <c r="G9" i="4" s="1"/>
  <c r="H72" i="22750"/>
  <c r="H141" i="22750"/>
  <c r="L55" i="3"/>
  <c r="M55" i="3" s="1"/>
  <c r="BO48" i="3"/>
  <c r="BQ47" i="3" s="1"/>
  <c r="BN9" i="3"/>
  <c r="E48" i="3"/>
  <c r="I28" i="22750"/>
  <c r="AW10" i="3"/>
  <c r="C87" i="1"/>
  <c r="C86" i="1"/>
  <c r="G10" i="4" s="1"/>
  <c r="D10" i="4" s="1"/>
  <c r="E17" i="22747"/>
  <c r="L19" i="22746"/>
  <c r="M19" i="22746" s="1"/>
  <c r="CR18" i="22746"/>
  <c r="CS18" i="22746" s="1"/>
  <c r="AU19" i="22746"/>
  <c r="AV19" i="22746" s="1"/>
  <c r="CY18" i="22746"/>
  <c r="S18" i="22746"/>
  <c r="BP19" i="22746"/>
  <c r="BQ19" i="22746" s="1"/>
  <c r="BP18" i="22746"/>
  <c r="BQ18" i="22746" s="1"/>
  <c r="Z18" i="22746"/>
  <c r="AN19" i="22746"/>
  <c r="AO19" i="22746" s="1"/>
  <c r="CK18" i="22746"/>
  <c r="BW18" i="22746"/>
  <c r="BX18" i="22746" s="1"/>
  <c r="CD19" i="22746"/>
  <c r="CE19" i="22746" s="1"/>
  <c r="BB18" i="22746"/>
  <c r="BC18" i="22746" s="1"/>
  <c r="BR11" i="3"/>
  <c r="K67" i="3"/>
  <c r="BW48" i="3"/>
  <c r="BV67" i="3"/>
  <c r="AG48" i="3"/>
  <c r="E142" i="2"/>
  <c r="CP67" i="3"/>
  <c r="BN67" i="3"/>
  <c r="C72" i="4"/>
  <c r="E51" i="4" s="1"/>
  <c r="K49" i="3"/>
  <c r="M49" i="3" s="1"/>
  <c r="CC49" i="3"/>
  <c r="CJ49" i="3"/>
  <c r="CL49" i="3" s="1"/>
  <c r="BO49" i="3"/>
  <c r="BQ49" i="3" s="1"/>
  <c r="D52" i="4"/>
  <c r="F52" i="4" s="1"/>
  <c r="BV49" i="3"/>
  <c r="Y49" i="3"/>
  <c r="AA49" i="3" s="1"/>
  <c r="AM49" i="3"/>
  <c r="AO49" i="3" s="1"/>
  <c r="CX49" i="3"/>
  <c r="CZ49" i="3" s="1"/>
  <c r="BH49" i="3"/>
  <c r="BJ49" i="3" s="1"/>
  <c r="C82" i="22749"/>
  <c r="R30" i="3" s="1"/>
  <c r="T30" i="3" s="1"/>
  <c r="S9" i="3"/>
  <c r="T9" i="3" s="1"/>
  <c r="F42" i="3"/>
  <c r="J26" i="22750"/>
  <c r="F51" i="22744"/>
  <c r="E50" i="22744"/>
  <c r="E61" i="22744"/>
  <c r="E56" i="22744"/>
  <c r="BH12" i="22746" s="1"/>
  <c r="E62" i="22744"/>
  <c r="E49" i="22744"/>
  <c r="E58" i="22744"/>
  <c r="BV12" i="22746" s="1"/>
  <c r="E55" i="22744"/>
  <c r="F55" i="22744" s="1"/>
  <c r="E60" i="22744"/>
  <c r="E54" i="22744"/>
  <c r="I84" i="22750"/>
  <c r="I79" i="22750"/>
  <c r="CE62" i="3"/>
  <c r="CX11" i="3"/>
  <c r="H37" i="22714"/>
  <c r="I37" i="22714" s="1"/>
  <c r="CX9" i="3"/>
  <c r="BX35" i="3"/>
  <c r="BX36" i="3"/>
  <c r="Q67" i="3"/>
  <c r="CW67" i="3"/>
  <c r="CY48" i="3" s="1"/>
  <c r="X67" i="3"/>
  <c r="AL67" i="3"/>
  <c r="AN48" i="3" s="1"/>
  <c r="AZ68" i="3"/>
  <c r="C68" i="3"/>
  <c r="E53" i="3"/>
  <c r="CY54" i="3"/>
  <c r="CZ54" i="3" s="1"/>
  <c r="E56" i="4"/>
  <c r="CY53" i="3"/>
  <c r="BP53" i="3"/>
  <c r="AU53" i="3"/>
  <c r="CR54" i="3"/>
  <c r="CS54" i="3" s="1"/>
  <c r="BI53" i="3"/>
  <c r="BP54" i="3"/>
  <c r="BQ54" i="3" s="1"/>
  <c r="E48" i="22744"/>
  <c r="C80" i="22752" s="1"/>
  <c r="H85" i="22750"/>
  <c r="E53" i="22744"/>
  <c r="R49" i="3"/>
  <c r="C59" i="2"/>
  <c r="E59" i="2" s="1"/>
  <c r="H229" i="22715"/>
  <c r="K48" i="4"/>
  <c r="I83" i="22750"/>
  <c r="F63" i="1"/>
  <c r="F66" i="1"/>
  <c r="D95" i="22752"/>
  <c r="CS61" i="3"/>
  <c r="M62" i="3"/>
  <c r="B33" i="22747"/>
  <c r="CO36" i="22746"/>
  <c r="CH36" i="22746"/>
  <c r="AY36" i="22746"/>
  <c r="CB9" i="3"/>
  <c r="CP9" i="3"/>
  <c r="BQ63" i="3"/>
  <c r="F65" i="1"/>
  <c r="BV48" i="3"/>
  <c r="F67" i="4"/>
  <c r="B134" i="4" s="1"/>
  <c r="H125" i="22715" s="1"/>
  <c r="CX62" i="3"/>
  <c r="CZ62" i="3" s="1"/>
  <c r="CZ50" i="3"/>
  <c r="B30" i="22750"/>
  <c r="A88" i="22753"/>
  <c r="C24" i="1"/>
  <c r="A89" i="22750"/>
  <c r="AA35" i="3"/>
  <c r="E61" i="22749"/>
  <c r="E72" i="22749" s="1"/>
  <c r="CI20" i="3"/>
  <c r="CI46" i="3" s="1"/>
  <c r="CL64" i="3"/>
  <c r="CQ62" i="22746"/>
  <c r="CS18" i="3"/>
  <c r="CS20" i="3" s="1"/>
  <c r="CS45" i="3"/>
  <c r="BU20" i="3"/>
  <c r="BU46" i="3" s="1"/>
  <c r="BJ69" i="3"/>
  <c r="AT62" i="3"/>
  <c r="AV62" i="3" s="1"/>
  <c r="C182" i="22744"/>
  <c r="B35" i="22746"/>
  <c r="AD35" i="22746"/>
  <c r="BF35" i="22746"/>
  <c r="D18" i="1"/>
  <c r="F44" i="4"/>
  <c r="F66" i="4"/>
  <c r="B133" i="4" s="1"/>
  <c r="CE69" i="3"/>
  <c r="CC11" i="3"/>
  <c r="CE34" i="3" s="1"/>
  <c r="BG20" i="3"/>
  <c r="BG46" i="3" s="1"/>
  <c r="AV51" i="3"/>
  <c r="G9" i="22746"/>
  <c r="B75" i="22744"/>
  <c r="BC18" i="3"/>
  <c r="AM11" i="3"/>
  <c r="Y11" i="3"/>
  <c r="E44" i="2"/>
  <c r="E22" i="22745"/>
  <c r="CC10" i="3"/>
  <c r="AS20" i="22746"/>
  <c r="AS46" i="22746" s="1"/>
  <c r="AT59" i="22746" s="1"/>
  <c r="BQ18" i="3"/>
  <c r="BQ20" i="3" s="1"/>
  <c r="H113" i="22753"/>
  <c r="E141" i="22745" s="1"/>
  <c r="D77" i="22744"/>
  <c r="T18" i="22746"/>
  <c r="E51" i="2"/>
  <c r="I105" i="22715"/>
  <c r="D95" i="22753"/>
  <c r="H95" i="22753" s="1"/>
  <c r="H228" i="22715"/>
  <c r="C85" i="22744"/>
  <c r="DA10" i="22746" s="1"/>
  <c r="D94" i="22753"/>
  <c r="H94" i="22753" s="1"/>
  <c r="E10" i="22745"/>
  <c r="AT73" i="22746"/>
  <c r="AF73" i="22746"/>
  <c r="D53" i="22744"/>
  <c r="AN11" i="22746" s="1"/>
  <c r="D50" i="22744"/>
  <c r="S11" i="22746" s="1"/>
  <c r="C49" i="22744"/>
  <c r="L10" i="22746" s="1"/>
  <c r="BV60" i="22746"/>
  <c r="CJ62" i="22746"/>
  <c r="AT60" i="22746"/>
  <c r="E9" i="22746"/>
  <c r="B49" i="22744"/>
  <c r="F39" i="22747"/>
  <c r="AH40" i="22746"/>
  <c r="BQ40" i="22746"/>
  <c r="CS40" i="22746"/>
  <c r="F40" i="22746"/>
  <c r="CZ40" i="22746"/>
  <c r="BC40" i="22746"/>
  <c r="AA40" i="22746"/>
  <c r="CL40" i="22746"/>
  <c r="AV40" i="22746"/>
  <c r="BJ40" i="22746"/>
  <c r="M40" i="22746"/>
  <c r="CE40" i="22746"/>
  <c r="E73" i="22747"/>
  <c r="Z68" i="22746"/>
  <c r="BB68" i="22746"/>
  <c r="BI68" i="22746"/>
  <c r="CK68" i="22746"/>
  <c r="CR68" i="22746"/>
  <c r="AG68" i="22746"/>
  <c r="CD68" i="22746"/>
  <c r="S68" i="22746"/>
  <c r="AU68" i="22746"/>
  <c r="BP68" i="22746"/>
  <c r="BW68" i="22746"/>
  <c r="CY68" i="22746"/>
  <c r="L68" i="22746"/>
  <c r="D132" i="22744"/>
  <c r="D39" i="22752" s="1"/>
  <c r="E39" i="22752" s="1"/>
  <c r="C74" i="22745"/>
  <c r="AP11" i="22746"/>
  <c r="F86" i="22744"/>
  <c r="G11" i="22747" s="1"/>
  <c r="D11" i="22747" s="1"/>
  <c r="C11" i="22747" s="1"/>
  <c r="H77" i="22744"/>
  <c r="H79" i="22744"/>
  <c r="H82" i="22744"/>
  <c r="H74" i="22744"/>
  <c r="H73" i="22744"/>
  <c r="H76" i="22744"/>
  <c r="H75" i="22744"/>
  <c r="H84" i="22744"/>
  <c r="B73" i="22744"/>
  <c r="U9" i="22746" s="1"/>
  <c r="B72" i="22744"/>
  <c r="N9" i="22746" s="1"/>
  <c r="N12" i="22746" s="1"/>
  <c r="B74" i="22744"/>
  <c r="AB9" i="22746" s="1"/>
  <c r="B79" i="22744"/>
  <c r="B77" i="22744"/>
  <c r="AW9" i="22746" s="1"/>
  <c r="B78" i="22744"/>
  <c r="J229" i="22715"/>
  <c r="AO40" i="22746"/>
  <c r="D60" i="22746"/>
  <c r="F56" i="22744"/>
  <c r="E68" i="22746"/>
  <c r="D18" i="22744"/>
  <c r="D20" i="22744"/>
  <c r="AA18" i="22746"/>
  <c r="CM12" i="22746"/>
  <c r="BA12" i="22746"/>
  <c r="H30" i="22748" s="1"/>
  <c r="I30" i="22748" s="1"/>
  <c r="BA59" i="22746"/>
  <c r="Y59" i="22746"/>
  <c r="E8" i="22745"/>
  <c r="K54" i="22747"/>
  <c r="AL20" i="22746"/>
  <c r="AL46" i="22746" s="1"/>
  <c r="B81" i="22744"/>
  <c r="BY9" i="22746" s="1"/>
  <c r="BR9" i="22746"/>
  <c r="D55" i="22744"/>
  <c r="BB11" i="22746" s="1"/>
  <c r="D56" i="22744"/>
  <c r="BI11" i="22746" s="1"/>
  <c r="E11" i="22746"/>
  <c r="D61" i="22744"/>
  <c r="CR11" i="22746" s="1"/>
  <c r="D60" i="22744"/>
  <c r="CK11" i="22746" s="1"/>
  <c r="D58" i="22744"/>
  <c r="BW11" i="22746" s="1"/>
  <c r="D62" i="22744"/>
  <c r="CY11" i="22746" s="1"/>
  <c r="BV62" i="22746"/>
  <c r="BU20" i="22746"/>
  <c r="BU46" i="22746" s="1"/>
  <c r="AT62" i="22746"/>
  <c r="CQ60" i="22746"/>
  <c r="D75" i="22744"/>
  <c r="D76" i="22744"/>
  <c r="D84" i="22744"/>
  <c r="J20" i="22746"/>
  <c r="J46" i="22746" s="1"/>
  <c r="CL18" i="22746"/>
  <c r="AR36" i="22746"/>
  <c r="B36" i="22746"/>
  <c r="E79" i="22744"/>
  <c r="E85" i="22744"/>
  <c r="E72" i="22744"/>
  <c r="E76" i="22744"/>
  <c r="D79" i="22744"/>
  <c r="D79" i="22747"/>
  <c r="Y73" i="22746"/>
  <c r="AM73" i="22746"/>
  <c r="BV73" i="22746"/>
  <c r="D73" i="22746"/>
  <c r="C13" i="22745"/>
  <c r="E13" i="22745" s="1"/>
  <c r="E14" i="22752"/>
  <c r="F17" i="22747"/>
  <c r="BA62" i="22746"/>
  <c r="AE20" i="22746"/>
  <c r="AE46" i="22746" s="1"/>
  <c r="Y62" i="22746"/>
  <c r="CZ18" i="22746"/>
  <c r="E93" i="22745"/>
  <c r="R62" i="22746"/>
  <c r="Q20" i="22746"/>
  <c r="Q46" i="22746" s="1"/>
  <c r="K62" i="22746"/>
  <c r="D62" i="22746"/>
  <c r="C20" i="22746"/>
  <c r="C46" i="22746" s="1"/>
  <c r="D59" i="22746" s="1"/>
  <c r="G86" i="22744"/>
  <c r="G87" i="22744"/>
  <c r="DA12" i="22746"/>
  <c r="G84" i="22753"/>
  <c r="H84" i="22753" s="1"/>
  <c r="C188" i="22744"/>
  <c r="C152" i="22745" s="1"/>
  <c r="C135" i="22745"/>
  <c r="C94" i="22745"/>
  <c r="E94" i="22745" s="1"/>
  <c r="E88" i="22745"/>
  <c r="C90" i="22745"/>
  <c r="E90" i="22745" s="1"/>
  <c r="C89" i="22745"/>
  <c r="E89" i="22745" s="1"/>
  <c r="C37" i="22744"/>
  <c r="AN69" i="22746"/>
  <c r="AO69" i="22746" s="1"/>
  <c r="BB69" i="22746"/>
  <c r="BC69" i="22746" s="1"/>
  <c r="BI69" i="22746"/>
  <c r="BJ69" i="22746" s="1"/>
  <c r="D79" i="22745"/>
  <c r="Z69" i="22746"/>
  <c r="BP69" i="22746"/>
  <c r="BQ69" i="22746" s="1"/>
  <c r="BW69" i="22746"/>
  <c r="BX69" i="22746" s="1"/>
  <c r="CD69" i="22746"/>
  <c r="CE69" i="22746" s="1"/>
  <c r="CR69" i="22746"/>
  <c r="CS69" i="22746" s="1"/>
  <c r="AG69" i="22746"/>
  <c r="AH69" i="22746" s="1"/>
  <c r="CK69" i="22746"/>
  <c r="CL69" i="22746" s="1"/>
  <c r="C36" i="22744"/>
  <c r="L69" i="22746"/>
  <c r="M69" i="22746" s="1"/>
  <c r="E69" i="22746"/>
  <c r="F69" i="22746" s="1"/>
  <c r="E74" i="22747"/>
  <c r="F74" i="22747" s="1"/>
  <c r="CY69" i="22746"/>
  <c r="CZ69" i="22746" s="1"/>
  <c r="C35" i="22744"/>
  <c r="S69" i="22746"/>
  <c r="T69" i="22746" s="1"/>
  <c r="AU69" i="22746"/>
  <c r="AV69" i="22746" s="1"/>
  <c r="D42" i="22752"/>
  <c r="E42" i="22752" s="1"/>
  <c r="D68" i="22752"/>
  <c r="E68" i="22752" s="1"/>
  <c r="AI9" i="22746"/>
  <c r="K53" i="22747"/>
  <c r="D66" i="22747"/>
  <c r="K49" i="22747"/>
  <c r="D63" i="22747"/>
  <c r="CT12" i="22746"/>
  <c r="BD9" i="22746"/>
  <c r="BK9" i="22746"/>
  <c r="C74" i="22744"/>
  <c r="C79" i="22744"/>
  <c r="BK10" i="22746" s="1"/>
  <c r="G10" i="22746"/>
  <c r="C78" i="22744"/>
  <c r="BD10" i="22746" s="1"/>
  <c r="C77" i="22744"/>
  <c r="AW10" i="22746" s="1"/>
  <c r="C76" i="22744"/>
  <c r="AP10" i="22746" s="1"/>
  <c r="C75" i="22744"/>
  <c r="AI10" i="22746" s="1"/>
  <c r="C73" i="22744"/>
  <c r="U10" i="22746" s="1"/>
  <c r="D67" i="22752"/>
  <c r="E67" i="22752" s="1"/>
  <c r="CX59" i="22746"/>
  <c r="AW11" i="22746"/>
  <c r="F87" i="22744"/>
  <c r="BR10" i="22746"/>
  <c r="C82" i="22744"/>
  <c r="CF10" i="22746" s="1"/>
  <c r="C81" i="22744"/>
  <c r="BY10" i="22746" s="1"/>
  <c r="D37" i="22747"/>
  <c r="E41" i="22747"/>
  <c r="F41" i="22747" s="1"/>
  <c r="CP20" i="22746"/>
  <c r="CP46" i="22746" s="1"/>
  <c r="D159" i="22744"/>
  <c r="Y42" i="22746"/>
  <c r="AM42" i="22746"/>
  <c r="BH42" i="22746"/>
  <c r="D44" i="22747"/>
  <c r="AF42" i="22746"/>
  <c r="BO42" i="22746"/>
  <c r="BV42" i="22746"/>
  <c r="CC42" i="22746"/>
  <c r="CQ42" i="22746"/>
  <c r="CX42" i="22746"/>
  <c r="D42" i="22746"/>
  <c r="K42" i="22746"/>
  <c r="B32" i="22753"/>
  <c r="C24" i="22744"/>
  <c r="G142" i="22753"/>
  <c r="C145" i="22745"/>
  <c r="BN20" i="22746"/>
  <c r="BN46" i="22746" s="1"/>
  <c r="AM62" i="22746"/>
  <c r="BM36" i="22746"/>
  <c r="I36" i="22746"/>
  <c r="BT36" i="22746"/>
  <c r="P36" i="22746"/>
  <c r="CI20" i="22746"/>
  <c r="CI46" i="22746" s="1"/>
  <c r="CC62" i="22746"/>
  <c r="AA69" i="22746"/>
  <c r="D54" i="22744"/>
  <c r="AU11" i="22746" s="1"/>
  <c r="D59" i="22744"/>
  <c r="CD11" i="22746" s="1"/>
  <c r="D52" i="22744"/>
  <c r="D57" i="22744"/>
  <c r="BP11" i="22746" s="1"/>
  <c r="C190" i="22744"/>
  <c r="C153" i="22745" s="1"/>
  <c r="C58" i="22745"/>
  <c r="BG20" i="22746"/>
  <c r="BG46" i="22746" s="1"/>
  <c r="AF62" i="22746"/>
  <c r="E77" i="22744"/>
  <c r="E84" i="22744"/>
  <c r="E73" i="22744"/>
  <c r="E75" i="22744"/>
  <c r="E83" i="22744"/>
  <c r="C66" i="22745"/>
  <c r="H81" i="22744"/>
  <c r="BA11" i="22746" l="1"/>
  <c r="AZ11" i="22746" s="1"/>
  <c r="AF12" i="22746"/>
  <c r="AF10" i="22746" s="1"/>
  <c r="AE10" i="22746" s="1"/>
  <c r="BC66" i="3"/>
  <c r="F66" i="3"/>
  <c r="CE65" i="3"/>
  <c r="B9" i="22715"/>
  <c r="C9" i="22715" s="1"/>
  <c r="CS44" i="3"/>
  <c r="CL44" i="3"/>
  <c r="CQ11" i="3"/>
  <c r="AF67" i="3"/>
  <c r="AO36" i="3"/>
  <c r="F46" i="3"/>
  <c r="CZ20" i="3"/>
  <c r="D98" i="22753"/>
  <c r="H98" i="22753" s="1"/>
  <c r="BO60" i="3"/>
  <c r="CC60" i="3"/>
  <c r="CE60" i="3" s="1"/>
  <c r="AV20" i="3"/>
  <c r="M20" i="3"/>
  <c r="AH46" i="3"/>
  <c r="R68" i="3"/>
  <c r="T68" i="3" s="1"/>
  <c r="D67" i="3"/>
  <c r="BH10" i="22746"/>
  <c r="BG10" i="22746" s="1"/>
  <c r="F58" i="22744"/>
  <c r="D86" i="22744"/>
  <c r="BQ20" i="22746"/>
  <c r="E86" i="22744"/>
  <c r="Y49" i="22746" s="1"/>
  <c r="D87" i="22744"/>
  <c r="E43" i="22752"/>
  <c r="E72" i="22752" s="1"/>
  <c r="BX47" i="3"/>
  <c r="T49" i="3"/>
  <c r="BX49" i="3"/>
  <c r="CE49" i="3"/>
  <c r="E34" i="2"/>
  <c r="E27" i="2"/>
  <c r="E45" i="2"/>
  <c r="Y30" i="3"/>
  <c r="AA30" i="3" s="1"/>
  <c r="E80" i="2"/>
  <c r="E34" i="22745"/>
  <c r="E27" i="22745"/>
  <c r="E14" i="22745"/>
  <c r="BC34" i="3"/>
  <c r="AZ11" i="3"/>
  <c r="D11" i="3"/>
  <c r="G12" i="3"/>
  <c r="CJ48" i="3"/>
  <c r="CL47" i="3" s="1"/>
  <c r="CY19" i="22746"/>
  <c r="CZ19" i="22746" s="1"/>
  <c r="CZ20" i="22746" s="1"/>
  <c r="E18" i="22746"/>
  <c r="F18" i="22746" s="1"/>
  <c r="CD18" i="22746"/>
  <c r="CE18" i="22746" s="1"/>
  <c r="CE20" i="22746" s="1"/>
  <c r="U12" i="3"/>
  <c r="R11" i="3"/>
  <c r="K11" i="3"/>
  <c r="N12" i="3"/>
  <c r="CJ68" i="3"/>
  <c r="CL68" i="3" s="1"/>
  <c r="CK49" i="3"/>
  <c r="CJ52" i="3" s="1"/>
  <c r="CJ53" i="3" s="1"/>
  <c r="CL53" i="3" s="1"/>
  <c r="AM68" i="3"/>
  <c r="AO68" i="3" s="1"/>
  <c r="C84" i="22749"/>
  <c r="AG9" i="3"/>
  <c r="AH9" i="3" s="1"/>
  <c r="B53" i="1"/>
  <c r="F57" i="22744"/>
  <c r="CQ60" i="3"/>
  <c r="CQ70" i="3" s="1"/>
  <c r="B160" i="4"/>
  <c r="BC20" i="3"/>
  <c r="AH11" i="3"/>
  <c r="AG18" i="22746"/>
  <c r="AH18" i="22746" s="1"/>
  <c r="S19" i="22746"/>
  <c r="T19" i="22746" s="1"/>
  <c r="E19" i="22746"/>
  <c r="F19" i="22746" s="1"/>
  <c r="AU18" i="22746"/>
  <c r="AV18" i="22746" s="1"/>
  <c r="CR19" i="22746"/>
  <c r="CS19" i="22746" s="1"/>
  <c r="L18" i="22746"/>
  <c r="M18" i="22746" s="1"/>
  <c r="M20" i="22746" s="1"/>
  <c r="CK19" i="22746"/>
  <c r="CL19" i="22746" s="1"/>
  <c r="CL20" i="22746" s="1"/>
  <c r="BQ36" i="3"/>
  <c r="CJ67" i="3"/>
  <c r="CL35" i="3"/>
  <c r="F36" i="3"/>
  <c r="CX59" i="3"/>
  <c r="CZ59" i="3" s="1"/>
  <c r="M37" i="3"/>
  <c r="T37" i="3"/>
  <c r="BQ37" i="3"/>
  <c r="AA37" i="3"/>
  <c r="R48" i="3"/>
  <c r="T47" i="3" s="1"/>
  <c r="T52" i="3" s="1"/>
  <c r="BJ37" i="3"/>
  <c r="F34" i="4"/>
  <c r="CZ37" i="3"/>
  <c r="AH37" i="3"/>
  <c r="CE37" i="3"/>
  <c r="BX37" i="3"/>
  <c r="AO37" i="3"/>
  <c r="F37" i="3"/>
  <c r="CL37" i="3"/>
  <c r="AV37" i="3"/>
  <c r="CL34" i="3"/>
  <c r="CL11" i="3"/>
  <c r="CI11" i="3"/>
  <c r="CI12" i="3" s="1"/>
  <c r="BA9" i="3"/>
  <c r="BD12" i="3"/>
  <c r="D49" i="3"/>
  <c r="F49" i="3" s="1"/>
  <c r="AT49" i="3"/>
  <c r="AV49" i="3" s="1"/>
  <c r="BO68" i="3"/>
  <c r="BQ68" i="3" s="1"/>
  <c r="CQ49" i="3"/>
  <c r="CS49" i="3" s="1"/>
  <c r="BA49" i="3"/>
  <c r="BC49" i="3" s="1"/>
  <c r="AF49" i="3"/>
  <c r="AH49" i="3" s="1"/>
  <c r="AF68" i="3"/>
  <c r="AH68" i="3" s="1"/>
  <c r="D73" i="4"/>
  <c r="F73" i="4" s="1"/>
  <c r="B190" i="4" s="1"/>
  <c r="BH68" i="3"/>
  <c r="BJ68" i="3" s="1"/>
  <c r="Z10" i="3"/>
  <c r="AA10" i="3" s="1"/>
  <c r="C52" i="1"/>
  <c r="CX68" i="3"/>
  <c r="CZ68" i="3" s="1"/>
  <c r="AM48" i="3"/>
  <c r="AO47" i="3" s="1"/>
  <c r="AO52" i="3" s="1"/>
  <c r="AE11" i="3"/>
  <c r="R60" i="3"/>
  <c r="T60" i="3" s="1"/>
  <c r="T66" i="3" s="1"/>
  <c r="F87" i="1"/>
  <c r="C9" i="3"/>
  <c r="BC11" i="3"/>
  <c r="E66" i="22744"/>
  <c r="F86" i="1"/>
  <c r="G11" i="4" s="1"/>
  <c r="D11" i="4" s="1"/>
  <c r="BW19" i="22746"/>
  <c r="BX19" i="22746" s="1"/>
  <c r="BX20" i="22746" s="1"/>
  <c r="BB19" i="22746"/>
  <c r="BC19" i="22746" s="1"/>
  <c r="BC20" i="22746" s="1"/>
  <c r="BI18" i="22746"/>
  <c r="BJ18" i="22746" s="1"/>
  <c r="BI19" i="22746"/>
  <c r="BJ19" i="22746" s="1"/>
  <c r="BJ20" i="22746" s="1"/>
  <c r="Z19" i="22746"/>
  <c r="AA19" i="22746" s="1"/>
  <c r="AA20" i="22746" s="1"/>
  <c r="AG19" i="22746"/>
  <c r="AH19" i="22746" s="1"/>
  <c r="AN18" i="22746"/>
  <c r="AO18" i="22746" s="1"/>
  <c r="AO20" i="22746" s="1"/>
  <c r="E18" i="22747"/>
  <c r="F18" i="22747" s="1"/>
  <c r="F19" i="22747" s="1"/>
  <c r="BQ35" i="3"/>
  <c r="AV46" i="3"/>
  <c r="Y68" i="3"/>
  <c r="AA68" i="3" s="1"/>
  <c r="BX11" i="3"/>
  <c r="BX34" i="3"/>
  <c r="BU11" i="3"/>
  <c r="BU12" i="3" s="1"/>
  <c r="AV34" i="3"/>
  <c r="AS11" i="3"/>
  <c r="AV11" i="3"/>
  <c r="CQ68" i="3"/>
  <c r="CS68" i="3" s="1"/>
  <c r="AI12" i="3"/>
  <c r="CQ48" i="3"/>
  <c r="CS47" i="3" s="1"/>
  <c r="BY12" i="3"/>
  <c r="CC68" i="3"/>
  <c r="CE68" i="3" s="1"/>
  <c r="H33" i="22748"/>
  <c r="I33" i="22748" s="1"/>
  <c r="BV9" i="22746"/>
  <c r="BV11" i="22746"/>
  <c r="BU11" i="22746" s="1"/>
  <c r="D12" i="22746"/>
  <c r="D10" i="22746" s="1"/>
  <c r="F48" i="22744"/>
  <c r="BV10" i="22746"/>
  <c r="BU10" i="22746" s="1"/>
  <c r="E63" i="22744"/>
  <c r="BO59" i="3"/>
  <c r="BQ59" i="3" s="1"/>
  <c r="BQ46" i="3"/>
  <c r="Y59" i="3"/>
  <c r="AA59" i="3" s="1"/>
  <c r="AA46" i="3"/>
  <c r="AA36" i="3"/>
  <c r="Y48" i="3"/>
  <c r="AA47" i="3" s="1"/>
  <c r="X9" i="3"/>
  <c r="AF48" i="3"/>
  <c r="AH47" i="3" s="1"/>
  <c r="AH36" i="3"/>
  <c r="AH35" i="3"/>
  <c r="F59" i="22744"/>
  <c r="CC12" i="22746"/>
  <c r="CP11" i="3"/>
  <c r="CP12" i="3" s="1"/>
  <c r="CS34" i="3"/>
  <c r="CS38" i="3" s="1"/>
  <c r="CS11" i="3"/>
  <c r="AE9" i="3"/>
  <c r="AA9" i="3"/>
  <c r="E64" i="22744"/>
  <c r="CS20" i="22746"/>
  <c r="AV20" i="22746"/>
  <c r="BO9" i="22746"/>
  <c r="BN9" i="22746" s="1"/>
  <c r="T20" i="22746"/>
  <c r="E73" i="22749"/>
  <c r="E85" i="2" s="1"/>
  <c r="BJ34" i="3"/>
  <c r="BJ11" i="3"/>
  <c r="BG11" i="3"/>
  <c r="F10" i="3"/>
  <c r="C10" i="3"/>
  <c r="C12" i="3" s="1"/>
  <c r="D48" i="3"/>
  <c r="F47" i="3" s="1"/>
  <c r="F35" i="3"/>
  <c r="BJ35" i="3"/>
  <c r="BH48" i="3"/>
  <c r="BJ47" i="3" s="1"/>
  <c r="BJ36" i="3"/>
  <c r="BG9" i="3"/>
  <c r="BG12" i="3" s="1"/>
  <c r="BH67" i="3"/>
  <c r="B191" i="4"/>
  <c r="B138" i="4"/>
  <c r="CJ60" i="3"/>
  <c r="CL60" i="3" s="1"/>
  <c r="CE44" i="3"/>
  <c r="M52" i="3"/>
  <c r="K60" i="3"/>
  <c r="M60" i="3" s="1"/>
  <c r="M66" i="3" s="1"/>
  <c r="AM52" i="3"/>
  <c r="AM53" i="3" s="1"/>
  <c r="AO53" i="3" s="1"/>
  <c r="AM60" i="3"/>
  <c r="AO60" i="3" s="1"/>
  <c r="AO66" i="3" s="1"/>
  <c r="BQ44" i="3"/>
  <c r="BC44" i="3"/>
  <c r="AL11" i="3"/>
  <c r="AL12" i="3" s="1"/>
  <c r="AO34" i="3"/>
  <c r="AO11" i="3"/>
  <c r="BV59" i="3"/>
  <c r="BX46" i="3"/>
  <c r="D40" i="22750"/>
  <c r="H40" i="22750" s="1"/>
  <c r="D38" i="22750"/>
  <c r="H38" i="22750" s="1"/>
  <c r="D41" i="22750"/>
  <c r="H41" i="22750" s="1"/>
  <c r="AM12" i="22746"/>
  <c r="AM10" i="22746" s="1"/>
  <c r="F53" i="22744"/>
  <c r="BO60" i="22746"/>
  <c r="AT12" i="22746"/>
  <c r="H29" i="22748" s="1"/>
  <c r="I29" i="22748" s="1"/>
  <c r="F54" i="22744"/>
  <c r="F49" i="22744"/>
  <c r="K12" i="22746"/>
  <c r="K9" i="22746" s="1"/>
  <c r="F50" i="22744"/>
  <c r="R12" i="22746"/>
  <c r="R9" i="22746" s="1"/>
  <c r="AM67" i="3"/>
  <c r="M67" i="3"/>
  <c r="M70" i="3" s="1"/>
  <c r="I70" i="3"/>
  <c r="BR12" i="3"/>
  <c r="BO11" i="3"/>
  <c r="AT10" i="3"/>
  <c r="AW12" i="3"/>
  <c r="K52" i="3"/>
  <c r="K53" i="3" s="1"/>
  <c r="M53" i="3" s="1"/>
  <c r="F67" i="3"/>
  <c r="I18" i="22750"/>
  <c r="I16" i="22750"/>
  <c r="I15" i="22750"/>
  <c r="I11" i="22750"/>
  <c r="I9" i="22750"/>
  <c r="I14" i="22750"/>
  <c r="I20" i="22750"/>
  <c r="I17" i="22750"/>
  <c r="I10" i="22750"/>
  <c r="I13" i="22750"/>
  <c r="I12" i="22750"/>
  <c r="H75" i="22750"/>
  <c r="B87" i="22744"/>
  <c r="E62" i="2"/>
  <c r="E81" i="2" s="1"/>
  <c r="CE35" i="3"/>
  <c r="CE36" i="3"/>
  <c r="CC48" i="3"/>
  <c r="CC67" i="3"/>
  <c r="CE67" i="3" s="1"/>
  <c r="CE70" i="3" s="1"/>
  <c r="CB10" i="3"/>
  <c r="BH59" i="3"/>
  <c r="BJ46" i="3"/>
  <c r="D95" i="22750"/>
  <c r="D97" i="22750"/>
  <c r="H97" i="22750" s="1"/>
  <c r="D98" i="22750"/>
  <c r="H98" i="22750" s="1"/>
  <c r="D96" i="22750"/>
  <c r="H96" i="22750" s="1"/>
  <c r="CS52" i="3"/>
  <c r="Y67" i="3"/>
  <c r="AA67" i="3" s="1"/>
  <c r="AA70" i="3" s="1"/>
  <c r="Z48" i="3"/>
  <c r="CZ36" i="3"/>
  <c r="CX67" i="3"/>
  <c r="CW9" i="3"/>
  <c r="CZ35" i="3"/>
  <c r="CX48" i="3"/>
  <c r="CZ47" i="3" s="1"/>
  <c r="F60" i="22744"/>
  <c r="CJ12" i="22746"/>
  <c r="F62" i="22744"/>
  <c r="CX12" i="22746"/>
  <c r="H27" i="22748"/>
  <c r="I27" i="22748" s="1"/>
  <c r="BX67" i="3"/>
  <c r="BX70" i="3" s="1"/>
  <c r="BT70" i="3"/>
  <c r="K70" i="3"/>
  <c r="G12" i="4"/>
  <c r="D9" i="4"/>
  <c r="C80" i="2"/>
  <c r="AA34" i="3"/>
  <c r="AA11" i="3"/>
  <c r="AA12" i="3" s="1"/>
  <c r="X11" i="3"/>
  <c r="CE11" i="3"/>
  <c r="CB11" i="3"/>
  <c r="CE63" i="3"/>
  <c r="CL46" i="3"/>
  <c r="CJ59" i="3"/>
  <c r="AA45" i="3"/>
  <c r="AA52" i="3" s="1"/>
  <c r="Y60" i="3"/>
  <c r="D68" i="3"/>
  <c r="F68" i="3" s="1"/>
  <c r="E49" i="3"/>
  <c r="BP48" i="3"/>
  <c r="BO52" i="3" s="1"/>
  <c r="BO53" i="3" s="1"/>
  <c r="BQ53" i="3" s="1"/>
  <c r="BO67" i="3"/>
  <c r="C10" i="4"/>
  <c r="H142" i="22750"/>
  <c r="I141" i="22750" s="1"/>
  <c r="CL67" i="3"/>
  <c r="CL38" i="3"/>
  <c r="E96" i="2"/>
  <c r="E97" i="2" s="1"/>
  <c r="CW10" i="3"/>
  <c r="AT60" i="3"/>
  <c r="AV44" i="3"/>
  <c r="K47" i="4"/>
  <c r="F47" i="4"/>
  <c r="D64" i="4"/>
  <c r="B165" i="4"/>
  <c r="AA63" i="3"/>
  <c r="BJ44" i="3"/>
  <c r="BH60" i="3"/>
  <c r="BJ60" i="3" s="1"/>
  <c r="CS63" i="3"/>
  <c r="D97" i="22753"/>
  <c r="H97" i="22753" s="1"/>
  <c r="D96" i="22753"/>
  <c r="H96" i="22753" s="1"/>
  <c r="BB49" i="3"/>
  <c r="BA68" i="3"/>
  <c r="BC68" i="3" s="1"/>
  <c r="S48" i="3"/>
  <c r="R52" i="3" s="1"/>
  <c r="R53" i="3" s="1"/>
  <c r="T53" i="3" s="1"/>
  <c r="R67" i="3"/>
  <c r="BV60" i="3"/>
  <c r="BX60" i="3" s="1"/>
  <c r="BX44" i="3"/>
  <c r="BV52" i="3"/>
  <c r="BV53" i="3" s="1"/>
  <c r="BX53" i="3" s="1"/>
  <c r="CZ34" i="3"/>
  <c r="CW11" i="3"/>
  <c r="CZ11" i="3"/>
  <c r="F61" i="22744"/>
  <c r="CQ12" i="22746"/>
  <c r="CQ67" i="3"/>
  <c r="CS67" i="3" s="1"/>
  <c r="CS70" i="3" s="1"/>
  <c r="CR48" i="3"/>
  <c r="AH67" i="3"/>
  <c r="AH70" i="3" s="1"/>
  <c r="F31" i="4"/>
  <c r="C11" i="4"/>
  <c r="F11" i="4"/>
  <c r="B54" i="22715" s="1"/>
  <c r="C154" i="22745"/>
  <c r="C155" i="22745" s="1"/>
  <c r="C151" i="22745" s="1"/>
  <c r="C50" i="22744"/>
  <c r="C51" i="22744" s="1"/>
  <c r="AF60" i="3"/>
  <c r="AH44" i="3"/>
  <c r="CX60" i="3"/>
  <c r="CZ44" i="3"/>
  <c r="BQ60" i="3"/>
  <c r="K60" i="22746"/>
  <c r="H26" i="22748"/>
  <c r="I26" i="22748" s="1"/>
  <c r="Y11" i="22746"/>
  <c r="E87" i="22744"/>
  <c r="F31" i="22747"/>
  <c r="R59" i="22746"/>
  <c r="AF59" i="22746"/>
  <c r="BV59" i="22746"/>
  <c r="AM59" i="22746"/>
  <c r="Y9" i="22746"/>
  <c r="X9" i="22746" s="1"/>
  <c r="BA10" i="22746"/>
  <c r="AZ10" i="22746" s="1"/>
  <c r="BY12" i="22746"/>
  <c r="K59" i="22746"/>
  <c r="H31" i="22748"/>
  <c r="I31" i="22748" s="1"/>
  <c r="BH11" i="22746"/>
  <c r="B50" i="22744"/>
  <c r="L9" i="22746"/>
  <c r="C81" i="22752"/>
  <c r="B86" i="22744"/>
  <c r="G9" i="22747" s="1"/>
  <c r="R60" i="22746"/>
  <c r="BX34" i="22746"/>
  <c r="BO11" i="22746"/>
  <c r="BQ11" i="22746" s="1"/>
  <c r="H32" i="22748"/>
  <c r="I32" i="22748" s="1"/>
  <c r="BH60" i="22746"/>
  <c r="BA49" i="22746"/>
  <c r="BC34" i="22746"/>
  <c r="BC11" i="22746"/>
  <c r="BR12" i="22746"/>
  <c r="BO10" i="22746"/>
  <c r="U12" i="22746"/>
  <c r="BU67" i="22746"/>
  <c r="AZ67" i="22746"/>
  <c r="C72" i="22747"/>
  <c r="CP67" i="22746"/>
  <c r="BN67" i="22746"/>
  <c r="CI67" i="22746"/>
  <c r="C67" i="22746"/>
  <c r="J67" i="22746"/>
  <c r="AS67" i="22746"/>
  <c r="CB67" i="22746"/>
  <c r="Q67" i="22746"/>
  <c r="CW67" i="22746"/>
  <c r="X67" i="22746"/>
  <c r="AE67" i="22746"/>
  <c r="AL67" i="22746"/>
  <c r="BG67" i="22746"/>
  <c r="CQ59" i="22746"/>
  <c r="AW12" i="22746"/>
  <c r="AB10" i="22746"/>
  <c r="C86" i="22744"/>
  <c r="G10" i="22747" s="1"/>
  <c r="D10" i="22747" s="1"/>
  <c r="CX60" i="22746"/>
  <c r="S63" i="22746"/>
  <c r="T63" i="22746" s="1"/>
  <c r="CR65" i="22746"/>
  <c r="CS65" i="22746" s="1"/>
  <c r="AU63" i="22746"/>
  <c r="AV63" i="22746" s="1"/>
  <c r="L65" i="22746"/>
  <c r="M65" i="22746" s="1"/>
  <c r="Z63" i="22746"/>
  <c r="AA63" i="22746" s="1"/>
  <c r="BW63" i="22746"/>
  <c r="BX63" i="22746" s="1"/>
  <c r="CK65" i="22746"/>
  <c r="CL65" i="22746" s="1"/>
  <c r="CD65" i="22746"/>
  <c r="CE65" i="22746" s="1"/>
  <c r="BP67" i="22746"/>
  <c r="CK63" i="22746"/>
  <c r="CL63" i="22746" s="1"/>
  <c r="BP63" i="22746"/>
  <c r="BQ63" i="22746" s="1"/>
  <c r="BB67" i="22746"/>
  <c r="E64" i="22746"/>
  <c r="F64" i="22746" s="1"/>
  <c r="AN65" i="22746"/>
  <c r="AO65" i="22746" s="1"/>
  <c r="CD63" i="22746"/>
  <c r="CE63" i="22746" s="1"/>
  <c r="E67" i="22746"/>
  <c r="CY65" i="22746"/>
  <c r="CZ65" i="22746" s="1"/>
  <c r="CD67" i="22746"/>
  <c r="CD64" i="22746"/>
  <c r="CE64" i="22746" s="1"/>
  <c r="S64" i="22746"/>
  <c r="T64" i="22746" s="1"/>
  <c r="BI65" i="22746"/>
  <c r="BJ65" i="22746" s="1"/>
  <c r="BB65" i="22746"/>
  <c r="BC65" i="22746" s="1"/>
  <c r="E63" i="22746"/>
  <c r="F63" i="22746" s="1"/>
  <c r="BB64" i="22746"/>
  <c r="BC64" i="22746" s="1"/>
  <c r="E72" i="22747"/>
  <c r="BB63" i="22746"/>
  <c r="BC63" i="22746" s="1"/>
  <c r="CR67" i="22746"/>
  <c r="AG67" i="22746"/>
  <c r="BP64" i="22746"/>
  <c r="BQ64" i="22746" s="1"/>
  <c r="CR63" i="22746"/>
  <c r="CS63" i="22746" s="1"/>
  <c r="AN67" i="22746"/>
  <c r="E65" i="22746"/>
  <c r="F65" i="22746" s="1"/>
  <c r="AG64" i="22746"/>
  <c r="AH64" i="22746" s="1"/>
  <c r="AU67" i="22746"/>
  <c r="E68" i="22747"/>
  <c r="F68" i="22747" s="1"/>
  <c r="B136" i="22747" s="1"/>
  <c r="CK67" i="22746"/>
  <c r="BW65" i="22746"/>
  <c r="BX65" i="22746" s="1"/>
  <c r="Z65" i="22746"/>
  <c r="AA65" i="22746" s="1"/>
  <c r="CY67" i="22746"/>
  <c r="BI67" i="22746"/>
  <c r="BW64" i="22746"/>
  <c r="BX64" i="22746" s="1"/>
  <c r="BI63" i="22746"/>
  <c r="BJ63" i="22746" s="1"/>
  <c r="CY64" i="22746"/>
  <c r="CZ64" i="22746" s="1"/>
  <c r="BP65" i="22746"/>
  <c r="BQ65" i="22746" s="1"/>
  <c r="Z64" i="22746"/>
  <c r="AA64" i="22746" s="1"/>
  <c r="CY63" i="22746"/>
  <c r="CZ63" i="22746" s="1"/>
  <c r="L67" i="22746"/>
  <c r="AU64" i="22746"/>
  <c r="AV64" i="22746" s="1"/>
  <c r="BW67" i="22746"/>
  <c r="S67" i="22746"/>
  <c r="S65" i="22746"/>
  <c r="T65" i="22746" s="1"/>
  <c r="AN64" i="22746"/>
  <c r="AO64" i="22746" s="1"/>
  <c r="CK64" i="22746"/>
  <c r="CL64" i="22746" s="1"/>
  <c r="Z67" i="22746"/>
  <c r="AG65" i="22746"/>
  <c r="AH65" i="22746" s="1"/>
  <c r="E69" i="22747"/>
  <c r="F69" i="22747" s="1"/>
  <c r="B137" i="22747" s="1"/>
  <c r="L64" i="22746"/>
  <c r="M64" i="22746" s="1"/>
  <c r="BI64" i="22746"/>
  <c r="BJ64" i="22746" s="1"/>
  <c r="AG63" i="22746"/>
  <c r="AH63" i="22746" s="1"/>
  <c r="AN63" i="22746"/>
  <c r="AO63" i="22746" s="1"/>
  <c r="E67" i="22747"/>
  <c r="F67" i="22747" s="1"/>
  <c r="B134" i="22747" s="1"/>
  <c r="CR64" i="22746"/>
  <c r="CS64" i="22746" s="1"/>
  <c r="L63" i="22746"/>
  <c r="M63" i="22746" s="1"/>
  <c r="AU65" i="22746"/>
  <c r="AV65" i="22746" s="1"/>
  <c r="AP12" i="22746"/>
  <c r="BH59" i="22746"/>
  <c r="AG11" i="22746"/>
  <c r="D66" i="22744"/>
  <c r="E18" i="22748" s="1"/>
  <c r="D65" i="22744"/>
  <c r="E11" i="22747" s="1"/>
  <c r="F11" i="22747" s="1"/>
  <c r="D54" i="22715" s="1"/>
  <c r="CF12" i="22746"/>
  <c r="CY42" i="22746"/>
  <c r="CZ42" i="22746" s="1"/>
  <c r="S42" i="22746"/>
  <c r="T42" i="22746" s="1"/>
  <c r="E42" i="22746"/>
  <c r="F42" i="22746" s="1"/>
  <c r="CK42" i="22746"/>
  <c r="CL42" i="22746" s="1"/>
  <c r="AG42" i="22746"/>
  <c r="AH42" i="22746" s="1"/>
  <c r="BI42" i="22746"/>
  <c r="E44" i="22747"/>
  <c r="F44" i="22747" s="1"/>
  <c r="Z42" i="22746"/>
  <c r="CR42" i="22746"/>
  <c r="CS42" i="22746" s="1"/>
  <c r="BP42" i="22746"/>
  <c r="L42" i="22746"/>
  <c r="M42" i="22746" s="1"/>
  <c r="AU42" i="22746"/>
  <c r="AV42" i="22746" s="1"/>
  <c r="BW42" i="22746"/>
  <c r="BX42" i="22746" s="1"/>
  <c r="AN42" i="22746"/>
  <c r="CD42" i="22746"/>
  <c r="CE42" i="22746" s="1"/>
  <c r="BB42" i="22746"/>
  <c r="BC42" i="22746" s="1"/>
  <c r="C87" i="22744"/>
  <c r="BK12" i="22746"/>
  <c r="BH9" i="22746"/>
  <c r="CK60" i="22746"/>
  <c r="AN60" i="22746"/>
  <c r="BP61" i="22746"/>
  <c r="BQ61" i="22746" s="1"/>
  <c r="CY61" i="22746"/>
  <c r="CZ61" i="22746" s="1"/>
  <c r="L60" i="22746"/>
  <c r="S59" i="22746"/>
  <c r="T59" i="22746" s="1"/>
  <c r="CY60" i="22746"/>
  <c r="AG59" i="22746"/>
  <c r="AH59" i="22746" s="1"/>
  <c r="CR61" i="22746"/>
  <c r="CS61" i="22746" s="1"/>
  <c r="D54" i="22752"/>
  <c r="E54" i="22752" s="1"/>
  <c r="BB60" i="22746"/>
  <c r="S62" i="22746"/>
  <c r="T62" i="22746" s="1"/>
  <c r="S61" i="22746"/>
  <c r="T61" i="22746" s="1"/>
  <c r="D73" i="22745"/>
  <c r="E73" i="22745" s="1"/>
  <c r="E66" i="22747"/>
  <c r="CD59" i="22746"/>
  <c r="CE59" i="22746" s="1"/>
  <c r="CR60" i="22746"/>
  <c r="CS60" i="22746" s="1"/>
  <c r="CK62" i="22746"/>
  <c r="CL62" i="22746" s="1"/>
  <c r="BW61" i="22746"/>
  <c r="BX61" i="22746" s="1"/>
  <c r="D71" i="22745"/>
  <c r="E71" i="22745" s="1"/>
  <c r="CD61" i="22746"/>
  <c r="CE61" i="22746" s="1"/>
  <c r="CD62" i="22746"/>
  <c r="CE62" i="22746" s="1"/>
  <c r="D75" i="22745"/>
  <c r="E75" i="22745" s="1"/>
  <c r="BB61" i="22746"/>
  <c r="BC61" i="22746" s="1"/>
  <c r="E61" i="22746"/>
  <c r="F61" i="22746" s="1"/>
  <c r="Z59" i="22746"/>
  <c r="AA59" i="22746" s="1"/>
  <c r="BW60" i="22746"/>
  <c r="BX60" i="22746" s="1"/>
  <c r="D68" i="22745"/>
  <c r="E68" i="22745" s="1"/>
  <c r="D66" i="22752"/>
  <c r="E66" i="22752" s="1"/>
  <c r="E59" i="22746"/>
  <c r="F59" i="22746" s="1"/>
  <c r="BP62" i="22746"/>
  <c r="BQ62" i="22746" s="1"/>
  <c r="L59" i="22746"/>
  <c r="M59" i="22746" s="1"/>
  <c r="D69" i="22745"/>
  <c r="E69" i="22745" s="1"/>
  <c r="D77" i="22745"/>
  <c r="E77" i="22745" s="1"/>
  <c r="CK59" i="22746"/>
  <c r="AN59" i="22746"/>
  <c r="AO59" i="22746" s="1"/>
  <c r="BW62" i="22746"/>
  <c r="BX62" i="22746" s="1"/>
  <c r="AN61" i="22746"/>
  <c r="AO61" i="22746" s="1"/>
  <c r="AG62" i="22746"/>
  <c r="AH62" i="22746" s="1"/>
  <c r="AU61" i="22746"/>
  <c r="AV61" i="22746" s="1"/>
  <c r="E62" i="22746"/>
  <c r="F62" i="22746" s="1"/>
  <c r="CK61" i="22746"/>
  <c r="CL61" i="22746" s="1"/>
  <c r="CR59" i="22746"/>
  <c r="AU62" i="22746"/>
  <c r="AV62" i="22746" s="1"/>
  <c r="D76" i="22745"/>
  <c r="E76" i="22745" s="1"/>
  <c r="AG60" i="22746"/>
  <c r="BB62" i="22746"/>
  <c r="BC62" i="22746" s="1"/>
  <c r="D65" i="22752"/>
  <c r="E65" i="22752" s="1"/>
  <c r="E63" i="22747"/>
  <c r="F63" i="22747" s="1"/>
  <c r="CY59" i="22746"/>
  <c r="CZ59" i="22746" s="1"/>
  <c r="AN62" i="22746"/>
  <c r="AO62" i="22746" s="1"/>
  <c r="E64" i="22747"/>
  <c r="BP60" i="22746"/>
  <c r="BP59" i="22746"/>
  <c r="L61" i="22746"/>
  <c r="M61" i="22746" s="1"/>
  <c r="D56" i="22752"/>
  <c r="E56" i="22752" s="1"/>
  <c r="BI60" i="22746"/>
  <c r="S60" i="22746"/>
  <c r="D70" i="22745"/>
  <c r="E70" i="22745" s="1"/>
  <c r="D53" i="22752"/>
  <c r="E53" i="22752" s="1"/>
  <c r="BW59" i="22746"/>
  <c r="BB59" i="22746"/>
  <c r="BC59" i="22746" s="1"/>
  <c r="D66" i="22745"/>
  <c r="E66" i="22745" s="1"/>
  <c r="BI61" i="22746"/>
  <c r="BJ61" i="22746" s="1"/>
  <c r="L62" i="22746"/>
  <c r="M62" i="22746" s="1"/>
  <c r="E60" i="22746"/>
  <c r="F60" i="22746" s="1"/>
  <c r="BI62" i="22746"/>
  <c r="BJ62" i="22746" s="1"/>
  <c r="AG61" i="22746"/>
  <c r="AH61" i="22746" s="1"/>
  <c r="E65" i="22747"/>
  <c r="F65" i="22747" s="1"/>
  <c r="B132" i="22747" s="1"/>
  <c r="Z61" i="22746"/>
  <c r="AA61" i="22746" s="1"/>
  <c r="D55" i="22752"/>
  <c r="E55" i="22752" s="1"/>
  <c r="Z60" i="22746"/>
  <c r="CY62" i="22746"/>
  <c r="CZ62" i="22746" s="1"/>
  <c r="CR62" i="22746"/>
  <c r="CS62" i="22746" s="1"/>
  <c r="BI59" i="22746"/>
  <c r="D78" i="22745"/>
  <c r="E78" i="22745" s="1"/>
  <c r="CD60" i="22746"/>
  <c r="D67" i="22745"/>
  <c r="E67" i="22745" s="1"/>
  <c r="D74" i="22745"/>
  <c r="E74" i="22745" s="1"/>
  <c r="Z62" i="22746"/>
  <c r="AA62" i="22746" s="1"/>
  <c r="D72" i="22745"/>
  <c r="E72" i="22745" s="1"/>
  <c r="AU60" i="22746"/>
  <c r="AV60" i="22746" s="1"/>
  <c r="AU59" i="22746"/>
  <c r="AV59" i="22746" s="1"/>
  <c r="F20" i="22753"/>
  <c r="G20" i="22753" s="1"/>
  <c r="G21" i="22753" s="1"/>
  <c r="D123" i="22745"/>
  <c r="E123" i="22745" s="1"/>
  <c r="E124" i="22745" s="1"/>
  <c r="F137" i="22753"/>
  <c r="H137" i="22753" s="1"/>
  <c r="F27" i="22753"/>
  <c r="J27" i="22753" s="1"/>
  <c r="J28" i="22753" s="1"/>
  <c r="J29" i="22753" s="1"/>
  <c r="F138" i="22753"/>
  <c r="H138" i="22753" s="1"/>
  <c r="E95" i="22745"/>
  <c r="CJ60" i="22746"/>
  <c r="H86" i="22744"/>
  <c r="H87" i="22744"/>
  <c r="BQ42" i="22746"/>
  <c r="AO42" i="22746"/>
  <c r="C79" i="22745"/>
  <c r="E79" i="22745" s="1"/>
  <c r="CJ59" i="22746"/>
  <c r="BO59" i="22746"/>
  <c r="E41" i="22753"/>
  <c r="H41" i="22753" s="1"/>
  <c r="E38" i="22753"/>
  <c r="H38" i="22753" s="1"/>
  <c r="E40" i="22753"/>
  <c r="H40" i="22753" s="1"/>
  <c r="AA42" i="22746"/>
  <c r="C59" i="22745"/>
  <c r="AF60" i="22746"/>
  <c r="BJ42" i="22746"/>
  <c r="Y60" i="22746"/>
  <c r="CC60" i="22746"/>
  <c r="BA60" i="22746"/>
  <c r="G12" i="22746"/>
  <c r="BA9" i="22746"/>
  <c r="BD12" i="22746"/>
  <c r="AM60" i="22746"/>
  <c r="CE37" i="22746"/>
  <c r="BX37" i="22746"/>
  <c r="S10" i="22746"/>
  <c r="K47" i="22747"/>
  <c r="J228" i="22715"/>
  <c r="D64" i="22747"/>
  <c r="F66" i="22747"/>
  <c r="B133" i="22747" s="1"/>
  <c r="AI12" i="22746"/>
  <c r="AF9" i="22746"/>
  <c r="B191" i="22747"/>
  <c r="B138" i="22747"/>
  <c r="BV48" i="22746" l="1"/>
  <c r="AV37" i="22746"/>
  <c r="F34" i="22747"/>
  <c r="D11" i="22746"/>
  <c r="F11" i="22746" s="1"/>
  <c r="BC37" i="22746"/>
  <c r="BQ37" i="22746"/>
  <c r="AF49" i="22746"/>
  <c r="CS37" i="22746"/>
  <c r="AF11" i="22746"/>
  <c r="AO38" i="3"/>
  <c r="H23" i="22748"/>
  <c r="I23" i="22748" s="1"/>
  <c r="D9" i="22746"/>
  <c r="F36" i="22746" s="1"/>
  <c r="BJ37" i="22746"/>
  <c r="AH37" i="22746"/>
  <c r="AA37" i="22746"/>
  <c r="F37" i="22746"/>
  <c r="F66" i="22746"/>
  <c r="AH11" i="22746"/>
  <c r="BO49" i="22746"/>
  <c r="CJ49" i="22746"/>
  <c r="C54" i="22715"/>
  <c r="R70" i="3"/>
  <c r="CE66" i="3"/>
  <c r="BX38" i="3"/>
  <c r="AD70" i="3"/>
  <c r="CZ38" i="3"/>
  <c r="X12" i="3"/>
  <c r="AE12" i="3"/>
  <c r="B34" i="22715"/>
  <c r="C34" i="22715" s="1"/>
  <c r="CZ28" i="22746" s="1"/>
  <c r="CS28" i="22746"/>
  <c r="CL26" i="22746"/>
  <c r="CE24" i="22746"/>
  <c r="BQ28" i="22746"/>
  <c r="BQ24" i="22746"/>
  <c r="BJ26" i="22746"/>
  <c r="BC28" i="22746"/>
  <c r="BC24" i="22746"/>
  <c r="AV26" i="22746"/>
  <c r="AO28" i="22746"/>
  <c r="AO24" i="22746"/>
  <c r="AH26" i="22746"/>
  <c r="AA28" i="22746"/>
  <c r="AA24" i="22746"/>
  <c r="T26" i="22746"/>
  <c r="M28" i="22746"/>
  <c r="M24" i="22746"/>
  <c r="F27" i="22746"/>
  <c r="CZ27" i="22746"/>
  <c r="CZ23" i="22746"/>
  <c r="CS25" i="22746"/>
  <c r="CL27" i="22746"/>
  <c r="CL23" i="22746"/>
  <c r="CE25" i="22746"/>
  <c r="BX27" i="22746"/>
  <c r="BX23" i="22746"/>
  <c r="BQ25" i="22746"/>
  <c r="BJ27" i="22746"/>
  <c r="BJ23" i="22746"/>
  <c r="BC25" i="22746"/>
  <c r="AV27" i="22746"/>
  <c r="AV23" i="22746"/>
  <c r="AO25" i="22746"/>
  <c r="AH27" i="22746"/>
  <c r="AH23" i="22746"/>
  <c r="AA25" i="22746"/>
  <c r="T23" i="22746"/>
  <c r="F24" i="22746"/>
  <c r="T25" i="22746"/>
  <c r="M23" i="22746"/>
  <c r="CE38" i="3"/>
  <c r="BJ38" i="3"/>
  <c r="F70" i="3"/>
  <c r="BX35" i="22746"/>
  <c r="CQ49" i="22746"/>
  <c r="BV49" i="22746"/>
  <c r="D49" i="22746"/>
  <c r="BH49" i="22746"/>
  <c r="D52" i="22747"/>
  <c r="CZ37" i="22746"/>
  <c r="CL37" i="22746"/>
  <c r="R49" i="22746"/>
  <c r="F64" i="22747"/>
  <c r="B169" i="22747" s="1"/>
  <c r="B177" i="22747" s="1"/>
  <c r="J219" i="22715" s="1"/>
  <c r="M37" i="22746"/>
  <c r="K49" i="22746"/>
  <c r="AM49" i="22746"/>
  <c r="AM11" i="22746"/>
  <c r="AL11" i="22746" s="1"/>
  <c r="F63" i="22744"/>
  <c r="BX11" i="22746"/>
  <c r="R10" i="22746"/>
  <c r="Q10" i="22746" s="1"/>
  <c r="H141" i="22753"/>
  <c r="H142" i="22753" s="1"/>
  <c r="CS31" i="22746" s="1"/>
  <c r="BX36" i="22746"/>
  <c r="CZ52" i="3"/>
  <c r="CZ57" i="3" s="1"/>
  <c r="AH52" i="3"/>
  <c r="AH57" i="3" s="1"/>
  <c r="BJ52" i="3"/>
  <c r="E47" i="2"/>
  <c r="E47" i="22745"/>
  <c r="F66" i="22744"/>
  <c r="M9" i="22746"/>
  <c r="J9" i="22746"/>
  <c r="BU9" i="22746"/>
  <c r="BU12" i="22746" s="1"/>
  <c r="T57" i="3"/>
  <c r="AF30" i="3"/>
  <c r="AH30" i="3" s="1"/>
  <c r="F84" i="22749"/>
  <c r="T37" i="22746"/>
  <c r="CX49" i="22746"/>
  <c r="CS60" i="3"/>
  <c r="CS66" i="3" s="1"/>
  <c r="CX52" i="3"/>
  <c r="CX53" i="3" s="1"/>
  <c r="CZ53" i="3" s="1"/>
  <c r="H100" i="22753"/>
  <c r="E139" i="22745" s="1"/>
  <c r="E144" i="22745" s="1"/>
  <c r="W70" i="3"/>
  <c r="AO37" i="22746"/>
  <c r="CL70" i="3"/>
  <c r="D52" i="3"/>
  <c r="D53" i="3" s="1"/>
  <c r="F53" i="3" s="1"/>
  <c r="F57" i="3" s="1"/>
  <c r="AA38" i="3"/>
  <c r="CQ52" i="3"/>
  <c r="CQ53" i="3" s="1"/>
  <c r="CS53" i="3" s="1"/>
  <c r="CS57" i="3" s="1"/>
  <c r="BX52" i="3"/>
  <c r="BX57" i="3" s="1"/>
  <c r="CH70" i="3"/>
  <c r="CL52" i="3"/>
  <c r="CL57" i="3" s="1"/>
  <c r="D151" i="2"/>
  <c r="Y52" i="3"/>
  <c r="Y53" i="3" s="1"/>
  <c r="AA53" i="3" s="1"/>
  <c r="AA57" i="3" s="1"/>
  <c r="BQ52" i="3"/>
  <c r="BQ57" i="3" s="1"/>
  <c r="AH20" i="22746"/>
  <c r="M34" i="3"/>
  <c r="M38" i="3" s="1"/>
  <c r="J11" i="3"/>
  <c r="J12" i="3" s="1"/>
  <c r="M11" i="3"/>
  <c r="M12" i="3" s="1"/>
  <c r="F20" i="22746"/>
  <c r="F11" i="3"/>
  <c r="F12" i="3" s="1"/>
  <c r="F15" i="3" s="1"/>
  <c r="F34" i="3"/>
  <c r="F38" i="3" s="1"/>
  <c r="F41" i="3" s="1"/>
  <c r="AH38" i="3"/>
  <c r="C53" i="1"/>
  <c r="AG10" i="3"/>
  <c r="AH10" i="3" s="1"/>
  <c r="AH12" i="3" s="1"/>
  <c r="AZ9" i="3"/>
  <c r="AZ12" i="3" s="1"/>
  <c r="BC36" i="3"/>
  <c r="BC35" i="3"/>
  <c r="BA48" i="3"/>
  <c r="BC47" i="3" s="1"/>
  <c r="BC52" i="3" s="1"/>
  <c r="BA67" i="3"/>
  <c r="BC67" i="3" s="1"/>
  <c r="AN9" i="3"/>
  <c r="AO9" i="3" s="1"/>
  <c r="B54" i="1"/>
  <c r="C85" i="22749"/>
  <c r="T34" i="3"/>
  <c r="T38" i="3" s="1"/>
  <c r="T11" i="3"/>
  <c r="T12" i="3" s="1"/>
  <c r="Q11" i="3"/>
  <c r="Q12" i="3" s="1"/>
  <c r="CC9" i="22746"/>
  <c r="CC11" i="22746"/>
  <c r="H34" i="22748"/>
  <c r="I34" i="22748" s="1"/>
  <c r="F64" i="22744"/>
  <c r="CC49" i="22746"/>
  <c r="CA70" i="3"/>
  <c r="BJ67" i="3"/>
  <c r="BJ70" i="3" s="1"/>
  <c r="BF70" i="3"/>
  <c r="AT10" i="22746"/>
  <c r="AS10" i="22746" s="1"/>
  <c r="BQ66" i="3"/>
  <c r="BH52" i="3"/>
  <c r="BH53" i="3" s="1"/>
  <c r="BJ53" i="3" s="1"/>
  <c r="BJ57" i="3" s="1"/>
  <c r="AT11" i="22746"/>
  <c r="M57" i="3"/>
  <c r="CC10" i="22746"/>
  <c r="CB10" i="22746" s="1"/>
  <c r="AT49" i="22746"/>
  <c r="BO70" i="3"/>
  <c r="AF52" i="3"/>
  <c r="AF53" i="3" s="1"/>
  <c r="AH53" i="3" s="1"/>
  <c r="CC70" i="3"/>
  <c r="CB12" i="3"/>
  <c r="AO57" i="3"/>
  <c r="AM70" i="3"/>
  <c r="T60" i="22746"/>
  <c r="T66" i="22746" s="1"/>
  <c r="BQ60" i="22746"/>
  <c r="AL10" i="22746"/>
  <c r="E83" i="2"/>
  <c r="B163" i="4"/>
  <c r="B166" i="4" s="1"/>
  <c r="B176" i="4" s="1"/>
  <c r="H218" i="22715" s="1"/>
  <c r="AV60" i="3"/>
  <c r="AV66" i="3" s="1"/>
  <c r="I137" i="22750"/>
  <c r="H143" i="22750"/>
  <c r="I142" i="22750"/>
  <c r="I139" i="22750"/>
  <c r="I138" i="22750"/>
  <c r="AY70" i="3"/>
  <c r="CL59" i="3"/>
  <c r="CL66" i="3" s="1"/>
  <c r="CJ70" i="3"/>
  <c r="CX10" i="22746"/>
  <c r="CW10" i="22746" s="1"/>
  <c r="CX11" i="22746"/>
  <c r="H37" i="22748"/>
  <c r="I37" i="22748" s="1"/>
  <c r="CX9" i="22746"/>
  <c r="CZ67" i="3"/>
  <c r="CZ70" i="3" s="1"/>
  <c r="CV70" i="3"/>
  <c r="D99" i="22750"/>
  <c r="H99" i="22750" s="1"/>
  <c r="H95" i="22750"/>
  <c r="D70" i="3"/>
  <c r="AK70" i="3"/>
  <c r="AO67" i="3"/>
  <c r="AO70" i="3" s="1"/>
  <c r="F65" i="22744"/>
  <c r="H44" i="22750"/>
  <c r="G12" i="22747"/>
  <c r="Z12" i="3"/>
  <c r="AA15" i="3"/>
  <c r="F47" i="2"/>
  <c r="D51" i="4"/>
  <c r="F32" i="4"/>
  <c r="F33" i="4"/>
  <c r="C9" i="4"/>
  <c r="C12" i="4" s="1"/>
  <c r="D72" i="4"/>
  <c r="AT48" i="3"/>
  <c r="AS10" i="3"/>
  <c r="AS12" i="3" s="1"/>
  <c r="AT67" i="3"/>
  <c r="AT70" i="3" s="1"/>
  <c r="AV36" i="3"/>
  <c r="AV35" i="3"/>
  <c r="H25" i="22748"/>
  <c r="I25" i="22748" s="1"/>
  <c r="R11" i="22746"/>
  <c r="H28" i="22748"/>
  <c r="I28" i="22748" s="1"/>
  <c r="AM9" i="22746"/>
  <c r="AM67" i="22746" s="1"/>
  <c r="CO70" i="3"/>
  <c r="E99" i="2"/>
  <c r="BA70" i="3"/>
  <c r="BQ67" i="3"/>
  <c r="BQ70" i="3" s="1"/>
  <c r="BM70" i="3"/>
  <c r="Y70" i="3"/>
  <c r="AA60" i="3"/>
  <c r="AA66" i="3" s="1"/>
  <c r="E151" i="2"/>
  <c r="AH34" i="22746"/>
  <c r="AE11" i="22746"/>
  <c r="CJ10" i="22746"/>
  <c r="CI10" i="22746" s="1"/>
  <c r="CJ11" i="22746"/>
  <c r="H35" i="22748"/>
  <c r="I35" i="22748" s="1"/>
  <c r="CJ9" i="22746"/>
  <c r="BJ59" i="3"/>
  <c r="BJ66" i="3" s="1"/>
  <c r="BH70" i="3"/>
  <c r="CE47" i="3"/>
  <c r="CE52" i="3" s="1"/>
  <c r="CC52" i="3"/>
  <c r="CC53" i="3" s="1"/>
  <c r="CE53" i="3" s="1"/>
  <c r="F62" i="2"/>
  <c r="E132" i="2"/>
  <c r="B70" i="3"/>
  <c r="AT9" i="22746"/>
  <c r="AS9" i="22746" s="1"/>
  <c r="CQ11" i="22746"/>
  <c r="CQ10" i="22746"/>
  <c r="CP10" i="22746" s="1"/>
  <c r="H36" i="22748"/>
  <c r="I36" i="22748" s="1"/>
  <c r="CQ9" i="22746"/>
  <c r="T67" i="3"/>
  <c r="T70" i="3" s="1"/>
  <c r="P70" i="3"/>
  <c r="D75" i="4"/>
  <c r="F110" i="4" s="1"/>
  <c r="H80" i="22715" s="1"/>
  <c r="F64" i="4"/>
  <c r="BC70" i="3"/>
  <c r="CW12" i="3"/>
  <c r="BN11" i="3"/>
  <c r="BN12" i="3" s="1"/>
  <c r="BQ34" i="3"/>
  <c r="BQ38" i="3" s="1"/>
  <c r="BQ11" i="3"/>
  <c r="K10" i="22746"/>
  <c r="H24" i="22748"/>
  <c r="I24" i="22748" s="1"/>
  <c r="K11" i="22746"/>
  <c r="BX59" i="3"/>
  <c r="BX66" i="3" s="1"/>
  <c r="BV70" i="3"/>
  <c r="AF70" i="3"/>
  <c r="AH60" i="3"/>
  <c r="AH66" i="3" s="1"/>
  <c r="CZ60" i="3"/>
  <c r="CZ66" i="3" s="1"/>
  <c r="CX70" i="3"/>
  <c r="B175" i="4"/>
  <c r="BG11" i="22746"/>
  <c r="BJ34" i="22746"/>
  <c r="BJ60" i="22746"/>
  <c r="M60" i="22746"/>
  <c r="M66" i="22746" s="1"/>
  <c r="E69" i="22752"/>
  <c r="E74" i="22752" s="1"/>
  <c r="D9" i="22747"/>
  <c r="BV67" i="22746"/>
  <c r="BQ34" i="22746"/>
  <c r="BN11" i="22746"/>
  <c r="BJ11" i="22746"/>
  <c r="AA11" i="22746"/>
  <c r="X11" i="22746"/>
  <c r="AA34" i="22746"/>
  <c r="S9" i="22746"/>
  <c r="T9" i="22746" s="1"/>
  <c r="C82" i="22752"/>
  <c r="B51" i="22744"/>
  <c r="BX59" i="22746"/>
  <c r="BX66" i="22746" s="1"/>
  <c r="CL60" i="22746"/>
  <c r="AV66" i="22746"/>
  <c r="E80" i="22745"/>
  <c r="J125" i="22715"/>
  <c r="CI68" i="22746"/>
  <c r="AZ68" i="22746"/>
  <c r="J68" i="22746"/>
  <c r="X68" i="22746"/>
  <c r="C68" i="22746"/>
  <c r="BG68" i="22746"/>
  <c r="AS68" i="22746"/>
  <c r="C73" i="22747"/>
  <c r="BU68" i="22746"/>
  <c r="CP68" i="22746"/>
  <c r="Q68" i="22746"/>
  <c r="CW68" i="22746"/>
  <c r="BN68" i="22746"/>
  <c r="CB68" i="22746"/>
  <c r="AL68" i="22746"/>
  <c r="AE68" i="22746"/>
  <c r="AH31" i="22746"/>
  <c r="F31" i="22746"/>
  <c r="T31" i="22746"/>
  <c r="BC31" i="22746"/>
  <c r="BC60" i="22746"/>
  <c r="BC66" i="22746" s="1"/>
  <c r="CL59" i="22746"/>
  <c r="BJ59" i="22746"/>
  <c r="Y10" i="22746"/>
  <c r="AB12" i="22746"/>
  <c r="H116" i="22753"/>
  <c r="H131" i="22753" s="1"/>
  <c r="H134" i="22753" s="1"/>
  <c r="BN10" i="22746"/>
  <c r="BQ35" i="22746"/>
  <c r="BO48" i="22746"/>
  <c r="BO67" i="22746"/>
  <c r="BQ36" i="22746"/>
  <c r="D67" i="22746"/>
  <c r="F9" i="22746"/>
  <c r="D48" i="22746"/>
  <c r="AA60" i="22746"/>
  <c r="AA66" i="22746" s="1"/>
  <c r="CZ60" i="22746"/>
  <c r="CZ66" i="22746" s="1"/>
  <c r="CE60" i="22746"/>
  <c r="CE66" i="22746" s="1"/>
  <c r="C80" i="22745"/>
  <c r="B130" i="22747"/>
  <c r="C10" i="22747"/>
  <c r="CS59" i="22746"/>
  <c r="CS66" i="22746" s="1"/>
  <c r="AF48" i="22746"/>
  <c r="AH35" i="22746"/>
  <c r="AE9" i="22746"/>
  <c r="AF67" i="22746"/>
  <c r="AH36" i="22746"/>
  <c r="Z10" i="22746"/>
  <c r="C52" i="22744"/>
  <c r="AO60" i="22746"/>
  <c r="AO66" i="22746" s="1"/>
  <c r="BC36" i="22746"/>
  <c r="BC35" i="22746"/>
  <c r="BA67" i="22746"/>
  <c r="BA48" i="22746"/>
  <c r="AZ9" i="22746"/>
  <c r="AZ12" i="22746" s="1"/>
  <c r="E96" i="22745"/>
  <c r="E97" i="22745" s="1"/>
  <c r="J124" i="22715"/>
  <c r="F34" i="22746"/>
  <c r="F10" i="22746"/>
  <c r="C10" i="22746"/>
  <c r="AH60" i="22746"/>
  <c r="AH66" i="22746" s="1"/>
  <c r="H44" i="22753"/>
  <c r="BQ59" i="22746"/>
  <c r="H20" i="22753"/>
  <c r="E57" i="22752"/>
  <c r="E73" i="22752" s="1"/>
  <c r="C9" i="22747"/>
  <c r="BJ36" i="22746"/>
  <c r="BH67" i="22746"/>
  <c r="BG9" i="22746"/>
  <c r="BH48" i="22746"/>
  <c r="BJ35" i="22746"/>
  <c r="AT48" i="22746"/>
  <c r="AV35" i="22746"/>
  <c r="T35" i="22746"/>
  <c r="R48" i="22746"/>
  <c r="R67" i="22746"/>
  <c r="Q9" i="22746"/>
  <c r="T36" i="22746"/>
  <c r="BX38" i="22746"/>
  <c r="AV36" i="22746" l="1"/>
  <c r="AT67" i="22746"/>
  <c r="F70" i="22747"/>
  <c r="C9" i="22746"/>
  <c r="C12" i="22746" s="1"/>
  <c r="F35" i="22746"/>
  <c r="CE31" i="22746"/>
  <c r="AV31" i="22746"/>
  <c r="BQ31" i="22746"/>
  <c r="B131" i="22747"/>
  <c r="F32" i="22747"/>
  <c r="F35" i="22747" s="1"/>
  <c r="B143" i="22747" s="1"/>
  <c r="J145" i="22715" s="1"/>
  <c r="F33" i="22747"/>
  <c r="AO34" i="22746"/>
  <c r="BJ38" i="22746"/>
  <c r="D51" i="22747"/>
  <c r="K50" i="22747" s="1"/>
  <c r="BQ66" i="22746"/>
  <c r="AA31" i="22746"/>
  <c r="CZ31" i="22746"/>
  <c r="BJ31" i="22746"/>
  <c r="AO31" i="22746"/>
  <c r="M31" i="22746"/>
  <c r="BX31" i="22746"/>
  <c r="CL31" i="22746"/>
  <c r="AO11" i="22746"/>
  <c r="F26" i="22746"/>
  <c r="M27" i="22746"/>
  <c r="AA23" i="22746"/>
  <c r="M25" i="22746"/>
  <c r="T27" i="22746"/>
  <c r="AA27" i="22746"/>
  <c r="AH25" i="22746"/>
  <c r="AO23" i="22746"/>
  <c r="AO27" i="22746"/>
  <c r="AV25" i="22746"/>
  <c r="BC23" i="22746"/>
  <c r="BC27" i="22746"/>
  <c r="BJ25" i="22746"/>
  <c r="BQ23" i="22746"/>
  <c r="BQ27" i="22746"/>
  <c r="BX25" i="22746"/>
  <c r="CE23" i="22746"/>
  <c r="CE27" i="22746"/>
  <c r="CL25" i="22746"/>
  <c r="CS23" i="22746"/>
  <c r="CS27" i="22746"/>
  <c r="CZ25" i="22746"/>
  <c r="F25" i="22746"/>
  <c r="F29" i="22746" s="1"/>
  <c r="F23" i="22746"/>
  <c r="M26" i="22746"/>
  <c r="M29" i="22746" s="1"/>
  <c r="T24" i="22746"/>
  <c r="T28" i="22746"/>
  <c r="AA26" i="22746"/>
  <c r="AH24" i="22746"/>
  <c r="AH28" i="22746"/>
  <c r="AO26" i="22746"/>
  <c r="AO29" i="22746" s="1"/>
  <c r="AV24" i="22746"/>
  <c r="AV28" i="22746"/>
  <c r="BC26" i="22746"/>
  <c r="BJ24" i="22746"/>
  <c r="BJ28" i="22746"/>
  <c r="BQ26" i="22746"/>
  <c r="BQ29" i="22746" s="1"/>
  <c r="BX26" i="22746"/>
  <c r="CE28" i="22746"/>
  <c r="CS24" i="22746"/>
  <c r="CZ26" i="22746"/>
  <c r="BX24" i="22746"/>
  <c r="BX28" i="22746"/>
  <c r="CE26" i="22746"/>
  <c r="CE29" i="22746" s="1"/>
  <c r="CL24" i="22746"/>
  <c r="CL28" i="22746"/>
  <c r="CS26" i="22746"/>
  <c r="CZ24" i="22746"/>
  <c r="CZ29" i="22746" s="1"/>
  <c r="AV38" i="3"/>
  <c r="BA52" i="3"/>
  <c r="BA53" i="3" s="1"/>
  <c r="BC53" i="3" s="1"/>
  <c r="BC57" i="3" s="1"/>
  <c r="E75" i="22752"/>
  <c r="E85" i="22745" s="1"/>
  <c r="CX67" i="22746"/>
  <c r="CZ67" i="22746" s="1"/>
  <c r="CC67" i="22746"/>
  <c r="D72" i="22747"/>
  <c r="T10" i="22746"/>
  <c r="AE12" i="22746"/>
  <c r="C12" i="22747"/>
  <c r="BN12" i="22746"/>
  <c r="BG12" i="22746"/>
  <c r="AH15" i="3"/>
  <c r="AG12" i="3"/>
  <c r="T15" i="3"/>
  <c r="S12" i="3"/>
  <c r="M15" i="3"/>
  <c r="L12" i="3"/>
  <c r="F77" i="3"/>
  <c r="G30" i="3" s="1"/>
  <c r="D23" i="22714"/>
  <c r="AM30" i="3"/>
  <c r="AO30" i="3" s="1"/>
  <c r="F85" i="22749"/>
  <c r="C86" i="22749"/>
  <c r="B55" i="1"/>
  <c r="AU9" i="3"/>
  <c r="AV9" i="3" s="1"/>
  <c r="BC38" i="3"/>
  <c r="C54" i="1"/>
  <c r="AN10" i="3"/>
  <c r="AO10" i="3" s="1"/>
  <c r="AO12" i="3" s="1"/>
  <c r="AV11" i="22746"/>
  <c r="AS11" i="22746"/>
  <c r="AS12" i="22746" s="1"/>
  <c r="AV34" i="22746"/>
  <c r="AV38" i="22746" s="1"/>
  <c r="CB11" i="22746"/>
  <c r="CE34" i="22746"/>
  <c r="CE11" i="22746"/>
  <c r="CB9" i="22746"/>
  <c r="CE35" i="22746"/>
  <c r="CC48" i="22746"/>
  <c r="CE36" i="22746"/>
  <c r="AH38" i="22746"/>
  <c r="F35" i="4"/>
  <c r="B143" i="4" s="1"/>
  <c r="H145" i="22715" s="1"/>
  <c r="CE57" i="3"/>
  <c r="BJ66" i="22746"/>
  <c r="M34" i="22746"/>
  <c r="J11" i="22746"/>
  <c r="M11" i="22746"/>
  <c r="B131" i="4"/>
  <c r="B169" i="4"/>
  <c r="F70" i="4"/>
  <c r="CQ67" i="22746"/>
  <c r="CS67" i="22746" s="1"/>
  <c r="CS35" i="22746"/>
  <c r="CP9" i="22746"/>
  <c r="CQ48" i="22746"/>
  <c r="CS36" i="22746"/>
  <c r="AL9" i="22746"/>
  <c r="AL12" i="22746" s="1"/>
  <c r="AO36" i="22746"/>
  <c r="AO35" i="22746"/>
  <c r="AV47" i="3"/>
  <c r="AV52" i="3" s="1"/>
  <c r="AT52" i="3"/>
  <c r="AT53" i="3" s="1"/>
  <c r="AV53" i="3" s="1"/>
  <c r="AA77" i="3"/>
  <c r="D26" i="22714"/>
  <c r="E129" i="2"/>
  <c r="E134" i="2" s="1"/>
  <c r="H60" i="22750"/>
  <c r="CX48" i="22746"/>
  <c r="CW9" i="22746"/>
  <c r="CZ36" i="22746"/>
  <c r="CZ35" i="22746"/>
  <c r="BJ31" i="3"/>
  <c r="F31" i="3"/>
  <c r="CZ31" i="3"/>
  <c r="BQ31" i="3"/>
  <c r="CL31" i="3"/>
  <c r="M31" i="3"/>
  <c r="M41" i="3" s="1"/>
  <c r="BC31" i="3"/>
  <c r="BX31" i="3"/>
  <c r="T31" i="3"/>
  <c r="T41" i="3" s="1"/>
  <c r="CE31" i="3"/>
  <c r="AA31" i="3"/>
  <c r="AA41" i="3" s="1"/>
  <c r="AO31" i="3"/>
  <c r="AH31" i="3"/>
  <c r="AH41" i="3" s="1"/>
  <c r="CS31" i="3"/>
  <c r="AV31" i="3"/>
  <c r="F8" i="2"/>
  <c r="F24" i="2"/>
  <c r="F31" i="2"/>
  <c r="F57" i="2"/>
  <c r="F11" i="2"/>
  <c r="F69" i="2"/>
  <c r="F58" i="2"/>
  <c r="F60" i="2"/>
  <c r="F33" i="2"/>
  <c r="F12" i="2"/>
  <c r="F20" i="2"/>
  <c r="F38" i="2"/>
  <c r="F18" i="2"/>
  <c r="F36" i="2"/>
  <c r="F23" i="2"/>
  <c r="F21" i="2"/>
  <c r="F61" i="2"/>
  <c r="F32" i="2"/>
  <c r="F76" i="2"/>
  <c r="F67" i="2"/>
  <c r="F26" i="2"/>
  <c r="F16" i="2"/>
  <c r="F37" i="2"/>
  <c r="F73" i="2"/>
  <c r="F70" i="2"/>
  <c r="F83" i="2"/>
  <c r="F66" i="2"/>
  <c r="F22" i="2"/>
  <c r="F71" i="2"/>
  <c r="F75" i="2"/>
  <c r="F30" i="2"/>
  <c r="F74" i="2"/>
  <c r="F25" i="2"/>
  <c r="F19" i="2"/>
  <c r="F39" i="2"/>
  <c r="F55" i="2"/>
  <c r="F52" i="2"/>
  <c r="F77" i="2"/>
  <c r="F68" i="2"/>
  <c r="F53" i="2"/>
  <c r="F27" i="2"/>
  <c r="F29" i="2"/>
  <c r="F10" i="2"/>
  <c r="F13" i="2"/>
  <c r="F72" i="2"/>
  <c r="F17" i="2"/>
  <c r="F54" i="2"/>
  <c r="F78" i="2"/>
  <c r="F14" i="2"/>
  <c r="F80" i="2"/>
  <c r="F79" i="2"/>
  <c r="F51" i="2"/>
  <c r="F34" i="2"/>
  <c r="F56" i="2"/>
  <c r="F59" i="2"/>
  <c r="AM48" i="22746"/>
  <c r="C43" i="22714"/>
  <c r="C44" i="22714" s="1"/>
  <c r="B76" i="22715"/>
  <c r="CI11" i="22746"/>
  <c r="CL34" i="22746"/>
  <c r="CL11" i="22746"/>
  <c r="B83" i="22715"/>
  <c r="B75" i="4"/>
  <c r="F72" i="4"/>
  <c r="BC38" i="22746"/>
  <c r="M10" i="22746"/>
  <c r="J10" i="22746"/>
  <c r="J12" i="22746" s="1"/>
  <c r="M36" i="22746"/>
  <c r="K67" i="22746"/>
  <c r="M67" i="22746" s="1"/>
  <c r="M35" i="22746"/>
  <c r="T34" i="22746"/>
  <c r="Q11" i="22746"/>
  <c r="Q12" i="22746" s="1"/>
  <c r="T11" i="22746"/>
  <c r="T12" i="22746" s="1"/>
  <c r="AV67" i="3"/>
  <c r="AV70" i="3" s="1"/>
  <c r="AR70" i="3"/>
  <c r="K50" i="4"/>
  <c r="C141" i="22744"/>
  <c r="H56" i="4"/>
  <c r="C139" i="1"/>
  <c r="F50" i="4"/>
  <c r="B186" i="4"/>
  <c r="D55" i="4"/>
  <c r="D56" i="4" s="1"/>
  <c r="CZ34" i="22746"/>
  <c r="CW11" i="22746"/>
  <c r="CZ11" i="22746"/>
  <c r="CS34" i="22746"/>
  <c r="CS11" i="22746"/>
  <c r="CP11" i="22746"/>
  <c r="CI9" i="22746"/>
  <c r="CJ67" i="22746"/>
  <c r="CL67" i="22746" s="1"/>
  <c r="CL36" i="22746"/>
  <c r="CL35" i="22746"/>
  <c r="CJ48" i="22746"/>
  <c r="K48" i="22746"/>
  <c r="E107" i="2"/>
  <c r="H101" i="22750"/>
  <c r="F81" i="2"/>
  <c r="BC29" i="22746"/>
  <c r="B160" i="22747"/>
  <c r="B175" i="22747" s="1"/>
  <c r="J217" i="22715" s="1"/>
  <c r="H217" i="22715"/>
  <c r="AV29" i="22746"/>
  <c r="CL66" i="22746"/>
  <c r="T38" i="22746"/>
  <c r="BX67" i="22746"/>
  <c r="Z9" i="22746"/>
  <c r="AA9" i="22746" s="1"/>
  <c r="C83" i="22752"/>
  <c r="B52" i="22744"/>
  <c r="CC68" i="22746"/>
  <c r="CQ68" i="22746"/>
  <c r="BH68" i="22746"/>
  <c r="BJ68" i="22746" s="1"/>
  <c r="BA68" i="22746"/>
  <c r="BC68" i="22746" s="1"/>
  <c r="F72" i="22747"/>
  <c r="H60" i="22753"/>
  <c r="H73" i="22753" s="1"/>
  <c r="H76" i="22753" s="1"/>
  <c r="E129" i="22745"/>
  <c r="E134" i="22745" s="1"/>
  <c r="E147" i="22745" s="1"/>
  <c r="AH67" i="22746"/>
  <c r="CA70" i="22746"/>
  <c r="CE67" i="22746"/>
  <c r="I125" i="22715"/>
  <c r="BJ67" i="22746"/>
  <c r="H17" i="22753"/>
  <c r="H14" i="22753"/>
  <c r="H15" i="22753"/>
  <c r="H16" i="22753"/>
  <c r="H12" i="22753"/>
  <c r="H21" i="22753"/>
  <c r="H10" i="22753"/>
  <c r="H11" i="22753"/>
  <c r="H9" i="22753"/>
  <c r="H13" i="22753"/>
  <c r="H19" i="22753"/>
  <c r="I124" i="22715"/>
  <c r="E99" i="22745"/>
  <c r="BC67" i="22746"/>
  <c r="BC70" i="22746" s="1"/>
  <c r="AV67" i="22746"/>
  <c r="F12" i="22746"/>
  <c r="F15" i="22746" s="1"/>
  <c r="BQ38" i="22746"/>
  <c r="X10" i="22746"/>
  <c r="X12" i="22746" s="1"/>
  <c r="AA10" i="22746"/>
  <c r="AA12" i="22746" s="1"/>
  <c r="AA36" i="22746"/>
  <c r="AA35" i="22746"/>
  <c r="Y48" i="22746"/>
  <c r="Y67" i="22746"/>
  <c r="BO68" i="22746"/>
  <c r="BQ68" i="22746" s="1"/>
  <c r="BV68" i="22746"/>
  <c r="BV70" i="22746" s="1"/>
  <c r="D68" i="22746"/>
  <c r="F68" i="22746" s="1"/>
  <c r="CJ68" i="22746"/>
  <c r="CJ70" i="22746" s="1"/>
  <c r="T67" i="22746"/>
  <c r="AO67" i="22746"/>
  <c r="C53" i="22744"/>
  <c r="AG10" i="22746"/>
  <c r="AH10" i="22746" s="1"/>
  <c r="BQ67" i="22746"/>
  <c r="AF68" i="22746"/>
  <c r="CX68" i="22746"/>
  <c r="D73" i="22747"/>
  <c r="F73" i="22747" s="1"/>
  <c r="B190" i="22747" s="1"/>
  <c r="Y68" i="22746"/>
  <c r="AA68" i="22746" s="1"/>
  <c r="F38" i="22746"/>
  <c r="F67" i="22746"/>
  <c r="AM68" i="22746"/>
  <c r="AO68" i="22746" s="1"/>
  <c r="R68" i="22746"/>
  <c r="T68" i="22746" s="1"/>
  <c r="AT68" i="22746"/>
  <c r="AV68" i="22746" s="1"/>
  <c r="K68" i="22746"/>
  <c r="CZ38" i="22746" l="1"/>
  <c r="BJ29" i="22746"/>
  <c r="AH29" i="22746"/>
  <c r="T29" i="22746"/>
  <c r="CQ70" i="22746"/>
  <c r="CS29" i="22746"/>
  <c r="CL29" i="22746"/>
  <c r="AA29" i="22746"/>
  <c r="BX29" i="22746"/>
  <c r="F70" i="22746"/>
  <c r="CI12" i="22746"/>
  <c r="AO41" i="3"/>
  <c r="CB12" i="22746"/>
  <c r="D70" i="22746"/>
  <c r="BM70" i="22746"/>
  <c r="BJ70" i="22746"/>
  <c r="I145" i="22715"/>
  <c r="CS38" i="22746"/>
  <c r="AO38" i="22746"/>
  <c r="AU10" i="3"/>
  <c r="AV10" i="3" s="1"/>
  <c r="AV12" i="3" s="1"/>
  <c r="C55" i="1"/>
  <c r="AT30" i="3"/>
  <c r="AV30" i="3" s="1"/>
  <c r="AV41" i="3" s="1"/>
  <c r="F86" i="22749"/>
  <c r="T77" i="3"/>
  <c r="D25" i="22714"/>
  <c r="AN12" i="3"/>
  <c r="AO15" i="3"/>
  <c r="D24" i="22714"/>
  <c r="M77" i="3"/>
  <c r="B70" i="22746"/>
  <c r="BF70" i="22746"/>
  <c r="M12" i="22746"/>
  <c r="M15" i="22746" s="1"/>
  <c r="C87" i="22749"/>
  <c r="B56" i="1"/>
  <c r="BB9" i="3"/>
  <c r="BC9" i="3" s="1"/>
  <c r="AH77" i="3"/>
  <c r="D27" i="22714"/>
  <c r="CE38" i="22746"/>
  <c r="S12" i="22746"/>
  <c r="T15" i="22746"/>
  <c r="D25" i="22748" s="1"/>
  <c r="E109" i="2"/>
  <c r="F107" i="2"/>
  <c r="F93" i="2"/>
  <c r="F89" i="2"/>
  <c r="F105" i="2"/>
  <c r="F94" i="2"/>
  <c r="F102" i="2"/>
  <c r="F91" i="2"/>
  <c r="F90" i="2"/>
  <c r="F98" i="2"/>
  <c r="E111" i="2"/>
  <c r="F101" i="2"/>
  <c r="F92" i="2"/>
  <c r="F88" i="2"/>
  <c r="F106" i="2"/>
  <c r="F103" i="2"/>
  <c r="F95" i="2"/>
  <c r="F96" i="2"/>
  <c r="F97" i="2"/>
  <c r="K56" i="4"/>
  <c r="K59" i="4" s="1"/>
  <c r="F56" i="4"/>
  <c r="B81" i="22715"/>
  <c r="B77" i="22715"/>
  <c r="B82" i="22715"/>
  <c r="F75" i="4"/>
  <c r="BO70" i="22746"/>
  <c r="CW12" i="22746"/>
  <c r="H74" i="22750"/>
  <c r="CP12" i="22746"/>
  <c r="B177" i="4"/>
  <c r="B171" i="4"/>
  <c r="F75" i="22747"/>
  <c r="B119" i="22747" s="1"/>
  <c r="J90" i="22715" s="1"/>
  <c r="AT70" i="22746"/>
  <c r="E139" i="2"/>
  <c r="E144" i="2" s="1"/>
  <c r="E147" i="2" s="1"/>
  <c r="D154" i="2" s="1"/>
  <c r="E154" i="2" s="1"/>
  <c r="H117" i="22750"/>
  <c r="B185" i="4"/>
  <c r="F55" i="4"/>
  <c r="AV57" i="3"/>
  <c r="M38" i="22746"/>
  <c r="AO70" i="22746"/>
  <c r="AA38" i="22746"/>
  <c r="F99" i="2"/>
  <c r="CL38" i="22746"/>
  <c r="B135" i="4"/>
  <c r="B189" i="4"/>
  <c r="B197" i="4" s="1"/>
  <c r="B79" i="22715"/>
  <c r="I217" i="22715"/>
  <c r="CZ68" i="22746"/>
  <c r="CZ70" i="22746" s="1"/>
  <c r="CX70" i="22746"/>
  <c r="BA70" i="22746"/>
  <c r="AH68" i="22746"/>
  <c r="AF70" i="22746"/>
  <c r="P70" i="22746"/>
  <c r="AV70" i="22746"/>
  <c r="CE68" i="22746"/>
  <c r="CC70" i="22746"/>
  <c r="AG9" i="22746"/>
  <c r="AH9" i="22746" s="1"/>
  <c r="AH12" i="22746" s="1"/>
  <c r="B53" i="22744"/>
  <c r="C84" i="22752"/>
  <c r="D75" i="22747"/>
  <c r="AM70" i="22746"/>
  <c r="Y70" i="22746"/>
  <c r="CE70" i="22746"/>
  <c r="AK70" i="22746"/>
  <c r="F83" i="22752"/>
  <c r="R70" i="22746"/>
  <c r="BH70" i="22746"/>
  <c r="CL68" i="22746"/>
  <c r="CL70" i="22746" s="1"/>
  <c r="CH70" i="22746"/>
  <c r="BX68" i="22746"/>
  <c r="BX70" i="22746" s="1"/>
  <c r="BT70" i="22746"/>
  <c r="AA67" i="22746"/>
  <c r="AA70" i="22746" s="1"/>
  <c r="W70" i="22746"/>
  <c r="Z12" i="22746"/>
  <c r="AA15" i="22746"/>
  <c r="B75" i="22747"/>
  <c r="M68" i="22746"/>
  <c r="M70" i="22746" s="1"/>
  <c r="I70" i="22746"/>
  <c r="K70" i="22746"/>
  <c r="AN10" i="22746"/>
  <c r="AO10" i="22746" s="1"/>
  <c r="C54" i="22744"/>
  <c r="D83" i="22715"/>
  <c r="CS68" i="22746"/>
  <c r="CS70" i="22746" s="1"/>
  <c r="CO70" i="22746"/>
  <c r="AY70" i="22746"/>
  <c r="AD70" i="22746"/>
  <c r="B135" i="22747"/>
  <c r="B139" i="22747" s="1"/>
  <c r="C133" i="22747" s="1"/>
  <c r="B189" i="22747"/>
  <c r="B197" i="22747" s="1"/>
  <c r="BQ70" i="22746"/>
  <c r="CV70" i="22746"/>
  <c r="T70" i="22746"/>
  <c r="D23" i="22748"/>
  <c r="F77" i="22746"/>
  <c r="AR70" i="22746"/>
  <c r="AH70" i="22746"/>
  <c r="T77" i="22746"/>
  <c r="L12" i="22746" l="1"/>
  <c r="C88" i="22749"/>
  <c r="B57" i="1"/>
  <c r="BI9" i="3"/>
  <c r="BJ9" i="3" s="1"/>
  <c r="AU12" i="3"/>
  <c r="AV15" i="3"/>
  <c r="BA30" i="3"/>
  <c r="BC30" i="3" s="1"/>
  <c r="BC41" i="3" s="1"/>
  <c r="F87" i="22749"/>
  <c r="AO77" i="3"/>
  <c r="D28" i="22714"/>
  <c r="BB10" i="3"/>
  <c r="BC10" i="3" s="1"/>
  <c r="BC12" i="3" s="1"/>
  <c r="C56" i="1"/>
  <c r="F107" i="4"/>
  <c r="H50" i="22715" s="1"/>
  <c r="F60" i="4"/>
  <c r="B145" i="4" s="1"/>
  <c r="H147" i="22715" s="1"/>
  <c r="F101" i="22747"/>
  <c r="H132" i="22750"/>
  <c r="H77" i="22750"/>
  <c r="B33" i="22715"/>
  <c r="C33" i="22715" s="1"/>
  <c r="H219" i="22715"/>
  <c r="I219" i="22715" s="1"/>
  <c r="B178" i="4"/>
  <c r="B119" i="4"/>
  <c r="H90" i="22715" s="1"/>
  <c r="I90" i="22715" s="1"/>
  <c r="F101" i="4"/>
  <c r="D153" i="2"/>
  <c r="E153" i="2" s="1"/>
  <c r="E149" i="2"/>
  <c r="D152" i="2"/>
  <c r="E152" i="2" s="1"/>
  <c r="H263" i="22715"/>
  <c r="B192" i="4"/>
  <c r="H239" i="22715" s="1"/>
  <c r="B196" i="4"/>
  <c r="H123" i="22715"/>
  <c r="B139" i="4"/>
  <c r="C135" i="4" s="1"/>
  <c r="M77" i="22746"/>
  <c r="D24" i="22748"/>
  <c r="C131" i="22747"/>
  <c r="C136" i="22747"/>
  <c r="C134" i="22747"/>
  <c r="AG12" i="22746"/>
  <c r="AH15" i="22746"/>
  <c r="D27" i="22748" s="1"/>
  <c r="C139" i="22747"/>
  <c r="F84" i="22752"/>
  <c r="C132" i="22747"/>
  <c r="J127" i="22715"/>
  <c r="J131" i="22715" s="1"/>
  <c r="B54" i="22744"/>
  <c r="AN9" i="22746"/>
  <c r="AO9" i="22746" s="1"/>
  <c r="AO12" i="22746" s="1"/>
  <c r="AN12" i="22746" s="1"/>
  <c r="C85" i="22752"/>
  <c r="F110" i="22747"/>
  <c r="J80" i="22715" s="1"/>
  <c r="I80" i="22715" s="1"/>
  <c r="C43" i="22748"/>
  <c r="C44" i="22748" s="1"/>
  <c r="D76" i="22715"/>
  <c r="C76" i="22715" s="1"/>
  <c r="C137" i="22747"/>
  <c r="C130" i="22747"/>
  <c r="C138" i="22747"/>
  <c r="C83" i="22715"/>
  <c r="J263" i="22715"/>
  <c r="I263" i="22715" s="1"/>
  <c r="D81" i="22715"/>
  <c r="C81" i="22715" s="1"/>
  <c r="D77" i="22715"/>
  <c r="C77" i="22715" s="1"/>
  <c r="D79" i="22715"/>
  <c r="C79" i="22715" s="1"/>
  <c r="C135" i="22747"/>
  <c r="J123" i="22715"/>
  <c r="C55" i="22744"/>
  <c r="AU10" i="22746"/>
  <c r="AV10" i="22746" s="1"/>
  <c r="D26" i="22748"/>
  <c r="AA77" i="22746"/>
  <c r="C57" i="1" l="1"/>
  <c r="BI10" i="3"/>
  <c r="BJ10" i="3" s="1"/>
  <c r="BJ12" i="3" s="1"/>
  <c r="BC15" i="3"/>
  <c r="BB12" i="3"/>
  <c r="BP9" i="3"/>
  <c r="BQ9" i="3" s="1"/>
  <c r="C89" i="22749"/>
  <c r="B58" i="1"/>
  <c r="AV77" i="3"/>
  <c r="D29" i="22714"/>
  <c r="BH30" i="3"/>
  <c r="BJ30" i="3" s="1"/>
  <c r="BJ41" i="3" s="1"/>
  <c r="F88" i="22749"/>
  <c r="J126" i="22715"/>
  <c r="J132" i="22715" s="1"/>
  <c r="H262" i="22715"/>
  <c r="B198" i="4"/>
  <c r="I45" i="22750"/>
  <c r="I69" i="22750"/>
  <c r="I59" i="22750"/>
  <c r="I47" i="22750"/>
  <c r="I42" i="22750"/>
  <c r="I61" i="22750"/>
  <c r="I54" i="22750"/>
  <c r="I55" i="22750"/>
  <c r="I71" i="22750"/>
  <c r="I56" i="22750"/>
  <c r="I43" i="22750"/>
  <c r="I46" i="22750"/>
  <c r="I70" i="22750"/>
  <c r="I57" i="22750"/>
  <c r="I66" i="22750"/>
  <c r="I51" i="22750"/>
  <c r="I77" i="22750"/>
  <c r="I48" i="22750"/>
  <c r="I53" i="22750"/>
  <c r="I73" i="22750"/>
  <c r="I68" i="22750"/>
  <c r="I58" i="22750"/>
  <c r="I49" i="22750"/>
  <c r="I52" i="22750"/>
  <c r="I67" i="22750"/>
  <c r="I50" i="22750"/>
  <c r="I64" i="22750"/>
  <c r="I76" i="22750"/>
  <c r="I65" i="22750"/>
  <c r="I72" i="22750"/>
  <c r="I38" i="22750"/>
  <c r="I40" i="22750"/>
  <c r="I75" i="22750"/>
  <c r="I41" i="22750"/>
  <c r="I44" i="22750"/>
  <c r="I60" i="22750"/>
  <c r="C176" i="4"/>
  <c r="H223" i="22715" s="1"/>
  <c r="C175" i="4"/>
  <c r="H222" i="22715" s="1"/>
  <c r="H199" i="22715"/>
  <c r="C178" i="4"/>
  <c r="H220" i="22715"/>
  <c r="C177" i="4"/>
  <c r="H224" i="22715" s="1"/>
  <c r="H135" i="22750"/>
  <c r="I132" i="22750" s="1"/>
  <c r="D53" i="22745"/>
  <c r="E53" i="22745" s="1"/>
  <c r="AN54" i="22746"/>
  <c r="AO54" i="22746" s="1"/>
  <c r="CD53" i="22746"/>
  <c r="BP54" i="22746"/>
  <c r="BQ54" i="22746" s="1"/>
  <c r="L54" i="22746"/>
  <c r="M54" i="22746" s="1"/>
  <c r="AG54" i="22746"/>
  <c r="AH54" i="22746" s="1"/>
  <c r="E53" i="22746"/>
  <c r="L53" i="22746"/>
  <c r="BB54" i="22746"/>
  <c r="BC54" i="22746" s="1"/>
  <c r="CR53" i="22746"/>
  <c r="BI53" i="22746"/>
  <c r="CK53" i="22746"/>
  <c r="BP53" i="22746"/>
  <c r="BP48" i="22746"/>
  <c r="CY48" i="22746"/>
  <c r="CD54" i="22746"/>
  <c r="CE54" i="22746" s="1"/>
  <c r="BW51" i="22746"/>
  <c r="BX51" i="22746" s="1"/>
  <c r="AG47" i="22746"/>
  <c r="BB45" i="22746"/>
  <c r="BC45" i="22746" s="1"/>
  <c r="CR51" i="22746"/>
  <c r="CS51" i="22746" s="1"/>
  <c r="AO56" i="22746"/>
  <c r="CK45" i="22746"/>
  <c r="CL45" i="22746" s="1"/>
  <c r="AG51" i="22746"/>
  <c r="AH51" i="22746" s="1"/>
  <c r="BB46" i="22746"/>
  <c r="BC46" i="22746" s="1"/>
  <c r="CD47" i="22746"/>
  <c r="BQ56" i="22746"/>
  <c r="AV56" i="22746"/>
  <c r="S51" i="22746"/>
  <c r="T51" i="22746" s="1"/>
  <c r="CZ56" i="22746"/>
  <c r="D58" i="22745"/>
  <c r="E58" i="22745" s="1"/>
  <c r="E44" i="22746"/>
  <c r="F44" i="22746" s="1"/>
  <c r="E47" i="22746"/>
  <c r="BI51" i="22746"/>
  <c r="BJ51" i="22746" s="1"/>
  <c r="AN45" i="22746"/>
  <c r="AO45" i="22746" s="1"/>
  <c r="AU45" i="22746"/>
  <c r="AV45" i="22746" s="1"/>
  <c r="CD46" i="22746"/>
  <c r="CE46" i="22746" s="1"/>
  <c r="BW46" i="22746"/>
  <c r="BX46" i="22746" s="1"/>
  <c r="AG45" i="22746"/>
  <c r="AH45" i="22746" s="1"/>
  <c r="CR47" i="22746"/>
  <c r="AG44" i="22746"/>
  <c r="AH44" i="22746" s="1"/>
  <c r="BB44" i="22746"/>
  <c r="BC44" i="22746" s="1"/>
  <c r="BP51" i="22746"/>
  <c r="BQ51" i="22746" s="1"/>
  <c r="CR55" i="22746"/>
  <c r="CS55" i="22746" s="1"/>
  <c r="CK50" i="22746"/>
  <c r="CL50" i="22746" s="1"/>
  <c r="CD44" i="22746"/>
  <c r="CE44" i="22746" s="1"/>
  <c r="E50" i="22746"/>
  <c r="F50" i="22746" s="1"/>
  <c r="D54" i="22745"/>
  <c r="CD50" i="22746"/>
  <c r="CE50" i="22746" s="1"/>
  <c r="CK55" i="22746"/>
  <c r="CL55" i="22746" s="1"/>
  <c r="BP46" i="22746"/>
  <c r="BQ46" i="22746" s="1"/>
  <c r="E48" i="22746"/>
  <c r="S54" i="22746"/>
  <c r="T54" i="22746" s="1"/>
  <c r="S53" i="22746"/>
  <c r="CY53" i="22746"/>
  <c r="CK54" i="22746"/>
  <c r="CL54" i="22746" s="1"/>
  <c r="AG48" i="22746"/>
  <c r="BW48" i="22746"/>
  <c r="L48" i="22746"/>
  <c r="Z53" i="22746"/>
  <c r="BI47" i="22746"/>
  <c r="AN47" i="22746"/>
  <c r="CD51" i="22746"/>
  <c r="CE51" i="22746" s="1"/>
  <c r="BP47" i="22746"/>
  <c r="CK46" i="22746"/>
  <c r="CL46" i="22746" s="1"/>
  <c r="BW44" i="22746"/>
  <c r="BX44" i="22746" s="1"/>
  <c r="BB51" i="22746"/>
  <c r="BC51" i="22746" s="1"/>
  <c r="L47" i="22746"/>
  <c r="BP50" i="22746"/>
  <c r="BQ50" i="22746" s="1"/>
  <c r="Z51" i="22746"/>
  <c r="AA51" i="22746" s="1"/>
  <c r="E51" i="22746"/>
  <c r="F51" i="22746" s="1"/>
  <c r="M56" i="22746"/>
  <c r="E46" i="22746"/>
  <c r="F46" i="22746" s="1"/>
  <c r="CD45" i="22746"/>
  <c r="CE45" i="22746" s="1"/>
  <c r="AU50" i="22746"/>
  <c r="AV50" i="22746" s="1"/>
  <c r="AU46" i="22746"/>
  <c r="AV46" i="22746" s="1"/>
  <c r="AU51" i="22746"/>
  <c r="AV51" i="22746" s="1"/>
  <c r="F59" i="22747"/>
  <c r="L51" i="22746"/>
  <c r="M51" i="22746" s="1"/>
  <c r="AN51" i="22746"/>
  <c r="AO51" i="22746" s="1"/>
  <c r="AA56" i="22746"/>
  <c r="D60" i="22745"/>
  <c r="E60" i="22745" s="1"/>
  <c r="CY47" i="22746"/>
  <c r="AN44" i="22746"/>
  <c r="AO44" i="22746" s="1"/>
  <c r="L50" i="22746"/>
  <c r="M50" i="22746" s="1"/>
  <c r="E55" i="22746"/>
  <c r="F55" i="22746" s="1"/>
  <c r="CY55" i="22746"/>
  <c r="CZ55" i="22746" s="1"/>
  <c r="AU55" i="22746"/>
  <c r="AV55" i="22746" s="1"/>
  <c r="Z44" i="22746"/>
  <c r="AA44" i="22746" s="1"/>
  <c r="S46" i="22746"/>
  <c r="T46" i="22746" s="1"/>
  <c r="E58" i="22747"/>
  <c r="F58" i="22747" s="1"/>
  <c r="BW50" i="22746"/>
  <c r="BX50" i="22746" s="1"/>
  <c r="CR44" i="22746"/>
  <c r="CS44" i="22746" s="1"/>
  <c r="Z55" i="22746"/>
  <c r="AA55" i="22746" s="1"/>
  <c r="E51" i="22747"/>
  <c r="CY54" i="22746"/>
  <c r="CZ54" i="22746" s="1"/>
  <c r="Z54" i="22746"/>
  <c r="AA54" i="22746" s="1"/>
  <c r="AU53" i="22746"/>
  <c r="CR54" i="22746"/>
  <c r="CS54" i="22746" s="1"/>
  <c r="CD48" i="22746"/>
  <c r="CK48" i="22746"/>
  <c r="Z48" i="22746"/>
  <c r="CR48" i="22746"/>
  <c r="AU54" i="22746"/>
  <c r="AV54" i="22746" s="1"/>
  <c r="BC56" i="22746"/>
  <c r="L45" i="22746"/>
  <c r="M45" i="22746" s="1"/>
  <c r="Z47" i="22746"/>
  <c r="BX56" i="22746"/>
  <c r="T56" i="22746"/>
  <c r="E49" i="22747"/>
  <c r="F49" i="22747" s="1"/>
  <c r="E48" i="22747"/>
  <c r="F48" i="22747" s="1"/>
  <c r="B164" i="22747" s="1"/>
  <c r="AN50" i="22746"/>
  <c r="AO50" i="22746" s="1"/>
  <c r="BW45" i="22746"/>
  <c r="BX45" i="22746" s="1"/>
  <c r="E53" i="22747"/>
  <c r="F53" i="22747" s="1"/>
  <c r="F56" i="22746"/>
  <c r="CY45" i="22746"/>
  <c r="CZ45" i="22746" s="1"/>
  <c r="D59" i="22745"/>
  <c r="S55" i="22746"/>
  <c r="T55" i="22746" s="1"/>
  <c r="E50" i="22747"/>
  <c r="AU47" i="22746"/>
  <c r="CY46" i="22746"/>
  <c r="CZ46" i="22746" s="1"/>
  <c r="BJ56" i="22746"/>
  <c r="CY51" i="22746"/>
  <c r="CZ51" i="22746" s="1"/>
  <c r="AH56" i="22746"/>
  <c r="CK47" i="22746"/>
  <c r="CL56" i="22746"/>
  <c r="E45" i="22746"/>
  <c r="F45" i="22746" s="1"/>
  <c r="D52" i="22745"/>
  <c r="E52" i="22745" s="1"/>
  <c r="CK44" i="22746"/>
  <c r="CL44" i="22746" s="1"/>
  <c r="BB50" i="22746"/>
  <c r="BC50" i="22746" s="1"/>
  <c r="BB55" i="22746"/>
  <c r="BC55" i="22746" s="1"/>
  <c r="BI44" i="22746"/>
  <c r="BJ44" i="22746" s="1"/>
  <c r="L55" i="22746"/>
  <c r="M55" i="22746" s="1"/>
  <c r="BP44" i="22746"/>
  <c r="BQ44" i="22746" s="1"/>
  <c r="AG55" i="22746"/>
  <c r="AH55" i="22746" s="1"/>
  <c r="AU44" i="22746"/>
  <c r="AV44" i="22746" s="1"/>
  <c r="BW55" i="22746"/>
  <c r="BX55" i="22746" s="1"/>
  <c r="E47" i="22747"/>
  <c r="F47" i="22747" s="1"/>
  <c r="CD55" i="22746"/>
  <c r="CE55" i="22746" s="1"/>
  <c r="AN48" i="22746"/>
  <c r="BI54" i="22746"/>
  <c r="BJ54" i="22746" s="1"/>
  <c r="BW54" i="22746"/>
  <c r="BX54" i="22746" s="1"/>
  <c r="E56" i="22747"/>
  <c r="B165" i="22747" s="1"/>
  <c r="BB53" i="22746"/>
  <c r="BB48" i="22746"/>
  <c r="AU48" i="22746"/>
  <c r="BI48" i="22746"/>
  <c r="E57" i="22747"/>
  <c r="F57" i="22747" s="1"/>
  <c r="AN46" i="22746"/>
  <c r="AO46" i="22746" s="1"/>
  <c r="BI46" i="22746"/>
  <c r="BJ46" i="22746" s="1"/>
  <c r="CE56" i="22746"/>
  <c r="AG46" i="22746"/>
  <c r="AH46" i="22746" s="1"/>
  <c r="CR45" i="22746"/>
  <c r="CS45" i="22746" s="1"/>
  <c r="BW47" i="22746"/>
  <c r="AG50" i="22746"/>
  <c r="AH50" i="22746" s="1"/>
  <c r="Z46" i="22746"/>
  <c r="AA46" i="22746" s="1"/>
  <c r="BB47" i="22746"/>
  <c r="CR46" i="22746"/>
  <c r="CS46" i="22746" s="1"/>
  <c r="BI50" i="22746"/>
  <c r="BJ50" i="22746" s="1"/>
  <c r="S45" i="22746"/>
  <c r="T45" i="22746" s="1"/>
  <c r="Z50" i="22746"/>
  <c r="AA50" i="22746" s="1"/>
  <c r="AN55" i="22746"/>
  <c r="AO55" i="22746" s="1"/>
  <c r="Z45" i="22746"/>
  <c r="AA45" i="22746" s="1"/>
  <c r="E61" i="22745"/>
  <c r="CS56" i="22746"/>
  <c r="BI45" i="22746"/>
  <c r="BJ45" i="22746" s="1"/>
  <c r="S47" i="22746"/>
  <c r="S50" i="22746"/>
  <c r="T50" i="22746" s="1"/>
  <c r="BP45" i="22746"/>
  <c r="BQ45" i="22746" s="1"/>
  <c r="D55" i="22745"/>
  <c r="E55" i="22745" s="1"/>
  <c r="CK51" i="22746"/>
  <c r="CL51" i="22746" s="1"/>
  <c r="E54" i="22747"/>
  <c r="F54" i="22747" s="1"/>
  <c r="D57" i="22745"/>
  <c r="E57" i="22745" s="1"/>
  <c r="S44" i="22746"/>
  <c r="T44" i="22746" s="1"/>
  <c r="BP55" i="22746"/>
  <c r="BQ55" i="22746" s="1"/>
  <c r="L44" i="22746"/>
  <c r="M44" i="22746" s="1"/>
  <c r="L46" i="22746"/>
  <c r="M46" i="22746" s="1"/>
  <c r="CY50" i="22746"/>
  <c r="CZ50" i="22746" s="1"/>
  <c r="BI55" i="22746"/>
  <c r="BJ55" i="22746" s="1"/>
  <c r="CY44" i="22746"/>
  <c r="CZ44" i="22746" s="1"/>
  <c r="D56" i="22745"/>
  <c r="E56" i="22745" s="1"/>
  <c r="CR50" i="22746"/>
  <c r="CS50" i="22746" s="1"/>
  <c r="D51" i="22745"/>
  <c r="E51" i="22745" s="1"/>
  <c r="S48" i="22746"/>
  <c r="E54" i="22746"/>
  <c r="F54" i="22746" s="1"/>
  <c r="AG53" i="22746"/>
  <c r="AN53" i="22746"/>
  <c r="BW53" i="22746"/>
  <c r="CD49" i="22746"/>
  <c r="BI49" i="22746"/>
  <c r="BW49" i="22746"/>
  <c r="CK49" i="22746"/>
  <c r="CY49" i="22746"/>
  <c r="Z49" i="22746"/>
  <c r="S49" i="22746"/>
  <c r="CR49" i="22746"/>
  <c r="BB49" i="22746"/>
  <c r="BA52" i="22746" s="1"/>
  <c r="BA53" i="22746" s="1"/>
  <c r="BP49" i="22746"/>
  <c r="E49" i="22746"/>
  <c r="AG49" i="22746"/>
  <c r="E52" i="22747"/>
  <c r="AN49" i="22746"/>
  <c r="AU49" i="22746"/>
  <c r="L49" i="22746"/>
  <c r="C137" i="4"/>
  <c r="C138" i="4"/>
  <c r="C133" i="4"/>
  <c r="C130" i="4"/>
  <c r="C132" i="4"/>
  <c r="C134" i="4"/>
  <c r="C139" i="4"/>
  <c r="C136" i="4"/>
  <c r="H127" i="22715"/>
  <c r="H129" i="22715" s="1"/>
  <c r="C131" i="4"/>
  <c r="E156" i="2"/>
  <c r="F79" i="3" s="1"/>
  <c r="I74" i="22750"/>
  <c r="AH77" i="22746"/>
  <c r="J130" i="22715"/>
  <c r="D82" i="22715"/>
  <c r="C82" i="22715" s="1"/>
  <c r="AO15" i="22746"/>
  <c r="D28" i="22748" s="1"/>
  <c r="C86" i="22752"/>
  <c r="B55" i="22744"/>
  <c r="AU9" i="22746"/>
  <c r="AV9" i="22746" s="1"/>
  <c r="AV12" i="22746" s="1"/>
  <c r="AU12" i="22746" s="1"/>
  <c r="F85" i="22752"/>
  <c r="I123" i="22715"/>
  <c r="J129" i="22715"/>
  <c r="C56" i="22744"/>
  <c r="BB10" i="22746"/>
  <c r="BC10" i="22746" s="1"/>
  <c r="BC53" i="22746" l="1"/>
  <c r="CX52" i="22746"/>
  <c r="CX53" i="22746" s="1"/>
  <c r="CZ53" i="22746" s="1"/>
  <c r="CC52" i="22746"/>
  <c r="CC53" i="22746" s="1"/>
  <c r="CE53" i="22746" s="1"/>
  <c r="C90" i="22749"/>
  <c r="B59" i="1"/>
  <c r="BW9" i="3"/>
  <c r="BX9" i="3" s="1"/>
  <c r="BC77" i="3"/>
  <c r="D30" i="22714"/>
  <c r="AV15" i="22746"/>
  <c r="AV77" i="22746" s="1"/>
  <c r="BO30" i="3"/>
  <c r="BQ30" i="3" s="1"/>
  <c r="BQ41" i="3" s="1"/>
  <c r="F89" i="22749"/>
  <c r="BJ15" i="3"/>
  <c r="BI12" i="3"/>
  <c r="H56" i="22747"/>
  <c r="C58" i="1"/>
  <c r="C59" i="1" s="1"/>
  <c r="BP10" i="3"/>
  <c r="BQ10" i="3" s="1"/>
  <c r="BQ12" i="3" s="1"/>
  <c r="BW10" i="3"/>
  <c r="BX10" i="3" s="1"/>
  <c r="K52" i="22746"/>
  <c r="K53" i="22746" s="1"/>
  <c r="M53" i="22746" s="1"/>
  <c r="CQ52" i="22746"/>
  <c r="CQ53" i="22746" s="1"/>
  <c r="CS53" i="22746" s="1"/>
  <c r="D52" i="22746"/>
  <c r="D53" i="22746" s="1"/>
  <c r="F53" i="22746" s="1"/>
  <c r="AM52" i="22746"/>
  <c r="AM53" i="22746" s="1"/>
  <c r="AO53" i="22746" s="1"/>
  <c r="BO52" i="22746"/>
  <c r="BO53" i="22746" s="1"/>
  <c r="BQ53" i="22746" s="1"/>
  <c r="BH52" i="22746"/>
  <c r="BH53" i="22746" s="1"/>
  <c r="BJ53" i="22746" s="1"/>
  <c r="AF52" i="22746"/>
  <c r="AF53" i="22746" s="1"/>
  <c r="AH53" i="22746" s="1"/>
  <c r="CJ52" i="22746"/>
  <c r="CJ53" i="22746" s="1"/>
  <c r="CL53" i="22746" s="1"/>
  <c r="AT52" i="22746"/>
  <c r="AT53" i="22746" s="1"/>
  <c r="AV53" i="22746" s="1"/>
  <c r="BV52" i="22746"/>
  <c r="BV53" i="22746" s="1"/>
  <c r="BX53" i="22746" s="1"/>
  <c r="AV49" i="22746"/>
  <c r="AV47" i="22746"/>
  <c r="M47" i="22746"/>
  <c r="M49" i="22746"/>
  <c r="BQ49" i="22746"/>
  <c r="BQ47" i="22746"/>
  <c r="D101" i="22745"/>
  <c r="E101" i="22745" s="1"/>
  <c r="E54" i="22745"/>
  <c r="CS49" i="22746"/>
  <c r="CS47" i="22746"/>
  <c r="H264" i="22715"/>
  <c r="C198" i="4"/>
  <c r="C197" i="4"/>
  <c r="H268" i="22715" s="1"/>
  <c r="C22" i="22714"/>
  <c r="E22" i="22714" s="1"/>
  <c r="E73" i="3"/>
  <c r="F73" i="3" s="1"/>
  <c r="F74" i="3" s="1"/>
  <c r="F75" i="3" s="1"/>
  <c r="F76" i="3" s="1"/>
  <c r="J22" i="22714"/>
  <c r="R52" i="22746"/>
  <c r="R53" i="22746" s="1"/>
  <c r="T53" i="22746" s="1"/>
  <c r="T49" i="22746"/>
  <c r="T47" i="22746"/>
  <c r="F52" i="22747"/>
  <c r="F50" i="22747"/>
  <c r="AA49" i="22746"/>
  <c r="AA47" i="22746"/>
  <c r="B186" i="22747"/>
  <c r="D55" i="22747"/>
  <c r="D56" i="22747" s="1"/>
  <c r="CZ47" i="22746"/>
  <c r="CZ49" i="22746"/>
  <c r="AH49" i="22746"/>
  <c r="AH47" i="22746"/>
  <c r="C196" i="4"/>
  <c r="H267" i="22715" s="1"/>
  <c r="H126" i="22715"/>
  <c r="H131" i="22715"/>
  <c r="H130" i="22715"/>
  <c r="I127" i="22715"/>
  <c r="BX49" i="22746"/>
  <c r="BX47" i="22746"/>
  <c r="B163" i="22747"/>
  <c r="B166" i="22747" s="1"/>
  <c r="Y52" i="22746"/>
  <c r="Y53" i="22746" s="1"/>
  <c r="AA53" i="22746" s="1"/>
  <c r="AO47" i="22746"/>
  <c r="AO49" i="22746"/>
  <c r="CE47" i="22746"/>
  <c r="CE49" i="22746"/>
  <c r="BC49" i="22746"/>
  <c r="BC47" i="22746"/>
  <c r="CL47" i="22746"/>
  <c r="CL49" i="22746"/>
  <c r="D102" i="22745"/>
  <c r="E102" i="22745" s="1"/>
  <c r="E59" i="22745"/>
  <c r="BJ49" i="22746"/>
  <c r="BJ47" i="22746"/>
  <c r="F49" i="22746"/>
  <c r="F47" i="22746"/>
  <c r="I107" i="22750"/>
  <c r="I113" i="22750"/>
  <c r="I111" i="22750"/>
  <c r="I108" i="22750"/>
  <c r="I135" i="22750"/>
  <c r="I110" i="22750"/>
  <c r="I112" i="22750"/>
  <c r="I123" i="22750"/>
  <c r="I131" i="22750"/>
  <c r="I105" i="22750"/>
  <c r="I127" i="22750"/>
  <c r="I115" i="22750"/>
  <c r="I118" i="22750"/>
  <c r="I100" i="22750"/>
  <c r="I124" i="22750"/>
  <c r="I116" i="22750"/>
  <c r="I102" i="22750"/>
  <c r="I109" i="22750"/>
  <c r="I103" i="22750"/>
  <c r="I104" i="22750"/>
  <c r="I122" i="22750"/>
  <c r="I128" i="22750"/>
  <c r="I125" i="22750"/>
  <c r="I121" i="22750"/>
  <c r="I134" i="22750"/>
  <c r="I106" i="22750"/>
  <c r="I130" i="22750"/>
  <c r="I129" i="22750"/>
  <c r="I126" i="22750"/>
  <c r="I114" i="22750"/>
  <c r="I133" i="22750"/>
  <c r="I96" i="22750"/>
  <c r="I98" i="22750"/>
  <c r="I97" i="22750"/>
  <c r="I99" i="22750"/>
  <c r="I95" i="22750"/>
  <c r="I101" i="22750"/>
  <c r="I117" i="22750"/>
  <c r="AO77" i="22746"/>
  <c r="F86" i="22752"/>
  <c r="BB9" i="22746"/>
  <c r="BC9" i="22746" s="1"/>
  <c r="BC12" i="22746" s="1"/>
  <c r="C87" i="22752"/>
  <c r="B56" i="22744"/>
  <c r="D29" i="22748"/>
  <c r="C57" i="22744"/>
  <c r="BI10" i="22746"/>
  <c r="BJ10" i="22746" s="1"/>
  <c r="BX12" i="3" l="1"/>
  <c r="BQ15" i="3"/>
  <c r="BP12" i="3"/>
  <c r="BJ77" i="3"/>
  <c r="D31" i="22714"/>
  <c r="C91" i="22749"/>
  <c r="B60" i="1"/>
  <c r="CD9" i="3"/>
  <c r="CE9" i="3" s="1"/>
  <c r="CD10" i="3"/>
  <c r="CE10" i="3" s="1"/>
  <c r="C60" i="1"/>
  <c r="F90" i="22749"/>
  <c r="BV30" i="3"/>
  <c r="BX30" i="3" s="1"/>
  <c r="BX41" i="3" s="1"/>
  <c r="BX52" i="22746"/>
  <c r="F55" i="22747"/>
  <c r="AO52" i="22746"/>
  <c r="AO57" i="22746" s="1"/>
  <c r="CZ52" i="22746"/>
  <c r="CZ57" i="22746" s="1"/>
  <c r="M52" i="22746"/>
  <c r="M57" i="22746" s="1"/>
  <c r="CL52" i="22746"/>
  <c r="CL57" i="22746" s="1"/>
  <c r="F52" i="22746"/>
  <c r="F57" i="22746" s="1"/>
  <c r="BC52" i="22746"/>
  <c r="BC57" i="22746" s="1"/>
  <c r="CE52" i="22746"/>
  <c r="CE57" i="22746" s="1"/>
  <c r="AA52" i="22746"/>
  <c r="AA57" i="22746" s="1"/>
  <c r="T52" i="22746"/>
  <c r="T57" i="22746" s="1"/>
  <c r="B185" i="22747"/>
  <c r="B196" i="22747" s="1"/>
  <c r="BX57" i="22746"/>
  <c r="BJ52" i="22746"/>
  <c r="BJ57" i="22746" s="1"/>
  <c r="H132" i="22715"/>
  <c r="I126" i="22715"/>
  <c r="AH52" i="22746"/>
  <c r="AH57" i="22746" s="1"/>
  <c r="CS52" i="22746"/>
  <c r="CS57" i="22746" s="1"/>
  <c r="BQ52" i="22746"/>
  <c r="BQ57" i="22746" s="1"/>
  <c r="AV52" i="22746"/>
  <c r="AV57" i="22746" s="1"/>
  <c r="B176" i="22747"/>
  <c r="B171" i="22747"/>
  <c r="K56" i="22747"/>
  <c r="K59" i="22747" s="1"/>
  <c r="F107" i="22747" s="1"/>
  <c r="J50" i="22715" s="1"/>
  <c r="I50" i="22715" s="1"/>
  <c r="F56" i="22747"/>
  <c r="E62" i="22745"/>
  <c r="G22" i="22714"/>
  <c r="F22" i="22714"/>
  <c r="E103" i="22745"/>
  <c r="BB12" i="22746"/>
  <c r="BC15" i="22746"/>
  <c r="BC77" i="22746" s="1"/>
  <c r="B57" i="22744"/>
  <c r="BI9" i="22746"/>
  <c r="BJ9" i="22746" s="1"/>
  <c r="BJ12" i="22746" s="1"/>
  <c r="C88" i="22752"/>
  <c r="F87" i="22752"/>
  <c r="C58" i="22744"/>
  <c r="C59" i="22744" s="1"/>
  <c r="BP10" i="22746"/>
  <c r="BQ10" i="22746" s="1"/>
  <c r="BW10" i="22746"/>
  <c r="BX10" i="22746" s="1"/>
  <c r="CK10" i="3" l="1"/>
  <c r="CL10" i="3" s="1"/>
  <c r="C61" i="1"/>
  <c r="CK9" i="3"/>
  <c r="CL9" i="3" s="1"/>
  <c r="C92" i="22749"/>
  <c r="B61" i="1"/>
  <c r="CE12" i="3"/>
  <c r="F91" i="22749"/>
  <c r="CC30" i="3"/>
  <c r="CE30" i="3" s="1"/>
  <c r="CE41" i="3" s="1"/>
  <c r="D32" i="22714"/>
  <c r="BQ77" i="3"/>
  <c r="BW12" i="3"/>
  <c r="BX15" i="3"/>
  <c r="F60" i="22747"/>
  <c r="B145" i="22747" s="1"/>
  <c r="J147" i="22715" s="1"/>
  <c r="I147" i="22715" s="1"/>
  <c r="B192" i="22747"/>
  <c r="J239" i="22715" s="1"/>
  <c r="I239" i="22715" s="1"/>
  <c r="E106" i="22745"/>
  <c r="B198" i="22747"/>
  <c r="C196" i="22747" s="1"/>
  <c r="J267" i="22715" s="1"/>
  <c r="J262" i="22715"/>
  <c r="I262" i="22715" s="1"/>
  <c r="J218" i="22715"/>
  <c r="I218" i="22715" s="1"/>
  <c r="B178" i="22747"/>
  <c r="E81" i="22745"/>
  <c r="D151" i="22745"/>
  <c r="D30" i="22748"/>
  <c r="BJ15" i="22746"/>
  <c r="D31" i="22748" s="1"/>
  <c r="BI12" i="22746"/>
  <c r="C89" i="22752"/>
  <c r="B58" i="22744"/>
  <c r="BP9" i="22746"/>
  <c r="BQ9" i="22746" s="1"/>
  <c r="BQ12" i="22746" s="1"/>
  <c r="BQ15" i="22746" s="1"/>
  <c r="F88" i="22752"/>
  <c r="C60" i="22744"/>
  <c r="CD10" i="22746"/>
  <c r="CE10" i="22746" s="1"/>
  <c r="CJ30" i="3" l="1"/>
  <c r="CL30" i="3" s="1"/>
  <c r="CL41" i="3" s="1"/>
  <c r="F92" i="22749"/>
  <c r="BX77" i="3"/>
  <c r="D33" i="22714"/>
  <c r="CR10" i="3"/>
  <c r="CS10" i="3" s="1"/>
  <c r="C62" i="1"/>
  <c r="CE15" i="3"/>
  <c r="CD12" i="3"/>
  <c r="CR9" i="3"/>
  <c r="CS9" i="3" s="1"/>
  <c r="B62" i="1"/>
  <c r="C93" i="22749"/>
  <c r="CL12" i="3"/>
  <c r="E151" i="22745"/>
  <c r="D154" i="22745"/>
  <c r="E154" i="22745" s="1"/>
  <c r="E107" i="22745"/>
  <c r="F106" i="22745" s="1"/>
  <c r="E83" i="22745"/>
  <c r="F81" i="22745" s="1"/>
  <c r="C176" i="22747"/>
  <c r="J223" i="22715" s="1"/>
  <c r="C175" i="22747"/>
  <c r="J222" i="22715" s="1"/>
  <c r="J220" i="22715"/>
  <c r="I220" i="22715" s="1"/>
  <c r="J199" i="22715"/>
  <c r="I199" i="22715" s="1"/>
  <c r="C177" i="22747"/>
  <c r="J224" i="22715" s="1"/>
  <c r="C178" i="22747"/>
  <c r="C197" i="22747"/>
  <c r="J268" i="22715" s="1"/>
  <c r="J264" i="22715"/>
  <c r="I264" i="22715" s="1"/>
  <c r="C198" i="22747"/>
  <c r="BP12" i="22746"/>
  <c r="C90" i="22752"/>
  <c r="B59" i="22744"/>
  <c r="BW9" i="22746"/>
  <c r="BX9" i="22746" s="1"/>
  <c r="BX12" i="22746" s="1"/>
  <c r="F89" i="22752"/>
  <c r="BJ77" i="22746"/>
  <c r="D32" i="22748"/>
  <c r="BQ77" i="22746"/>
  <c r="C61" i="22744"/>
  <c r="CK10" i="22746"/>
  <c r="CL10" i="22746" s="1"/>
  <c r="C65" i="1" l="1"/>
  <c r="E10" i="4" s="1"/>
  <c r="F10" i="4" s="1"/>
  <c r="B53" i="22715" s="1"/>
  <c r="CY10" i="3"/>
  <c r="CZ10" i="3" s="1"/>
  <c r="C66" i="1"/>
  <c r="CS12" i="3"/>
  <c r="CY9" i="3"/>
  <c r="CZ9" i="3" s="1"/>
  <c r="C94" i="22749"/>
  <c r="B66" i="1"/>
  <c r="B65" i="1"/>
  <c r="E9" i="4" s="1"/>
  <c r="F9" i="4" s="1"/>
  <c r="CL15" i="3"/>
  <c r="CK12" i="3"/>
  <c r="F93" i="22749"/>
  <c r="CQ30" i="3"/>
  <c r="CS30" i="3" s="1"/>
  <c r="CS41" i="3" s="1"/>
  <c r="CE77" i="3"/>
  <c r="D34" i="22714"/>
  <c r="G41" i="3"/>
  <c r="E23" i="22714"/>
  <c r="G68" i="3"/>
  <c r="G35" i="3"/>
  <c r="G52" i="3"/>
  <c r="G18" i="3"/>
  <c r="F78" i="3"/>
  <c r="G37" i="3"/>
  <c r="G72" i="3"/>
  <c r="G19" i="3"/>
  <c r="G54" i="3"/>
  <c r="G47" i="3"/>
  <c r="G65" i="3"/>
  <c r="G44" i="3"/>
  <c r="G38" i="3"/>
  <c r="G51" i="3"/>
  <c r="G56" i="3"/>
  <c r="G53" i="3"/>
  <c r="G26" i="3"/>
  <c r="G55" i="3"/>
  <c r="G20" i="3"/>
  <c r="G67" i="3"/>
  <c r="G24" i="3"/>
  <c r="G50" i="3"/>
  <c r="G40" i="3"/>
  <c r="G45" i="3"/>
  <c r="G33" i="3"/>
  <c r="G62" i="3"/>
  <c r="G70" i="3"/>
  <c r="G59" i="3"/>
  <c r="G25" i="3"/>
  <c r="G64" i="3"/>
  <c r="G28" i="3"/>
  <c r="G63" i="3"/>
  <c r="G29" i="3"/>
  <c r="G66" i="3"/>
  <c r="G36" i="3"/>
  <c r="G34" i="3"/>
  <c r="G61" i="3"/>
  <c r="G76" i="3"/>
  <c r="G49" i="3"/>
  <c r="G46" i="3"/>
  <c r="G42" i="3"/>
  <c r="G57" i="3"/>
  <c r="G60" i="3"/>
  <c r="G69" i="3"/>
  <c r="F80" i="3"/>
  <c r="G73" i="3"/>
  <c r="G74" i="3"/>
  <c r="F93" i="22745"/>
  <c r="F105" i="22745"/>
  <c r="F91" i="22745"/>
  <c r="F88" i="22745"/>
  <c r="F96" i="22745"/>
  <c r="F99" i="22745"/>
  <c r="F98" i="22745"/>
  <c r="F90" i="22745"/>
  <c r="E111" i="22745"/>
  <c r="F92" i="22745"/>
  <c r="F89" i="22745"/>
  <c r="F95" i="22745"/>
  <c r="F107" i="22745"/>
  <c r="E109" i="22745"/>
  <c r="F94" i="22745"/>
  <c r="F97" i="22745"/>
  <c r="F102" i="22745"/>
  <c r="F101" i="22745"/>
  <c r="F103" i="22745"/>
  <c r="F21" i="22745"/>
  <c r="F30" i="22745"/>
  <c r="F16" i="22745"/>
  <c r="F25" i="22745"/>
  <c r="F36" i="22745"/>
  <c r="F10" i="22745"/>
  <c r="F12" i="22745"/>
  <c r="F11" i="22745"/>
  <c r="F47" i="22745"/>
  <c r="F67" i="22745"/>
  <c r="F75" i="22745"/>
  <c r="F70" i="22745"/>
  <c r="F80" i="22745"/>
  <c r="F74" i="22745"/>
  <c r="F71" i="22745"/>
  <c r="F33" i="22745"/>
  <c r="F19" i="22745"/>
  <c r="F38" i="22745"/>
  <c r="F27" i="22745"/>
  <c r="F31" i="22745"/>
  <c r="F34" i="22745"/>
  <c r="F17" i="22745"/>
  <c r="F23" i="22745"/>
  <c r="F78" i="22745"/>
  <c r="F77" i="22745"/>
  <c r="F66" i="22745"/>
  <c r="F76" i="22745"/>
  <c r="F24" i="22745"/>
  <c r="F69" i="22745"/>
  <c r="F20" i="22745"/>
  <c r="F39" i="22745"/>
  <c r="F8" i="22745"/>
  <c r="F14" i="22745"/>
  <c r="F13" i="22745"/>
  <c r="F37" i="22745"/>
  <c r="F72" i="22745"/>
  <c r="F83" i="22745"/>
  <c r="F26" i="22745"/>
  <c r="F29" i="22745"/>
  <c r="F18" i="22745"/>
  <c r="F22" i="22745"/>
  <c r="F32" i="22745"/>
  <c r="F73" i="22745"/>
  <c r="F68" i="22745"/>
  <c r="F79" i="22745"/>
  <c r="F61" i="22745"/>
  <c r="F53" i="22745"/>
  <c r="F52" i="22745"/>
  <c r="F58" i="22745"/>
  <c r="F60" i="22745"/>
  <c r="F56" i="22745"/>
  <c r="F51" i="22745"/>
  <c r="F57" i="22745"/>
  <c r="F55" i="22745"/>
  <c r="F54" i="22745"/>
  <c r="F59" i="22745"/>
  <c r="F62" i="22745"/>
  <c r="G75" i="3"/>
  <c r="BX15" i="22746"/>
  <c r="BW12" i="22746"/>
  <c r="B60" i="22744"/>
  <c r="C91" i="22752"/>
  <c r="CD9" i="22746"/>
  <c r="CE9" i="22746" s="1"/>
  <c r="CE12" i="22746" s="1"/>
  <c r="CD12" i="22746" s="1"/>
  <c r="F90" i="22752"/>
  <c r="C62" i="22744"/>
  <c r="CR10" i="22746"/>
  <c r="CS10" i="22746" s="1"/>
  <c r="CZ12" i="3" l="1"/>
  <c r="CZ15" i="3" s="1"/>
  <c r="B52" i="22715"/>
  <c r="F12" i="4"/>
  <c r="D88" i="4" s="1"/>
  <c r="C18" i="22714"/>
  <c r="B7" i="22715"/>
  <c r="C7" i="22715" s="1"/>
  <c r="D18" i="22714"/>
  <c r="B8" i="22715"/>
  <c r="C8" i="22715" s="1"/>
  <c r="F94" i="22749"/>
  <c r="CX30" i="3"/>
  <c r="CZ30" i="3" s="1"/>
  <c r="CZ41" i="3" s="1"/>
  <c r="C96" i="22749"/>
  <c r="C95" i="22749"/>
  <c r="CY12" i="3"/>
  <c r="CR12" i="3"/>
  <c r="CS15" i="3"/>
  <c r="CL77" i="3"/>
  <c r="D35" i="22714"/>
  <c r="C23" i="22714"/>
  <c r="M79" i="3"/>
  <c r="L73" i="3" s="1"/>
  <c r="M73" i="3" s="1"/>
  <c r="F81" i="3"/>
  <c r="J23" i="22714" s="1"/>
  <c r="D153" i="22745"/>
  <c r="E153" i="22745" s="1"/>
  <c r="E149" i="22745"/>
  <c r="C61" i="22715"/>
  <c r="D152" i="22745"/>
  <c r="E152" i="22745" s="1"/>
  <c r="G23" i="22714"/>
  <c r="F23" i="22714"/>
  <c r="CE15" i="22746"/>
  <c r="CE77" i="22746" s="1"/>
  <c r="F91" i="22752"/>
  <c r="B61" i="22744"/>
  <c r="C92" i="22752"/>
  <c r="CK9" i="22746"/>
  <c r="CL9" i="22746" s="1"/>
  <c r="CL12" i="22746" s="1"/>
  <c r="BX77" i="22746"/>
  <c r="D33" i="22748"/>
  <c r="CY10" i="22746"/>
  <c r="CZ10" i="22746" s="1"/>
  <c r="C66" i="22744"/>
  <c r="D18" i="22748" s="1"/>
  <c r="C65" i="22744"/>
  <c r="E10" i="22747" s="1"/>
  <c r="F10" i="22747" s="1"/>
  <c r="CS77" i="3" l="1"/>
  <c r="D36" i="22714"/>
  <c r="F95" i="22749"/>
  <c r="D28" i="4"/>
  <c r="F28" i="4" s="1"/>
  <c r="B39" i="22715"/>
  <c r="C39" i="22715" s="1"/>
  <c r="CJ30" i="22746" s="1"/>
  <c r="CL30" i="22746" s="1"/>
  <c r="CL41" i="22746" s="1"/>
  <c r="E12" i="4"/>
  <c r="F15" i="4"/>
  <c r="D89" i="4"/>
  <c r="D37" i="22714"/>
  <c r="CZ77" i="3"/>
  <c r="E156" i="22745"/>
  <c r="F79" i="22746" s="1"/>
  <c r="M74" i="3"/>
  <c r="D34" i="22748"/>
  <c r="CK12" i="22746"/>
  <c r="CL15" i="22746"/>
  <c r="C93" i="22752"/>
  <c r="CR9" i="22746"/>
  <c r="CS9" i="22746" s="1"/>
  <c r="CS12" i="22746" s="1"/>
  <c r="CS15" i="22746" s="1"/>
  <c r="B62" i="22744"/>
  <c r="B65" i="22744" s="1"/>
  <c r="E9" i="22747" s="1"/>
  <c r="F9" i="22747" s="1"/>
  <c r="F92" i="22752"/>
  <c r="D53" i="22715"/>
  <c r="C53" i="22715" s="1"/>
  <c r="D52" i="22715" l="1"/>
  <c r="C52" i="22715" s="1"/>
  <c r="F12" i="22747"/>
  <c r="F109" i="4"/>
  <c r="H81" i="22715" s="1"/>
  <c r="G107" i="4"/>
  <c r="B50" i="22715"/>
  <c r="BH30" i="22746"/>
  <c r="BJ30" i="22746" s="1"/>
  <c r="BJ41" i="22746" s="1"/>
  <c r="D30" i="22746"/>
  <c r="F30" i="22746" s="1"/>
  <c r="F41" i="22746" s="1"/>
  <c r="AF30" i="22746"/>
  <c r="AH30" i="22746" s="1"/>
  <c r="AH41" i="22746" s="1"/>
  <c r="BO30" i="22746"/>
  <c r="BQ30" i="22746" s="1"/>
  <c r="BQ41" i="22746" s="1"/>
  <c r="K30" i="22746"/>
  <c r="M30" i="22746" s="1"/>
  <c r="M41" i="22746" s="1"/>
  <c r="AM30" i="22746"/>
  <c r="AO30" i="22746" s="1"/>
  <c r="AO41" i="22746" s="1"/>
  <c r="Y30" i="22746"/>
  <c r="AA30" i="22746" s="1"/>
  <c r="AA41" i="22746" s="1"/>
  <c r="R30" i="22746"/>
  <c r="T30" i="22746" s="1"/>
  <c r="T41" i="22746" s="1"/>
  <c r="AT30" i="22746"/>
  <c r="AV30" i="22746" s="1"/>
  <c r="AV41" i="22746" s="1"/>
  <c r="BA30" i="22746"/>
  <c r="BC30" i="22746" s="1"/>
  <c r="BC41" i="22746" s="1"/>
  <c r="BV30" i="22746"/>
  <c r="BX30" i="22746" s="1"/>
  <c r="BX41" i="22746" s="1"/>
  <c r="CC30" i="22746"/>
  <c r="CE30" i="22746" s="1"/>
  <c r="CE41" i="22746" s="1"/>
  <c r="M75" i="3"/>
  <c r="E73" i="22746"/>
  <c r="F73" i="22746" s="1"/>
  <c r="C22" i="22748"/>
  <c r="E22" i="22748" s="1"/>
  <c r="J22" i="22748"/>
  <c r="CR12" i="22746"/>
  <c r="CL77" i="22746"/>
  <c r="D35" i="22748"/>
  <c r="F93" i="22752"/>
  <c r="CQ30" i="22746"/>
  <c r="CS30" i="22746" s="1"/>
  <c r="CS41" i="22746" s="1"/>
  <c r="CY9" i="22746"/>
  <c r="CZ9" i="22746" s="1"/>
  <c r="CZ12" i="22746" s="1"/>
  <c r="CZ15" i="22746" s="1"/>
  <c r="C94" i="22752"/>
  <c r="B66" i="22744"/>
  <c r="C18" i="22748" s="1"/>
  <c r="F15" i="22747"/>
  <c r="D36" i="22748"/>
  <c r="CS77" i="22746"/>
  <c r="D89" i="22747" l="1"/>
  <c r="E12" i="22747"/>
  <c r="G30" i="22746"/>
  <c r="F22" i="22748"/>
  <c r="G22" i="22748"/>
  <c r="F74" i="22746"/>
  <c r="F75" i="22746" s="1"/>
  <c r="M76" i="3"/>
  <c r="N75" i="3" s="1"/>
  <c r="CY12" i="22746"/>
  <c r="CX30" i="22746"/>
  <c r="CZ30" i="22746" s="1"/>
  <c r="CZ41" i="22746" s="1"/>
  <c r="C96" i="22752"/>
  <c r="F94" i="22752"/>
  <c r="C95" i="22752"/>
  <c r="CZ77" i="22746"/>
  <c r="D37" i="22748"/>
  <c r="F109" i="22747"/>
  <c r="J81" i="22715" s="1"/>
  <c r="I81" i="22715" s="1"/>
  <c r="D50" i="22715"/>
  <c r="C50" i="22715" s="1"/>
  <c r="G107" i="22747"/>
  <c r="F76" i="22746" l="1"/>
  <c r="G74" i="22746" s="1"/>
  <c r="N20" i="3"/>
  <c r="N37" i="3"/>
  <c r="N33" i="3"/>
  <c r="N44" i="3"/>
  <c r="N72" i="3"/>
  <c r="N60" i="3"/>
  <c r="N57" i="3"/>
  <c r="N50" i="3"/>
  <c r="N51" i="3"/>
  <c r="M80" i="3"/>
  <c r="N41" i="3"/>
  <c r="N76" i="3"/>
  <c r="N34" i="3"/>
  <c r="N18" i="3"/>
  <c r="N35" i="3"/>
  <c r="N25" i="3"/>
  <c r="N68" i="3"/>
  <c r="N69" i="3"/>
  <c r="N52" i="3"/>
  <c r="N49" i="3"/>
  <c r="E24" i="22714"/>
  <c r="N47" i="3"/>
  <c r="N42" i="3"/>
  <c r="N28" i="3"/>
  <c r="N67" i="3"/>
  <c r="N19" i="3"/>
  <c r="N26" i="3"/>
  <c r="N53" i="3"/>
  <c r="N56" i="3"/>
  <c r="N46" i="3"/>
  <c r="N38" i="3"/>
  <c r="N36" i="3"/>
  <c r="N24" i="3"/>
  <c r="N29" i="3"/>
  <c r="N61" i="3"/>
  <c r="N70" i="3"/>
  <c r="N39" i="3"/>
  <c r="N40" i="3"/>
  <c r="M78" i="3"/>
  <c r="N62" i="3"/>
  <c r="N59" i="3"/>
  <c r="N45" i="3"/>
  <c r="N63" i="3"/>
  <c r="N73" i="3"/>
  <c r="N74" i="3"/>
  <c r="D28" i="22747"/>
  <c r="F28" i="22747" s="1"/>
  <c r="F95" i="22752"/>
  <c r="F24" i="22714" l="1"/>
  <c r="G24" i="22714"/>
  <c r="C24" i="22714"/>
  <c r="T79" i="3"/>
  <c r="S73" i="3" s="1"/>
  <c r="T73" i="3" s="1"/>
  <c r="M81" i="3"/>
  <c r="J24" i="22714" s="1"/>
  <c r="G75" i="22746"/>
  <c r="G54" i="22746"/>
  <c r="G51" i="22746"/>
  <c r="G72" i="22746"/>
  <c r="G40" i="22746"/>
  <c r="G56" i="22746"/>
  <c r="G24" i="22746"/>
  <c r="G33" i="22746"/>
  <c r="G60" i="22746"/>
  <c r="G66" i="22746"/>
  <c r="G47" i="22746"/>
  <c r="F78" i="22746"/>
  <c r="E23" i="22748"/>
  <c r="G34" i="22746"/>
  <c r="G61" i="22746"/>
  <c r="G37" i="22746"/>
  <c r="G65" i="22746"/>
  <c r="G76" i="22746"/>
  <c r="G18" i="22746"/>
  <c r="G55" i="22746"/>
  <c r="G49" i="22746"/>
  <c r="G36" i="22746"/>
  <c r="G53" i="22746"/>
  <c r="G70" i="22746"/>
  <c r="G41" i="22746"/>
  <c r="G42" i="22746"/>
  <c r="G19" i="22746"/>
  <c r="G64" i="22746"/>
  <c r="G50" i="22746"/>
  <c r="G20" i="22746"/>
  <c r="G63" i="22746"/>
  <c r="G69" i="22746"/>
  <c r="G45" i="22746"/>
  <c r="G68" i="22746"/>
  <c r="G38" i="22746"/>
  <c r="G57" i="22746"/>
  <c r="G59" i="22746"/>
  <c r="G25" i="22746"/>
  <c r="G46" i="22746"/>
  <c r="G27" i="22746"/>
  <c r="G44" i="22746"/>
  <c r="G62" i="22746"/>
  <c r="G35" i="22746"/>
  <c r="G67" i="22746"/>
  <c r="G52" i="22746"/>
  <c r="F80" i="22746"/>
  <c r="G73" i="22746"/>
  <c r="M79" i="22746" l="1"/>
  <c r="L73" i="22746" s="1"/>
  <c r="M73" i="22746" s="1"/>
  <c r="C23" i="22748"/>
  <c r="F81" i="22746"/>
  <c r="J23" i="22748" s="1"/>
  <c r="T74" i="3"/>
  <c r="G23" i="22748"/>
  <c r="F23" i="22748"/>
  <c r="T75" i="3" l="1"/>
  <c r="T76" i="3" s="1"/>
  <c r="U74" i="3" s="1"/>
  <c r="M74" i="22746"/>
  <c r="M75" i="22746" l="1"/>
  <c r="M76" i="22746" s="1"/>
  <c r="N74" i="22746" s="1"/>
  <c r="U75" i="3"/>
  <c r="U41" i="3"/>
  <c r="U20" i="3"/>
  <c r="U57" i="3"/>
  <c r="U51" i="3"/>
  <c r="U46" i="3"/>
  <c r="U26" i="3"/>
  <c r="U18" i="3"/>
  <c r="T78" i="3"/>
  <c r="U53" i="3"/>
  <c r="U63" i="3"/>
  <c r="U33" i="3"/>
  <c r="U25" i="3"/>
  <c r="E25" i="22714"/>
  <c r="U24" i="3"/>
  <c r="U47" i="3"/>
  <c r="U38" i="3"/>
  <c r="U45" i="3"/>
  <c r="U23" i="3"/>
  <c r="U56" i="3"/>
  <c r="U67" i="3"/>
  <c r="U44" i="3"/>
  <c r="U70" i="3"/>
  <c r="U76" i="3"/>
  <c r="U68" i="3"/>
  <c r="U60" i="3"/>
  <c r="T80" i="3"/>
  <c r="U35" i="3"/>
  <c r="U36" i="3"/>
  <c r="U42" i="3"/>
  <c r="U19" i="3"/>
  <c r="U50" i="3"/>
  <c r="U61" i="3"/>
  <c r="U62" i="3"/>
  <c r="U28" i="3"/>
  <c r="U52" i="3"/>
  <c r="U37" i="3"/>
  <c r="U27" i="3"/>
  <c r="U59" i="3"/>
  <c r="U49" i="3"/>
  <c r="U39" i="3"/>
  <c r="U40" i="3"/>
  <c r="U69" i="3"/>
  <c r="U72" i="3"/>
  <c r="U29" i="3"/>
  <c r="U34" i="3"/>
  <c r="U73" i="3"/>
  <c r="C25" i="22714" l="1"/>
  <c r="AA79" i="3"/>
  <c r="Z73" i="3" s="1"/>
  <c r="AA73" i="3" s="1"/>
  <c r="T81" i="3"/>
  <c r="F25" i="22714"/>
  <c r="G25" i="22714"/>
  <c r="N75" i="22746"/>
  <c r="N33" i="22746"/>
  <c r="N67" i="22746"/>
  <c r="N24" i="22746"/>
  <c r="N39" i="22746"/>
  <c r="N44" i="22746"/>
  <c r="N37" i="22746"/>
  <c r="N72" i="22746"/>
  <c r="N49" i="22746"/>
  <c r="N46" i="22746"/>
  <c r="N70" i="22746"/>
  <c r="E24" i="22748"/>
  <c r="N36" i="22746"/>
  <c r="N19" i="22746"/>
  <c r="N50" i="22746"/>
  <c r="N76" i="22746"/>
  <c r="N34" i="22746"/>
  <c r="N35" i="22746"/>
  <c r="N68" i="22746"/>
  <c r="M80" i="22746"/>
  <c r="N60" i="22746"/>
  <c r="N69" i="22746"/>
  <c r="N51" i="22746"/>
  <c r="M78" i="22746"/>
  <c r="N38" i="22746"/>
  <c r="N52" i="22746"/>
  <c r="N53" i="22746"/>
  <c r="N40" i="22746"/>
  <c r="N42" i="22746"/>
  <c r="N56" i="22746"/>
  <c r="N47" i="22746"/>
  <c r="N62" i="22746"/>
  <c r="N27" i="22746"/>
  <c r="N20" i="22746"/>
  <c r="N61" i="22746"/>
  <c r="N63" i="22746"/>
  <c r="N45" i="22746"/>
  <c r="N29" i="22746"/>
  <c r="N25" i="22746"/>
  <c r="N57" i="22746"/>
  <c r="N41" i="22746"/>
  <c r="N59" i="22746"/>
  <c r="N18" i="22746"/>
  <c r="N73" i="22746"/>
  <c r="M81" i="22746" l="1"/>
  <c r="J24" i="22748" s="1"/>
  <c r="T79" i="22746"/>
  <c r="S73" i="22746" s="1"/>
  <c r="T73" i="22746" s="1"/>
  <c r="C24" i="22748"/>
  <c r="AA81" i="3"/>
  <c r="C37" i="4"/>
  <c r="J25" i="22714"/>
  <c r="F24" i="22748"/>
  <c r="G24" i="22748"/>
  <c r="AA74" i="3"/>
  <c r="AH81" i="3" l="1"/>
  <c r="J26" i="22714"/>
  <c r="T74" i="22746"/>
  <c r="AA75" i="3"/>
  <c r="AA76" i="3" s="1"/>
  <c r="AB74" i="3" s="1"/>
  <c r="B62" i="22715"/>
  <c r="F37" i="4"/>
  <c r="E79" i="4"/>
  <c r="F79" i="4" s="1"/>
  <c r="F43" i="4" l="1"/>
  <c r="B144" i="4"/>
  <c r="B63" i="22715"/>
  <c r="T75" i="22746"/>
  <c r="T76" i="22746" s="1"/>
  <c r="U74" i="22746" s="1"/>
  <c r="B126" i="4"/>
  <c r="F80" i="4"/>
  <c r="AB75" i="3"/>
  <c r="AB28" i="3"/>
  <c r="AB44" i="3"/>
  <c r="E26" i="22714"/>
  <c r="AB50" i="3"/>
  <c r="AB61" i="3"/>
  <c r="AB49" i="3"/>
  <c r="AB39" i="3"/>
  <c r="AB19" i="3"/>
  <c r="AB47" i="3"/>
  <c r="AB36" i="3"/>
  <c r="AB62" i="3"/>
  <c r="AB59" i="3"/>
  <c r="AB57" i="3"/>
  <c r="AB42" i="3"/>
  <c r="AB46" i="3"/>
  <c r="AB67" i="3"/>
  <c r="AB56" i="3"/>
  <c r="AB76" i="3"/>
  <c r="AB18" i="3"/>
  <c r="AB40" i="3"/>
  <c r="AB26" i="3"/>
  <c r="AB72" i="3"/>
  <c r="AB35" i="3"/>
  <c r="AB20" i="3"/>
  <c r="AA78" i="3"/>
  <c r="AB69" i="3"/>
  <c r="AB27" i="3"/>
  <c r="AB63" i="3"/>
  <c r="AB37" i="3"/>
  <c r="AB70" i="3"/>
  <c r="AB25" i="3"/>
  <c r="AB68" i="3"/>
  <c r="AB52" i="3"/>
  <c r="AB45" i="3"/>
  <c r="AB60" i="3"/>
  <c r="AB53" i="3"/>
  <c r="AB38" i="3"/>
  <c r="AB34" i="3"/>
  <c r="AA80" i="3"/>
  <c r="AB51" i="3"/>
  <c r="AB23" i="3"/>
  <c r="AB24" i="3"/>
  <c r="AB29" i="3"/>
  <c r="AB33" i="3"/>
  <c r="AB41" i="3"/>
  <c r="AB73" i="3"/>
  <c r="AO81" i="3"/>
  <c r="J27" i="22714"/>
  <c r="B64" i="22715" l="1"/>
  <c r="B120" i="4"/>
  <c r="F82" i="4"/>
  <c r="H106" i="22715"/>
  <c r="B127" i="4"/>
  <c r="AV81" i="3"/>
  <c r="J28" i="22714"/>
  <c r="AH79" i="3"/>
  <c r="AG73" i="3" s="1"/>
  <c r="AH73" i="3" s="1"/>
  <c r="C26" i="22714"/>
  <c r="H146" i="22715"/>
  <c r="F26" i="22714"/>
  <c r="G26" i="22714"/>
  <c r="U75" i="22746"/>
  <c r="U49" i="22746"/>
  <c r="U44" i="22746"/>
  <c r="U25" i="22746"/>
  <c r="U62" i="22746"/>
  <c r="U69" i="22746"/>
  <c r="U33" i="22746"/>
  <c r="U60" i="22746"/>
  <c r="U27" i="22746"/>
  <c r="U59" i="22746"/>
  <c r="U24" i="22746"/>
  <c r="U50" i="22746"/>
  <c r="U61" i="22746"/>
  <c r="U72" i="22746"/>
  <c r="U34" i="22746"/>
  <c r="U51" i="22746"/>
  <c r="U29" i="22746"/>
  <c r="U19" i="22746"/>
  <c r="U52" i="22746"/>
  <c r="U37" i="22746"/>
  <c r="T80" i="22746"/>
  <c r="U23" i="22746"/>
  <c r="U45" i="22746"/>
  <c r="T78" i="22746"/>
  <c r="U35" i="22746"/>
  <c r="U46" i="22746"/>
  <c r="U26" i="22746"/>
  <c r="U18" i="22746"/>
  <c r="U39" i="22746"/>
  <c r="U56" i="22746"/>
  <c r="U42" i="22746"/>
  <c r="U38" i="22746"/>
  <c r="U63" i="22746"/>
  <c r="U41" i="22746"/>
  <c r="U57" i="22746"/>
  <c r="U36" i="22746"/>
  <c r="E25" i="22748"/>
  <c r="U68" i="22746"/>
  <c r="U47" i="22746"/>
  <c r="U67" i="22746"/>
  <c r="U28" i="22746"/>
  <c r="U40" i="22746"/>
  <c r="U76" i="22746"/>
  <c r="U53" i="22746"/>
  <c r="U20" i="22746"/>
  <c r="U70" i="22746"/>
  <c r="U73" i="22746"/>
  <c r="F96" i="4"/>
  <c r="B72" i="22715"/>
  <c r="B151" i="4"/>
  <c r="F95" i="4"/>
  <c r="B71" i="22715" s="1"/>
  <c r="H168" i="22715" l="1"/>
  <c r="AA79" i="22746"/>
  <c r="Z73" i="22746" s="1"/>
  <c r="AA73" i="22746" s="1"/>
  <c r="AA74" i="22746" s="1"/>
  <c r="AA75" i="22746" s="1"/>
  <c r="AA76" i="22746" s="1"/>
  <c r="AB59" i="22746" s="1"/>
  <c r="T81" i="22746"/>
  <c r="C25" i="22748"/>
  <c r="BC81" i="3"/>
  <c r="J29" i="22714"/>
  <c r="F84" i="4"/>
  <c r="G82" i="4" s="1"/>
  <c r="C152" i="4" s="1"/>
  <c r="H173" i="22715" s="1"/>
  <c r="B73" i="22715"/>
  <c r="B152" i="4"/>
  <c r="H169" i="22715" s="1"/>
  <c r="F25" i="22748"/>
  <c r="G25" i="22748"/>
  <c r="C126" i="4"/>
  <c r="H110" i="22715" s="1"/>
  <c r="C125" i="4"/>
  <c r="H109" i="22715" s="1"/>
  <c r="C127" i="4"/>
  <c r="H107" i="22715"/>
  <c r="H91" i="22715"/>
  <c r="AH74" i="3"/>
  <c r="AB38" i="22746" l="1"/>
  <c r="AB23" i="22746"/>
  <c r="AB41" i="22746"/>
  <c r="AB60" i="22746"/>
  <c r="AB68" i="22746"/>
  <c r="AB63" i="22746"/>
  <c r="AB34" i="22746"/>
  <c r="AA78" i="22746"/>
  <c r="AB33" i="22746"/>
  <c r="AB25" i="22746"/>
  <c r="AB27" i="22746"/>
  <c r="AB75" i="22746"/>
  <c r="AB40" i="22746"/>
  <c r="AB45" i="22746"/>
  <c r="AB20" i="22746"/>
  <c r="AB39" i="22746"/>
  <c r="AB36" i="22746"/>
  <c r="AB73" i="22746"/>
  <c r="AB18" i="22746"/>
  <c r="AB44" i="22746"/>
  <c r="AB28" i="22746"/>
  <c r="AB24" i="22746"/>
  <c r="AB29" i="22746"/>
  <c r="AB76" i="22746"/>
  <c r="AB50" i="22746"/>
  <c r="AB37" i="22746"/>
  <c r="AB42" i="22746"/>
  <c r="AB26" i="22746"/>
  <c r="AB74" i="22746"/>
  <c r="AB67" i="22746"/>
  <c r="AB53" i="22746"/>
  <c r="AA80" i="22746"/>
  <c r="C26" i="22748" s="1"/>
  <c r="AB19" i="22746"/>
  <c r="AB49" i="22746"/>
  <c r="AB57" i="22746"/>
  <c r="E26" i="22748"/>
  <c r="G26" i="22748" s="1"/>
  <c r="AB61" i="22746"/>
  <c r="AB56" i="22746"/>
  <c r="AB69" i="22746"/>
  <c r="AB62" i="22746"/>
  <c r="AB51" i="22746"/>
  <c r="AB70" i="22746"/>
  <c r="AH75" i="3"/>
  <c r="B172" i="4"/>
  <c r="B121" i="4"/>
  <c r="B122" i="4"/>
  <c r="G31" i="4"/>
  <c r="G64" i="4"/>
  <c r="F100" i="4"/>
  <c r="G69" i="4"/>
  <c r="C169" i="4"/>
  <c r="C189" i="4"/>
  <c r="G60" i="4"/>
  <c r="B193" i="4"/>
  <c r="G35" i="4"/>
  <c r="G49" i="4"/>
  <c r="G50" i="4"/>
  <c r="G68" i="4"/>
  <c r="C163" i="4"/>
  <c r="G34" i="4"/>
  <c r="C191" i="4"/>
  <c r="G66" i="4"/>
  <c r="C165" i="4"/>
  <c r="G22" i="4"/>
  <c r="C164" i="4"/>
  <c r="G57" i="4"/>
  <c r="G70" i="4"/>
  <c r="G23" i="4"/>
  <c r="E89" i="4"/>
  <c r="F89" i="4" s="1"/>
  <c r="B60" i="22715" s="1"/>
  <c r="G27" i="4"/>
  <c r="G26" i="4"/>
  <c r="G72" i="4"/>
  <c r="G52" i="4"/>
  <c r="C160" i="4"/>
  <c r="F93" i="4"/>
  <c r="H54" i="22715" s="1"/>
  <c r="C185" i="4"/>
  <c r="G32" i="4"/>
  <c r="B56" i="22715"/>
  <c r="H93" i="22715" s="1"/>
  <c r="G63" i="4"/>
  <c r="G67" i="4"/>
  <c r="G39" i="4"/>
  <c r="G48" i="4"/>
  <c r="F91" i="4"/>
  <c r="G25" i="4"/>
  <c r="G21" i="4"/>
  <c r="G55" i="4"/>
  <c r="G28" i="4"/>
  <c r="F86" i="4"/>
  <c r="B57" i="22715" s="1"/>
  <c r="H10" i="22715" s="1"/>
  <c r="G78" i="4"/>
  <c r="G54" i="4"/>
  <c r="G44" i="4"/>
  <c r="G19" i="4"/>
  <c r="G18" i="4"/>
  <c r="G17" i="4"/>
  <c r="G47" i="4"/>
  <c r="G65" i="4"/>
  <c r="G74" i="4"/>
  <c r="G53" i="4"/>
  <c r="C171" i="4"/>
  <c r="H203" i="22715" s="1"/>
  <c r="C186" i="4"/>
  <c r="C192" i="4"/>
  <c r="H244" i="22715" s="1"/>
  <c r="G30" i="4"/>
  <c r="G75" i="4"/>
  <c r="G58" i="4"/>
  <c r="G84" i="4"/>
  <c r="G73" i="4"/>
  <c r="C190" i="4"/>
  <c r="C166" i="4"/>
  <c r="G33" i="4"/>
  <c r="G59" i="4"/>
  <c r="G56" i="4"/>
  <c r="E88" i="4"/>
  <c r="F88" i="4" s="1"/>
  <c r="B59" i="22715" s="1"/>
  <c r="H9" i="22715" s="1"/>
  <c r="G79" i="4"/>
  <c r="G37" i="4"/>
  <c r="G43" i="4"/>
  <c r="C151" i="4" s="1"/>
  <c r="G80" i="4"/>
  <c r="C37" i="22747"/>
  <c r="AA81" i="22746"/>
  <c r="J25" i="22748"/>
  <c r="J30" i="22714"/>
  <c r="BJ81" i="3"/>
  <c r="B153" i="4"/>
  <c r="AB35" i="22746"/>
  <c r="AB47" i="22746"/>
  <c r="AB46" i="22746"/>
  <c r="AB72" i="22746"/>
  <c r="AB52" i="22746"/>
  <c r="AH79" i="22746" l="1"/>
  <c r="AG73" i="22746" s="1"/>
  <c r="AH73" i="22746" s="1"/>
  <c r="F26" i="22748"/>
  <c r="H201" i="22715"/>
  <c r="H170" i="22715"/>
  <c r="AH81" i="22746"/>
  <c r="J26" i="22748"/>
  <c r="C193" i="4"/>
  <c r="H245" i="22715" s="1"/>
  <c r="H240" i="22715"/>
  <c r="H241" i="22715" s="1"/>
  <c r="H200" i="22715"/>
  <c r="C172" i="4"/>
  <c r="H204" i="22715" s="1"/>
  <c r="BQ81" i="3"/>
  <c r="J31" i="22714"/>
  <c r="D62" i="22715"/>
  <c r="C62" i="22715" s="1"/>
  <c r="F37" i="22747"/>
  <c r="E79" i="22747"/>
  <c r="F79" i="22747" s="1"/>
  <c r="C119" i="4"/>
  <c r="H95" i="22715" s="1"/>
  <c r="C122" i="4"/>
  <c r="C120" i="4"/>
  <c r="H96" i="22715" s="1"/>
  <c r="F98" i="4"/>
  <c r="H63" i="22715" s="1"/>
  <c r="F112" i="4"/>
  <c r="H57" i="22715" s="1"/>
  <c r="H52" i="22715"/>
  <c r="B74" i="22715"/>
  <c r="F102" i="4"/>
  <c r="B147" i="4"/>
  <c r="C121" i="4"/>
  <c r="H97" i="22715" s="1"/>
  <c r="C153" i="4"/>
  <c r="H172" i="22715"/>
  <c r="AH76" i="3"/>
  <c r="AI75" i="3" s="1"/>
  <c r="AH74" i="22746"/>
  <c r="B144" i="22747" l="1"/>
  <c r="J146" i="22715" s="1"/>
  <c r="I146" i="22715" s="1"/>
  <c r="F43" i="22747"/>
  <c r="D63" i="22715"/>
  <c r="C63" i="22715" s="1"/>
  <c r="AO81" i="22746"/>
  <c r="J27" i="22748"/>
  <c r="AI70" i="3"/>
  <c r="AI47" i="3"/>
  <c r="AH80" i="3"/>
  <c r="AI20" i="3"/>
  <c r="AH78" i="3"/>
  <c r="AI41" i="3"/>
  <c r="AI76" i="3"/>
  <c r="AI56" i="3"/>
  <c r="AI68" i="3"/>
  <c r="AI72" i="3"/>
  <c r="AI26" i="3"/>
  <c r="AI27" i="3"/>
  <c r="E27" i="22714"/>
  <c r="AI49" i="3"/>
  <c r="AI40" i="3"/>
  <c r="AI60" i="3"/>
  <c r="AI52" i="3"/>
  <c r="AI34" i="3"/>
  <c r="AI37" i="3"/>
  <c r="AI61" i="3"/>
  <c r="AI30" i="3"/>
  <c r="AI53" i="3"/>
  <c r="AI29" i="3"/>
  <c r="AI38" i="3"/>
  <c r="AI18" i="3"/>
  <c r="AI24" i="3"/>
  <c r="AI67" i="3"/>
  <c r="AI51" i="3"/>
  <c r="AI39" i="3"/>
  <c r="AI57" i="3"/>
  <c r="AI23" i="3"/>
  <c r="AI50" i="3"/>
  <c r="AI25" i="3"/>
  <c r="AI44" i="3"/>
  <c r="AI63" i="3"/>
  <c r="AI45" i="3"/>
  <c r="AI69" i="3"/>
  <c r="AI28" i="3"/>
  <c r="AI62" i="3"/>
  <c r="AI36" i="3"/>
  <c r="AI59" i="3"/>
  <c r="AI46" i="3"/>
  <c r="AI42" i="3"/>
  <c r="AI19" i="3"/>
  <c r="AI35" i="3"/>
  <c r="AI33" i="3"/>
  <c r="AI73" i="3"/>
  <c r="AI74" i="3"/>
  <c r="H92" i="22715"/>
  <c r="C147" i="4"/>
  <c r="C145" i="4"/>
  <c r="H153" i="22715" s="1"/>
  <c r="C143" i="4"/>
  <c r="H151" i="22715" s="1"/>
  <c r="B146" i="4"/>
  <c r="H149" i="22715"/>
  <c r="C144" i="4"/>
  <c r="H152" i="22715" s="1"/>
  <c r="B75" i="22715"/>
  <c r="B78" i="22715" s="1"/>
  <c r="F103" i="4"/>
  <c r="F105" i="4"/>
  <c r="H78" i="22715" s="1"/>
  <c r="H7" i="22715" s="1"/>
  <c r="B126" i="22747"/>
  <c r="F80" i="22747"/>
  <c r="J32" i="22714"/>
  <c r="BX81" i="3"/>
  <c r="AH75" i="22746"/>
  <c r="AH76" i="22746" s="1"/>
  <c r="AI74" i="22746" s="1"/>
  <c r="CE81" i="3" l="1"/>
  <c r="J33" i="22714"/>
  <c r="AO79" i="3"/>
  <c r="AN73" i="3" s="1"/>
  <c r="AO73" i="3" s="1"/>
  <c r="C27" i="22714"/>
  <c r="J28" i="22748"/>
  <c r="AV81" i="22746"/>
  <c r="H75" i="22715"/>
  <c r="H8" i="22715" s="1"/>
  <c r="C42" i="22714"/>
  <c r="C146" i="4"/>
  <c r="H154" i="22715" s="1"/>
  <c r="H148" i="22715"/>
  <c r="B120" i="22747"/>
  <c r="D64" i="22715"/>
  <c r="C64" i="22715" s="1"/>
  <c r="F82" i="22747"/>
  <c r="F95" i="22747"/>
  <c r="D71" i="22715" s="1"/>
  <c r="C71" i="22715" s="1"/>
  <c r="D72" i="22715"/>
  <c r="C72" i="22715" s="1"/>
  <c r="F96" i="22747"/>
  <c r="B151" i="22747"/>
  <c r="J106" i="22715"/>
  <c r="I106" i="22715" s="1"/>
  <c r="B127" i="22747"/>
  <c r="C126" i="22747" s="1"/>
  <c r="J110" i="22715" s="1"/>
  <c r="F27" i="22714"/>
  <c r="G27" i="22714"/>
  <c r="AI75" i="22746"/>
  <c r="AI62" i="22746"/>
  <c r="AI36" i="22746"/>
  <c r="AI53" i="22746"/>
  <c r="AI42" i="22746"/>
  <c r="AI24" i="22746"/>
  <c r="AI47" i="22746"/>
  <c r="AI26" i="22746"/>
  <c r="AI52" i="22746"/>
  <c r="AI27" i="22746"/>
  <c r="AI33" i="22746"/>
  <c r="AI68" i="22746"/>
  <c r="AI41" i="22746"/>
  <c r="AI40" i="22746"/>
  <c r="AI69" i="22746"/>
  <c r="AI38" i="22746"/>
  <c r="AI59" i="22746"/>
  <c r="AI20" i="22746"/>
  <c r="AI34" i="22746"/>
  <c r="AI57" i="22746"/>
  <c r="AI25" i="22746"/>
  <c r="AH80" i="22746"/>
  <c r="AI67" i="22746"/>
  <c r="AI50" i="22746"/>
  <c r="AH78" i="22746"/>
  <c r="AI39" i="22746"/>
  <c r="AI45" i="22746"/>
  <c r="AI18" i="22746"/>
  <c r="AI70" i="22746"/>
  <c r="E27" i="22748"/>
  <c r="AI37" i="22746"/>
  <c r="AI63" i="22746"/>
  <c r="AI46" i="22746"/>
  <c r="AI19" i="22746"/>
  <c r="AI35" i="22746"/>
  <c r="AI28" i="22746"/>
  <c r="AI76" i="22746"/>
  <c r="AI51" i="22746"/>
  <c r="AI72" i="22746"/>
  <c r="AI56" i="22746"/>
  <c r="AI60" i="22746"/>
  <c r="AI44" i="22746"/>
  <c r="AI23" i="22746"/>
  <c r="AI61" i="22746"/>
  <c r="AI49" i="22746"/>
  <c r="AI29" i="22746"/>
  <c r="AI73" i="22746"/>
  <c r="J91" i="22715" l="1"/>
  <c r="I91" i="22715" s="1"/>
  <c r="AO74" i="3"/>
  <c r="J168" i="22715"/>
  <c r="I168" i="22715" s="1"/>
  <c r="J29" i="22748"/>
  <c r="BC81" i="22746"/>
  <c r="C125" i="22747"/>
  <c r="J109" i="22715" s="1"/>
  <c r="C127" i="22747"/>
  <c r="J107" i="22715"/>
  <c r="I107" i="22715" s="1"/>
  <c r="F84" i="22747"/>
  <c r="G82" i="22747" s="1"/>
  <c r="C152" i="22747" s="1"/>
  <c r="J173" i="22715" s="1"/>
  <c r="B152" i="22747"/>
  <c r="J169" i="22715" s="1"/>
  <c r="I169" i="22715" s="1"/>
  <c r="D73" i="22715"/>
  <c r="C73" i="22715" s="1"/>
  <c r="J34" i="22714"/>
  <c r="CL81" i="3"/>
  <c r="C27" i="22748"/>
  <c r="AO79" i="22746"/>
  <c r="AN73" i="22746" s="1"/>
  <c r="AO73" i="22746" s="1"/>
  <c r="F27" i="22748"/>
  <c r="G27" i="22748"/>
  <c r="D59" i="22715" l="1"/>
  <c r="G49" i="22747"/>
  <c r="F86" i="22747"/>
  <c r="D57" i="22715" s="1"/>
  <c r="G35" i="22747"/>
  <c r="G28" i="22747"/>
  <c r="C160" i="22747"/>
  <c r="G58" i="22747"/>
  <c r="G74" i="22747"/>
  <c r="G57" i="22747"/>
  <c r="F91" i="22747"/>
  <c r="C171" i="22747"/>
  <c r="J203" i="22715" s="1"/>
  <c r="C186" i="22747"/>
  <c r="G69" i="22747"/>
  <c r="C164" i="22747"/>
  <c r="B121" i="22747"/>
  <c r="B122" i="22747"/>
  <c r="G56" i="22747"/>
  <c r="G47" i="22747"/>
  <c r="G37" i="22747"/>
  <c r="G78" i="22747"/>
  <c r="D56" i="22715"/>
  <c r="G31" i="22747"/>
  <c r="E89" i="22747"/>
  <c r="F89" i="22747" s="1"/>
  <c r="D60" i="22715" s="1"/>
  <c r="C60" i="22715" s="1"/>
  <c r="G17" i="22747"/>
  <c r="G65" i="22747"/>
  <c r="G70" i="22747"/>
  <c r="B172" i="22747"/>
  <c r="G39" i="22747"/>
  <c r="B193" i="22747"/>
  <c r="G30" i="22747"/>
  <c r="G59" i="22747"/>
  <c r="G22" i="22747"/>
  <c r="G25" i="22747"/>
  <c r="G18" i="22747"/>
  <c r="G66" i="22747"/>
  <c r="G54" i="22747"/>
  <c r="G34" i="22747"/>
  <c r="G52" i="22747"/>
  <c r="G79" i="22747"/>
  <c r="G67" i="22747"/>
  <c r="G23" i="22747"/>
  <c r="G50" i="22747"/>
  <c r="C165" i="22747"/>
  <c r="F93" i="22747"/>
  <c r="J54" i="22715" s="1"/>
  <c r="I54" i="22715" s="1"/>
  <c r="G55" i="22747"/>
  <c r="C166" i="22747"/>
  <c r="G19" i="22747"/>
  <c r="G60" i="22747"/>
  <c r="C192" i="22747"/>
  <c r="J244" i="22715" s="1"/>
  <c r="C169" i="22747"/>
  <c r="G73" i="22747"/>
  <c r="G24" i="22747"/>
  <c r="G63" i="22747"/>
  <c r="G84" i="22747"/>
  <c r="C185" i="22747"/>
  <c r="G21" i="22747"/>
  <c r="G64" i="22747"/>
  <c r="C191" i="22747"/>
  <c r="F100" i="22747"/>
  <c r="G44" i="22747"/>
  <c r="C190" i="22747"/>
  <c r="G33" i="22747"/>
  <c r="G68" i="22747"/>
  <c r="C189" i="22747"/>
  <c r="G72" i="22747"/>
  <c r="G75" i="22747"/>
  <c r="G32" i="22747"/>
  <c r="G26" i="22747"/>
  <c r="G48" i="22747"/>
  <c r="G53" i="22747"/>
  <c r="C163" i="22747"/>
  <c r="G27" i="22747"/>
  <c r="G80" i="22747"/>
  <c r="G43" i="22747"/>
  <c r="C151" i="22747" s="1"/>
  <c r="J30" i="22748"/>
  <c r="BJ81" i="22746"/>
  <c r="AO75" i="3"/>
  <c r="B153" i="22747"/>
  <c r="CS81" i="3"/>
  <c r="J35" i="22714"/>
  <c r="AO74" i="22746"/>
  <c r="BQ81" i="22746" l="1"/>
  <c r="J31" i="22748"/>
  <c r="F102" i="22747"/>
  <c r="D74" i="22715"/>
  <c r="C74" i="22715" s="1"/>
  <c r="J170" i="22715"/>
  <c r="I170" i="22715" s="1"/>
  <c r="J201" i="22715"/>
  <c r="I201" i="22715" s="1"/>
  <c r="B147" i="22747"/>
  <c r="J92" i="22715"/>
  <c r="I92" i="22715" s="1"/>
  <c r="C121" i="22747"/>
  <c r="J97" i="22715" s="1"/>
  <c r="J240" i="22715"/>
  <c r="C193" i="22747"/>
  <c r="J245" i="22715" s="1"/>
  <c r="J93" i="22715"/>
  <c r="I93" i="22715" s="1"/>
  <c r="C56" i="22715"/>
  <c r="C57" i="22715"/>
  <c r="I10" i="22715" s="1"/>
  <c r="J10" i="22715"/>
  <c r="C153" i="22747"/>
  <c r="J172" i="22715"/>
  <c r="AO76" i="3"/>
  <c r="AP75" i="3" s="1"/>
  <c r="F98" i="22747"/>
  <c r="J63" i="22715" s="1"/>
  <c r="I63" i="22715" s="1"/>
  <c r="F112" i="22747"/>
  <c r="J57" i="22715" s="1"/>
  <c r="I57" i="22715" s="1"/>
  <c r="J52" i="22715"/>
  <c r="I52" i="22715" s="1"/>
  <c r="CZ81" i="3"/>
  <c r="J37" i="22714" s="1"/>
  <c r="J36" i="22714"/>
  <c r="J200" i="22715"/>
  <c r="I200" i="22715" s="1"/>
  <c r="C172" i="22747"/>
  <c r="J204" i="22715" s="1"/>
  <c r="C119" i="22747"/>
  <c r="J95" i="22715" s="1"/>
  <c r="C122" i="22747"/>
  <c r="C120" i="22747"/>
  <c r="J96" i="22715" s="1"/>
  <c r="J9" i="22715"/>
  <c r="C59" i="22715"/>
  <c r="I9" i="22715" s="1"/>
  <c r="AO75" i="22746"/>
  <c r="C143" i="22747" l="1"/>
  <c r="J151" i="22715" s="1"/>
  <c r="C147" i="22747"/>
  <c r="C145" i="22747"/>
  <c r="J153" i="22715" s="1"/>
  <c r="B146" i="22747"/>
  <c r="C144" i="22747"/>
  <c r="J152" i="22715" s="1"/>
  <c r="J149" i="22715"/>
  <c r="I149" i="22715" s="1"/>
  <c r="F103" i="22747"/>
  <c r="F105" i="22747"/>
  <c r="J78" i="22715" s="1"/>
  <c r="D75" i="22715"/>
  <c r="AP37" i="3"/>
  <c r="AO80" i="3"/>
  <c r="AP41" i="3"/>
  <c r="AP67" i="3"/>
  <c r="AP23" i="3"/>
  <c r="AP38" i="3"/>
  <c r="AP68" i="3"/>
  <c r="AP25" i="3"/>
  <c r="AP61" i="3"/>
  <c r="AP35" i="3"/>
  <c r="AP26" i="3"/>
  <c r="AP24" i="3"/>
  <c r="AP33" i="3"/>
  <c r="AP18" i="3"/>
  <c r="AP28" i="3"/>
  <c r="AP63" i="3"/>
  <c r="AP34" i="3"/>
  <c r="E28" i="22714"/>
  <c r="AP49" i="3"/>
  <c r="AP76" i="3"/>
  <c r="AP19" i="3"/>
  <c r="AP70" i="3"/>
  <c r="AP60" i="3"/>
  <c r="AP52" i="3"/>
  <c r="AP29" i="3"/>
  <c r="AP27" i="3"/>
  <c r="AP53" i="3"/>
  <c r="AP36" i="3"/>
  <c r="AP44" i="3"/>
  <c r="AP59" i="3"/>
  <c r="AP47" i="3"/>
  <c r="AP72" i="3"/>
  <c r="AP51" i="3"/>
  <c r="AP46" i="3"/>
  <c r="AP45" i="3"/>
  <c r="AP40" i="3"/>
  <c r="AP20" i="3"/>
  <c r="AP50" i="3"/>
  <c r="AP42" i="3"/>
  <c r="AP69" i="3"/>
  <c r="AP57" i="3"/>
  <c r="AP62" i="3"/>
  <c r="AP56" i="3"/>
  <c r="AO78" i="3"/>
  <c r="AP73" i="3"/>
  <c r="AP74" i="3"/>
  <c r="I240" i="22715"/>
  <c r="J241" i="22715"/>
  <c r="I241" i="22715" s="1"/>
  <c r="J32" i="22748"/>
  <c r="BX81" i="22746"/>
  <c r="AO76" i="22746"/>
  <c r="C28" i="22714" l="1"/>
  <c r="AV79" i="3"/>
  <c r="AU73" i="3" s="1"/>
  <c r="AV73" i="3" s="1"/>
  <c r="I78" i="22715"/>
  <c r="I7" i="22715" s="1"/>
  <c r="J7" i="22715"/>
  <c r="C146" i="22747"/>
  <c r="J154" i="22715" s="1"/>
  <c r="J148" i="22715"/>
  <c r="I148" i="22715" s="1"/>
  <c r="J75" i="22715"/>
  <c r="C42" i="22748"/>
  <c r="CE81" i="22746"/>
  <c r="J33" i="22748"/>
  <c r="F28" i="22714"/>
  <c r="G28" i="22714"/>
  <c r="D78" i="22715"/>
  <c r="C78" i="22715" s="1"/>
  <c r="C75" i="22715"/>
  <c r="AP42" i="22746"/>
  <c r="AP36" i="22746"/>
  <c r="AP33" i="22746"/>
  <c r="AP26" i="22746"/>
  <c r="AP34" i="22746"/>
  <c r="AP52" i="22746"/>
  <c r="AP68" i="22746"/>
  <c r="AP25" i="22746"/>
  <c r="AP61" i="22746"/>
  <c r="AP53" i="22746"/>
  <c r="AP57" i="22746"/>
  <c r="AP19" i="22746"/>
  <c r="AP56" i="22746"/>
  <c r="E28" i="22748"/>
  <c r="AP23" i="22746"/>
  <c r="AP38" i="22746"/>
  <c r="AP72" i="22746"/>
  <c r="AP67" i="22746"/>
  <c r="AP37" i="22746"/>
  <c r="AO78" i="22746"/>
  <c r="AP62" i="22746"/>
  <c r="AP28" i="22746"/>
  <c r="AP18" i="22746"/>
  <c r="AP50" i="22746"/>
  <c r="AO80" i="22746"/>
  <c r="AP46" i="22746"/>
  <c r="AP69" i="22746"/>
  <c r="AP44" i="22746"/>
  <c r="AP45" i="22746"/>
  <c r="AP70" i="22746"/>
  <c r="AP63" i="22746"/>
  <c r="AP29" i="22746"/>
  <c r="AP40" i="22746"/>
  <c r="AP27" i="22746"/>
  <c r="AP47" i="22746"/>
  <c r="AP59" i="22746"/>
  <c r="AP24" i="22746"/>
  <c r="AP51" i="22746"/>
  <c r="AP76" i="22746"/>
  <c r="AP49" i="22746"/>
  <c r="AP20" i="22746"/>
  <c r="AP60" i="22746"/>
  <c r="AP35" i="22746"/>
  <c r="AP41" i="22746"/>
  <c r="AP73" i="22746"/>
  <c r="AP74" i="22746"/>
  <c r="AP75" i="22746"/>
  <c r="J8" i="22715" l="1"/>
  <c r="I75" i="22715"/>
  <c r="I8" i="22715" s="1"/>
  <c r="AV74" i="3"/>
  <c r="J34" i="22748"/>
  <c r="CL81" i="22746"/>
  <c r="C28" i="22748"/>
  <c r="AV79" i="22746"/>
  <c r="AU73" i="22746" s="1"/>
  <c r="AV73" i="22746" s="1"/>
  <c r="F28" i="22748"/>
  <c r="G28" i="22748"/>
  <c r="AV75" i="3" l="1"/>
  <c r="CS81" i="22746"/>
  <c r="J35" i="22748"/>
  <c r="AV74" i="22746"/>
  <c r="CZ81" i="22746" l="1"/>
  <c r="J37" i="22748" s="1"/>
  <c r="J36" i="22748"/>
  <c r="AV76" i="3"/>
  <c r="AW75" i="3" s="1"/>
  <c r="AV75" i="22746"/>
  <c r="AV80" i="3" l="1"/>
  <c r="AW70" i="3"/>
  <c r="AW67" i="3"/>
  <c r="AW60" i="3"/>
  <c r="AW52" i="3"/>
  <c r="AW44" i="3"/>
  <c r="AV78" i="3"/>
  <c r="AW20" i="3"/>
  <c r="AW45" i="3"/>
  <c r="AW25" i="3"/>
  <c r="AW62" i="3"/>
  <c r="AW19" i="3"/>
  <c r="AW42" i="3"/>
  <c r="AW59" i="3"/>
  <c r="AW34" i="3"/>
  <c r="AW46" i="3"/>
  <c r="AW57" i="3"/>
  <c r="AW38" i="3"/>
  <c r="AW50" i="3"/>
  <c r="AW40" i="3"/>
  <c r="AW33" i="3"/>
  <c r="AW24" i="3"/>
  <c r="AW63" i="3"/>
  <c r="E29" i="22714"/>
  <c r="AW18" i="3"/>
  <c r="AW69" i="3"/>
  <c r="AW68" i="3"/>
  <c r="AW29" i="3"/>
  <c r="AW36" i="3"/>
  <c r="AW61" i="3"/>
  <c r="AW76" i="3"/>
  <c r="AW26" i="3"/>
  <c r="AW56" i="3"/>
  <c r="AW35" i="3"/>
  <c r="AW27" i="3"/>
  <c r="AW51" i="3"/>
  <c r="AW49" i="3"/>
  <c r="AW72" i="3"/>
  <c r="AW37" i="3"/>
  <c r="AW28" i="3"/>
  <c r="AW41" i="3"/>
  <c r="AW23" i="3"/>
  <c r="AW47" i="3"/>
  <c r="AW53" i="3"/>
  <c r="AW73" i="3"/>
  <c r="AW74" i="3"/>
  <c r="AV76" i="22746"/>
  <c r="F29" i="22714" l="1"/>
  <c r="G29" i="22714"/>
  <c r="BC79" i="3"/>
  <c r="BB73" i="3" s="1"/>
  <c r="BC73" i="3" s="1"/>
  <c r="C29" i="22714"/>
  <c r="AW59" i="22746"/>
  <c r="AW20" i="22746"/>
  <c r="AW45" i="22746"/>
  <c r="AW69" i="22746"/>
  <c r="AW24" i="22746"/>
  <c r="AW56" i="22746"/>
  <c r="AW33" i="22746"/>
  <c r="AW36" i="22746"/>
  <c r="AW40" i="22746"/>
  <c r="AW37" i="22746"/>
  <c r="AW44" i="22746"/>
  <c r="AW62" i="22746"/>
  <c r="AW23" i="22746"/>
  <c r="AW51" i="22746"/>
  <c r="AW60" i="22746"/>
  <c r="AW18" i="22746"/>
  <c r="AW53" i="22746"/>
  <c r="AW57" i="22746"/>
  <c r="AW19" i="22746"/>
  <c r="AW52" i="22746"/>
  <c r="AW72" i="22746"/>
  <c r="AW26" i="22746"/>
  <c r="AW34" i="22746"/>
  <c r="AV78" i="22746"/>
  <c r="AW68" i="22746"/>
  <c r="AW47" i="22746"/>
  <c r="AW46" i="22746"/>
  <c r="AW63" i="22746"/>
  <c r="AW76" i="22746"/>
  <c r="AW28" i="22746"/>
  <c r="E29" i="22748"/>
  <c r="AW27" i="22746"/>
  <c r="AW38" i="22746"/>
  <c r="AW61" i="22746"/>
  <c r="AW35" i="22746"/>
  <c r="AV80" i="22746"/>
  <c r="AW49" i="22746"/>
  <c r="AW50" i="22746"/>
  <c r="AW29" i="22746"/>
  <c r="AW25" i="22746"/>
  <c r="AW67" i="22746"/>
  <c r="AW70" i="22746"/>
  <c r="AW42" i="22746"/>
  <c r="AW41" i="22746"/>
  <c r="AW73" i="22746"/>
  <c r="AW74" i="22746"/>
  <c r="AW75" i="22746"/>
  <c r="BC74" i="3" l="1"/>
  <c r="C29" i="22748"/>
  <c r="BC79" i="22746"/>
  <c r="BB73" i="22746" s="1"/>
  <c r="BC73" i="22746" s="1"/>
  <c r="F29" i="22748"/>
  <c r="G29" i="22748"/>
  <c r="BC75" i="3" l="1"/>
  <c r="BC74" i="22746"/>
  <c r="BC76" i="3" l="1"/>
  <c r="BD75" i="3" s="1"/>
  <c r="BC75" i="22746"/>
  <c r="E30" i="22714" l="1"/>
  <c r="BC78" i="3"/>
  <c r="BD49" i="3"/>
  <c r="BD47" i="3"/>
  <c r="BD59" i="3"/>
  <c r="BD20" i="3"/>
  <c r="BD26" i="3"/>
  <c r="BD18" i="3"/>
  <c r="BD56" i="3"/>
  <c r="BD19" i="3"/>
  <c r="BD34" i="3"/>
  <c r="BD69" i="3"/>
  <c r="BD40" i="3"/>
  <c r="BD46" i="3"/>
  <c r="BD68" i="3"/>
  <c r="BD70" i="3"/>
  <c r="BD44" i="3"/>
  <c r="BD41" i="3"/>
  <c r="BD72" i="3"/>
  <c r="BD29" i="3"/>
  <c r="BD62" i="3"/>
  <c r="BD28" i="3"/>
  <c r="BD37" i="3"/>
  <c r="BD67" i="3"/>
  <c r="BD45" i="3"/>
  <c r="BD50" i="3"/>
  <c r="BC80" i="3"/>
  <c r="BD25" i="3"/>
  <c r="BD38" i="3"/>
  <c r="BD36" i="3"/>
  <c r="BD76" i="3"/>
  <c r="BD42" i="3"/>
  <c r="BD60" i="3"/>
  <c r="BD57" i="3"/>
  <c r="BD51" i="3"/>
  <c r="BD35" i="3"/>
  <c r="BD23" i="3"/>
  <c r="BD27" i="3"/>
  <c r="BD52" i="3"/>
  <c r="BD24" i="3"/>
  <c r="BD63" i="3"/>
  <c r="BD33" i="3"/>
  <c r="BD53" i="3"/>
  <c r="BD61" i="3"/>
  <c r="BD73" i="3"/>
  <c r="BD74" i="3"/>
  <c r="BC76" i="22746"/>
  <c r="BJ79" i="3" l="1"/>
  <c r="BI73" i="3" s="1"/>
  <c r="BJ73" i="3" s="1"/>
  <c r="C30" i="22714"/>
  <c r="G30" i="22714"/>
  <c r="F30" i="22714"/>
  <c r="BD40" i="22746"/>
  <c r="BD63" i="22746"/>
  <c r="BD38" i="22746"/>
  <c r="BD76" i="22746"/>
  <c r="BD36" i="22746"/>
  <c r="BD68" i="22746"/>
  <c r="BC78" i="22746"/>
  <c r="BD24" i="22746"/>
  <c r="E30" i="22748"/>
  <c r="BD49" i="22746"/>
  <c r="BD57" i="22746"/>
  <c r="BD59" i="22746"/>
  <c r="BD46" i="22746"/>
  <c r="BD34" i="22746"/>
  <c r="BD23" i="22746"/>
  <c r="BD67" i="22746"/>
  <c r="BD18" i="22746"/>
  <c r="BD51" i="22746"/>
  <c r="BD60" i="22746"/>
  <c r="BD25" i="22746"/>
  <c r="BD45" i="22746"/>
  <c r="BD72" i="22746"/>
  <c r="BD28" i="22746"/>
  <c r="BC80" i="22746"/>
  <c r="BD56" i="22746"/>
  <c r="BD33" i="22746"/>
  <c r="BD27" i="22746"/>
  <c r="BD44" i="22746"/>
  <c r="BD62" i="22746"/>
  <c r="BD19" i="22746"/>
  <c r="BD50" i="22746"/>
  <c r="BD70" i="22746"/>
  <c r="BD20" i="22746"/>
  <c r="BD26" i="22746"/>
  <c r="BD29" i="22746"/>
  <c r="BD61" i="22746"/>
  <c r="BD47" i="22746"/>
  <c r="BD42" i="22746"/>
  <c r="BD35" i="22746"/>
  <c r="BD53" i="22746"/>
  <c r="BD52" i="22746"/>
  <c r="BD69" i="22746"/>
  <c r="BD37" i="22746"/>
  <c r="BD41" i="22746"/>
  <c r="BD73" i="22746"/>
  <c r="BD74" i="22746"/>
  <c r="BD75" i="22746"/>
  <c r="BJ74" i="3" l="1"/>
  <c r="C30" i="22748"/>
  <c r="BJ79" i="22746"/>
  <c r="BI73" i="22746" s="1"/>
  <c r="BJ73" i="22746" s="1"/>
  <c r="G30" i="22748"/>
  <c r="F30" i="22748"/>
  <c r="BJ75" i="3" l="1"/>
  <c r="BJ74" i="22746"/>
  <c r="BJ76" i="3" l="1"/>
  <c r="BK75" i="3" s="1"/>
  <c r="BJ75" i="22746"/>
  <c r="BJ76" i="22746" s="1"/>
  <c r="BK74" i="22746" s="1"/>
  <c r="BK45" i="3" l="1"/>
  <c r="BK52" i="3"/>
  <c r="BK76" i="3"/>
  <c r="BK34" i="3"/>
  <c r="BJ80" i="3"/>
  <c r="BK57" i="3"/>
  <c r="BK69" i="3"/>
  <c r="BK23" i="3"/>
  <c r="BK46" i="3"/>
  <c r="BK60" i="3"/>
  <c r="BK25" i="3"/>
  <c r="BK70" i="3"/>
  <c r="BK20" i="3"/>
  <c r="BK18" i="3"/>
  <c r="BK61" i="3"/>
  <c r="BK72" i="3"/>
  <c r="BK35" i="3"/>
  <c r="BK62" i="3"/>
  <c r="BK50" i="3"/>
  <c r="BK26" i="3"/>
  <c r="BK53" i="3"/>
  <c r="BK56" i="3"/>
  <c r="BK19" i="3"/>
  <c r="BJ78" i="3"/>
  <c r="BK27" i="3"/>
  <c r="BK63" i="3"/>
  <c r="BK41" i="3"/>
  <c r="BK47" i="3"/>
  <c r="BK24" i="3"/>
  <c r="BK28" i="3"/>
  <c r="BK38" i="3"/>
  <c r="BK40" i="3"/>
  <c r="BK36" i="3"/>
  <c r="BK49" i="3"/>
  <c r="BK33" i="3"/>
  <c r="BK37" i="3"/>
  <c r="E31" i="22714"/>
  <c r="BK51" i="3"/>
  <c r="BK68" i="3"/>
  <c r="BK44" i="3"/>
  <c r="BK59" i="3"/>
  <c r="BK42" i="3"/>
  <c r="BK29" i="3"/>
  <c r="BK67" i="3"/>
  <c r="BK73" i="3"/>
  <c r="BK74" i="3"/>
  <c r="BK75" i="22746"/>
  <c r="E31" i="22748"/>
  <c r="BK38" i="22746"/>
  <c r="BK40" i="22746"/>
  <c r="BK25" i="22746"/>
  <c r="BK47" i="22746"/>
  <c r="BK26" i="22746"/>
  <c r="BK51" i="22746"/>
  <c r="BK27" i="22746"/>
  <c r="BK23" i="22746"/>
  <c r="BK53" i="22746"/>
  <c r="BK76" i="22746"/>
  <c r="BK50" i="22746"/>
  <c r="BK72" i="22746"/>
  <c r="BK36" i="22746"/>
  <c r="BK33" i="22746"/>
  <c r="BK57" i="22746"/>
  <c r="BK45" i="22746"/>
  <c r="BK60" i="22746"/>
  <c r="BK35" i="22746"/>
  <c r="BK28" i="22746"/>
  <c r="BK69" i="22746"/>
  <c r="BK20" i="22746"/>
  <c r="BK44" i="22746"/>
  <c r="BK62" i="22746"/>
  <c r="BK34" i="22746"/>
  <c r="BK19" i="22746"/>
  <c r="BK68" i="22746"/>
  <c r="BJ80" i="22746"/>
  <c r="BJ78" i="22746"/>
  <c r="BK59" i="22746"/>
  <c r="BK56" i="22746"/>
  <c r="BK67" i="22746"/>
  <c r="BK29" i="22746"/>
  <c r="BK63" i="22746"/>
  <c r="BK37" i="22746"/>
  <c r="BK52" i="22746"/>
  <c r="BK46" i="22746"/>
  <c r="BK42" i="22746"/>
  <c r="BK70" i="22746"/>
  <c r="BK24" i="22746"/>
  <c r="BK61" i="22746"/>
  <c r="BK18" i="22746"/>
  <c r="BK49" i="22746"/>
  <c r="BK41" i="22746"/>
  <c r="BK73" i="22746"/>
  <c r="F31" i="22714" l="1"/>
  <c r="G31" i="22714"/>
  <c r="BQ79" i="3"/>
  <c r="BP73" i="3" s="1"/>
  <c r="BQ73" i="3" s="1"/>
  <c r="C31" i="22714"/>
  <c r="BQ79" i="22746"/>
  <c r="BP73" i="22746" s="1"/>
  <c r="BQ73" i="22746" s="1"/>
  <c r="C31" i="22748"/>
  <c r="G31" i="22748"/>
  <c r="F31" i="22748"/>
  <c r="BQ74" i="3" l="1"/>
  <c r="BQ74" i="22746"/>
  <c r="BQ75" i="3" l="1"/>
  <c r="BQ75" i="22746"/>
  <c r="BQ76" i="3" l="1"/>
  <c r="BR75" i="3" s="1"/>
  <c r="BQ76" i="22746"/>
  <c r="BR75" i="22746" s="1"/>
  <c r="BR19" i="3" l="1"/>
  <c r="BR61" i="3"/>
  <c r="BQ80" i="3"/>
  <c r="BR26" i="3"/>
  <c r="BR34" i="3"/>
  <c r="BR29" i="3"/>
  <c r="BR44" i="3"/>
  <c r="BR42" i="3"/>
  <c r="BR69" i="3"/>
  <c r="BR25" i="3"/>
  <c r="BR30" i="3"/>
  <c r="BR49" i="3"/>
  <c r="BR76" i="3"/>
  <c r="BR27" i="3"/>
  <c r="BR57" i="3"/>
  <c r="BR68" i="3"/>
  <c r="BR62" i="3"/>
  <c r="BR56" i="3"/>
  <c r="BQ78" i="3"/>
  <c r="BR72" i="3"/>
  <c r="BR53" i="3"/>
  <c r="BR35" i="3"/>
  <c r="BR46" i="3"/>
  <c r="BR47" i="3"/>
  <c r="BR38" i="3"/>
  <c r="BR45" i="3"/>
  <c r="BR51" i="3"/>
  <c r="BR63" i="3"/>
  <c r="BR70" i="3"/>
  <c r="BR23" i="3"/>
  <c r="BR52" i="3"/>
  <c r="BR37" i="3"/>
  <c r="BR40" i="3"/>
  <c r="BR33" i="3"/>
  <c r="BR41" i="3"/>
  <c r="BR24" i="3"/>
  <c r="E32" i="22714"/>
  <c r="BR18" i="3"/>
  <c r="BR36" i="3"/>
  <c r="BR60" i="3"/>
  <c r="BR59" i="3"/>
  <c r="BR67" i="3"/>
  <c r="BR20" i="3"/>
  <c r="BR28" i="3"/>
  <c r="BR50" i="3"/>
  <c r="BR73" i="3"/>
  <c r="BR74" i="3"/>
  <c r="BR42" i="22746"/>
  <c r="BR60" i="22746"/>
  <c r="BR62" i="22746"/>
  <c r="BR49" i="22746"/>
  <c r="BR25" i="22746"/>
  <c r="BR56" i="22746"/>
  <c r="BR63" i="22746"/>
  <c r="BR35" i="22746"/>
  <c r="BR69" i="22746"/>
  <c r="BR27" i="22746"/>
  <c r="BR19" i="22746"/>
  <c r="BR18" i="22746"/>
  <c r="BR52" i="22746"/>
  <c r="BR33" i="22746"/>
  <c r="BR24" i="22746"/>
  <c r="BR36" i="22746"/>
  <c r="BR57" i="22746"/>
  <c r="BR26" i="22746"/>
  <c r="BR47" i="22746"/>
  <c r="BR20" i="22746"/>
  <c r="BR44" i="22746"/>
  <c r="BR37" i="22746"/>
  <c r="BR28" i="22746"/>
  <c r="BR59" i="22746"/>
  <c r="BR38" i="22746"/>
  <c r="BR76" i="22746"/>
  <c r="BR68" i="22746"/>
  <c r="BR72" i="22746"/>
  <c r="BR23" i="22746"/>
  <c r="BR50" i="22746"/>
  <c r="BR45" i="22746"/>
  <c r="BR51" i="22746"/>
  <c r="BR34" i="22746"/>
  <c r="BR29" i="22746"/>
  <c r="BR61" i="22746"/>
  <c r="BR46" i="22746"/>
  <c r="BQ80" i="22746"/>
  <c r="BR67" i="22746"/>
  <c r="BR40" i="22746"/>
  <c r="BQ78" i="22746"/>
  <c r="E32" i="22748"/>
  <c r="BR53" i="22746"/>
  <c r="BR70" i="22746"/>
  <c r="BR41" i="22746"/>
  <c r="BR73" i="22746"/>
  <c r="BR74" i="22746"/>
  <c r="F32" i="22714" l="1"/>
  <c r="G32" i="22714"/>
  <c r="C32" i="22714"/>
  <c r="BX79" i="3"/>
  <c r="BW73" i="3" s="1"/>
  <c r="BX73" i="3" s="1"/>
  <c r="F32" i="22748"/>
  <c r="G32" i="22748"/>
  <c r="BX79" i="22746"/>
  <c r="BW73" i="22746" s="1"/>
  <c r="BX73" i="22746" s="1"/>
  <c r="C32" i="22748"/>
  <c r="BX74" i="3" l="1"/>
  <c r="BX74" i="22746"/>
  <c r="BX75" i="3" l="1"/>
  <c r="BX75" i="22746"/>
  <c r="BX76" i="3" l="1"/>
  <c r="BY75" i="3" s="1"/>
  <c r="BX76" i="22746"/>
  <c r="BY75" i="22746" s="1"/>
  <c r="BY61" i="3" l="1"/>
  <c r="BY41" i="3"/>
  <c r="E33" i="22714"/>
  <c r="BY32" i="3"/>
  <c r="BY47" i="3"/>
  <c r="BY30" i="3"/>
  <c r="BY40" i="3"/>
  <c r="BY20" i="3"/>
  <c r="BY44" i="3"/>
  <c r="BY45" i="3"/>
  <c r="BY56" i="3"/>
  <c r="BY68" i="3"/>
  <c r="BY67" i="3"/>
  <c r="BY49" i="3"/>
  <c r="BY57" i="3"/>
  <c r="BY46" i="3"/>
  <c r="BX80" i="3"/>
  <c r="BY42" i="3"/>
  <c r="BY69" i="3"/>
  <c r="BY37" i="3"/>
  <c r="BY26" i="3"/>
  <c r="BY19" i="3"/>
  <c r="BY23" i="3"/>
  <c r="BY53" i="3"/>
  <c r="BY24" i="3"/>
  <c r="BY27" i="3"/>
  <c r="BY63" i="3"/>
  <c r="BY62" i="3"/>
  <c r="BY51" i="3"/>
  <c r="BY29" i="3"/>
  <c r="BY59" i="3"/>
  <c r="BY33" i="3"/>
  <c r="BY72" i="3"/>
  <c r="BY31" i="3"/>
  <c r="BY60" i="3"/>
  <c r="BY18" i="3"/>
  <c r="BY50" i="3"/>
  <c r="BY36" i="3"/>
  <c r="BY28" i="3"/>
  <c r="BX78" i="3"/>
  <c r="BY70" i="3"/>
  <c r="BY38" i="3"/>
  <c r="BY76" i="3"/>
  <c r="BY34" i="3"/>
  <c r="BY35" i="3"/>
  <c r="BY52" i="3"/>
  <c r="BY25" i="3"/>
  <c r="BY73" i="3"/>
  <c r="BY74" i="3"/>
  <c r="BY76" i="22746"/>
  <c r="BY40" i="22746"/>
  <c r="BY23" i="22746"/>
  <c r="BY57" i="22746"/>
  <c r="BY26" i="22746"/>
  <c r="BY47" i="22746"/>
  <c r="BY25" i="22746"/>
  <c r="BY52" i="22746"/>
  <c r="BY60" i="22746"/>
  <c r="BY19" i="22746"/>
  <c r="BY72" i="22746"/>
  <c r="BY24" i="22746"/>
  <c r="BY67" i="22746"/>
  <c r="BX80" i="22746"/>
  <c r="BY20" i="22746"/>
  <c r="BY37" i="22746"/>
  <c r="BY61" i="22746"/>
  <c r="BY38" i="22746"/>
  <c r="BY34" i="22746"/>
  <c r="BY35" i="22746"/>
  <c r="BY33" i="22746"/>
  <c r="BY29" i="22746"/>
  <c r="BY70" i="22746"/>
  <c r="E33" i="22748"/>
  <c r="BY36" i="22746"/>
  <c r="BY56" i="22746"/>
  <c r="BY69" i="22746"/>
  <c r="BY51" i="22746"/>
  <c r="BY18" i="22746"/>
  <c r="BY46" i="22746"/>
  <c r="BY49" i="22746"/>
  <c r="BY63" i="22746"/>
  <c r="BY45" i="22746"/>
  <c r="BY41" i="22746"/>
  <c r="BY62" i="22746"/>
  <c r="BY27" i="22746"/>
  <c r="BY50" i="22746"/>
  <c r="BY42" i="22746"/>
  <c r="BY53" i="22746"/>
  <c r="BY59" i="22746"/>
  <c r="BY44" i="22746"/>
  <c r="BY68" i="22746"/>
  <c r="BX78" i="22746"/>
  <c r="BY28" i="22746"/>
  <c r="BY73" i="22746"/>
  <c r="BY74" i="22746"/>
  <c r="CE79" i="3" l="1"/>
  <c r="CD73" i="3" s="1"/>
  <c r="CE73" i="3" s="1"/>
  <c r="C33" i="22714"/>
  <c r="F33" i="22714"/>
  <c r="G33" i="22714"/>
  <c r="G33" i="22748"/>
  <c r="F33" i="22748"/>
  <c r="CE79" i="22746"/>
  <c r="CD73" i="22746" s="1"/>
  <c r="CE73" i="22746" s="1"/>
  <c r="C33" i="22748"/>
  <c r="CE74" i="3" l="1"/>
  <c r="CE74" i="22746"/>
  <c r="CE75" i="3" l="1"/>
  <c r="CE75" i="22746"/>
  <c r="CE76" i="22746" s="1"/>
  <c r="CF74" i="22746" s="1"/>
  <c r="CE76" i="3" l="1"/>
  <c r="CF75" i="3" s="1"/>
  <c r="CF75" i="22746"/>
  <c r="CF50" i="22746"/>
  <c r="CF40" i="22746"/>
  <c r="CF63" i="22746"/>
  <c r="CF68" i="22746"/>
  <c r="CF47" i="22746"/>
  <c r="CF18" i="22746"/>
  <c r="CF46" i="22746"/>
  <c r="CF60" i="22746"/>
  <c r="CF42" i="22746"/>
  <c r="CF45" i="22746"/>
  <c r="CF28" i="22746"/>
  <c r="CF33" i="22746"/>
  <c r="CF36" i="22746"/>
  <c r="CF57" i="22746"/>
  <c r="CF23" i="22746"/>
  <c r="CF37" i="22746"/>
  <c r="CF53" i="22746"/>
  <c r="CF49" i="22746"/>
  <c r="CF56" i="22746"/>
  <c r="CF26" i="22746"/>
  <c r="CE78" i="22746"/>
  <c r="CF70" i="22746"/>
  <c r="CF62" i="22746"/>
  <c r="CF67" i="22746"/>
  <c r="CF76" i="22746"/>
  <c r="CF27" i="22746"/>
  <c r="CF34" i="22746"/>
  <c r="E34" i="22748"/>
  <c r="CF38" i="22746"/>
  <c r="CF72" i="22746"/>
  <c r="CF52" i="22746"/>
  <c r="CF20" i="22746"/>
  <c r="CF19" i="22746"/>
  <c r="CF41" i="22746"/>
  <c r="CF59" i="22746"/>
  <c r="CF25" i="22746"/>
  <c r="CF44" i="22746"/>
  <c r="CE80" i="22746"/>
  <c r="CF69" i="22746"/>
  <c r="CF51" i="22746"/>
  <c r="CF24" i="22746"/>
  <c r="CF61" i="22746"/>
  <c r="CF35" i="22746"/>
  <c r="CF29" i="22746"/>
  <c r="CF73" i="22746"/>
  <c r="CF33" i="3" l="1"/>
  <c r="CF34" i="3"/>
  <c r="CF23" i="3"/>
  <c r="CF25" i="3"/>
  <c r="CF62" i="3"/>
  <c r="CF20" i="3"/>
  <c r="CF51" i="3"/>
  <c r="CF44" i="3"/>
  <c r="CF72" i="3"/>
  <c r="E34" i="22714"/>
  <c r="CF19" i="3"/>
  <c r="CF50" i="3"/>
  <c r="CF49" i="3"/>
  <c r="CF67" i="3"/>
  <c r="CF45" i="3"/>
  <c r="CF59" i="3"/>
  <c r="CF18" i="3"/>
  <c r="CF28" i="3"/>
  <c r="CF53" i="3"/>
  <c r="CF63" i="3"/>
  <c r="CF29" i="3"/>
  <c r="CF46" i="3"/>
  <c r="CF70" i="3"/>
  <c r="CF60" i="3"/>
  <c r="CF41" i="3"/>
  <c r="CF69" i="3"/>
  <c r="CF38" i="3"/>
  <c r="CF52" i="3"/>
  <c r="CF76" i="3"/>
  <c r="CF56" i="3"/>
  <c r="CF37" i="3"/>
  <c r="CF26" i="3"/>
  <c r="CF68" i="3"/>
  <c r="CF47" i="3"/>
  <c r="CF61" i="3"/>
  <c r="CE78" i="3"/>
  <c r="CF27" i="3"/>
  <c r="CF24" i="3"/>
  <c r="CF40" i="3"/>
  <c r="CE80" i="3"/>
  <c r="CF57" i="3"/>
  <c r="CF35" i="3"/>
  <c r="CF42" i="3"/>
  <c r="CF36" i="3"/>
  <c r="CF73" i="3"/>
  <c r="CF74" i="3"/>
  <c r="G34" i="22748"/>
  <c r="F34" i="22748"/>
  <c r="C34" i="22748"/>
  <c r="CL79" i="22746"/>
  <c r="CK73" i="22746" s="1"/>
  <c r="CL73" i="22746" s="1"/>
  <c r="C34" i="22714" l="1"/>
  <c r="CL79" i="3"/>
  <c r="CK73" i="3" s="1"/>
  <c r="CL73" i="3" s="1"/>
  <c r="G34" i="22714"/>
  <c r="F34" i="22714"/>
  <c r="CL74" i="22746"/>
  <c r="CL74" i="3" l="1"/>
  <c r="CL75" i="22746"/>
  <c r="CL76" i="22746" s="1"/>
  <c r="CL75" i="3" l="1"/>
  <c r="CM75" i="22746"/>
  <c r="E35" i="22748"/>
  <c r="CM24" i="22746"/>
  <c r="CM44" i="22746"/>
  <c r="CM33" i="22746"/>
  <c r="CM23" i="22746"/>
  <c r="CM70" i="22746"/>
  <c r="CL80" i="22746"/>
  <c r="CM36" i="22746"/>
  <c r="CM35" i="22746"/>
  <c r="CM20" i="22746"/>
  <c r="CM49" i="22746"/>
  <c r="CM53" i="22746"/>
  <c r="CM40" i="22746"/>
  <c r="CM46" i="22746"/>
  <c r="CM61" i="22746"/>
  <c r="CM56" i="22746"/>
  <c r="CM42" i="22746"/>
  <c r="CM51" i="22746"/>
  <c r="CM76" i="22746"/>
  <c r="CM38" i="22746"/>
  <c r="CM68" i="22746"/>
  <c r="CM18" i="22746"/>
  <c r="CM28" i="22746"/>
  <c r="CM69" i="22746"/>
  <c r="CM26" i="22746"/>
  <c r="CM52" i="22746"/>
  <c r="CM62" i="22746"/>
  <c r="CM60" i="22746"/>
  <c r="CM47" i="22746"/>
  <c r="CM57" i="22746"/>
  <c r="CM63" i="22746"/>
  <c r="CM45" i="22746"/>
  <c r="CM37" i="22746"/>
  <c r="CM29" i="22746"/>
  <c r="CM59" i="22746"/>
  <c r="CM67" i="22746"/>
  <c r="CM72" i="22746"/>
  <c r="CM34" i="22746"/>
  <c r="CL78" i="22746"/>
  <c r="CM27" i="22746"/>
  <c r="CM19" i="22746"/>
  <c r="CM50" i="22746"/>
  <c r="CM25" i="22746"/>
  <c r="CM41" i="22746"/>
  <c r="CM73" i="22746"/>
  <c r="CM74" i="22746"/>
  <c r="CL76" i="3" l="1"/>
  <c r="CM75" i="3" s="1"/>
  <c r="CS79" i="22746"/>
  <c r="CR73" i="22746" s="1"/>
  <c r="CS73" i="22746" s="1"/>
  <c r="C35" i="22748"/>
  <c r="G35" i="22748"/>
  <c r="F35" i="22748"/>
  <c r="CM36" i="3" l="1"/>
  <c r="CM56" i="3"/>
  <c r="CM44" i="3"/>
  <c r="E35" i="22714"/>
  <c r="CM52" i="3"/>
  <c r="CM67" i="3"/>
  <c r="CM40" i="3"/>
  <c r="CM47" i="3"/>
  <c r="CM25" i="3"/>
  <c r="CM45" i="3"/>
  <c r="CM50" i="3"/>
  <c r="CM33" i="3"/>
  <c r="CM41" i="3"/>
  <c r="CM57" i="3"/>
  <c r="CM19" i="3"/>
  <c r="CM26" i="3"/>
  <c r="CM28" i="3"/>
  <c r="CM37" i="3"/>
  <c r="CM24" i="3"/>
  <c r="CM68" i="3"/>
  <c r="CM34" i="3"/>
  <c r="CM70" i="3"/>
  <c r="CM72" i="3"/>
  <c r="CL78" i="3"/>
  <c r="CM60" i="3"/>
  <c r="CM23" i="3"/>
  <c r="CM62" i="3"/>
  <c r="CM59" i="3"/>
  <c r="CM63" i="3"/>
  <c r="CM53" i="3"/>
  <c r="CM35" i="3"/>
  <c r="CM51" i="3"/>
  <c r="CM42" i="3"/>
  <c r="CM20" i="3"/>
  <c r="CL80" i="3"/>
  <c r="CM61" i="3"/>
  <c r="CM49" i="3"/>
  <c r="CM46" i="3"/>
  <c r="CM27" i="3"/>
  <c r="CM76" i="3"/>
  <c r="CM38" i="3"/>
  <c r="CM29" i="3"/>
  <c r="CM18" i="3"/>
  <c r="CM69" i="3"/>
  <c r="CM73" i="3"/>
  <c r="CM74" i="3"/>
  <c r="CS74" i="22746"/>
  <c r="G35" i="22714" l="1"/>
  <c r="F35" i="22714"/>
  <c r="C35" i="22714"/>
  <c r="CS79" i="3"/>
  <c r="CR73" i="3" s="1"/>
  <c r="CS73" i="3" s="1"/>
  <c r="CS75" i="22746"/>
  <c r="CS76" i="22746" s="1"/>
  <c r="CS74" i="3" l="1"/>
  <c r="CT75" i="22746"/>
  <c r="CT59" i="22746"/>
  <c r="CT24" i="22746"/>
  <c r="CT45" i="22746"/>
  <c r="CT18" i="22746"/>
  <c r="CT25" i="22746"/>
  <c r="CT51" i="22746"/>
  <c r="CT42" i="22746"/>
  <c r="CT62" i="22746"/>
  <c r="CT50" i="22746"/>
  <c r="CT26" i="22746"/>
  <c r="CT28" i="22746"/>
  <c r="CT27" i="22746"/>
  <c r="CT69" i="22746"/>
  <c r="CT47" i="22746"/>
  <c r="CT36" i="22746"/>
  <c r="CT52" i="22746"/>
  <c r="CT20" i="22746"/>
  <c r="CT53" i="22746"/>
  <c r="CT46" i="22746"/>
  <c r="CT60" i="22746"/>
  <c r="CT57" i="22746"/>
  <c r="CT38" i="22746"/>
  <c r="CT76" i="22746"/>
  <c r="CT68" i="22746"/>
  <c r="CT35" i="22746"/>
  <c r="CT33" i="22746"/>
  <c r="CT23" i="22746"/>
  <c r="CT67" i="22746"/>
  <c r="CT19" i="22746"/>
  <c r="CT56" i="22746"/>
  <c r="CT61" i="22746"/>
  <c r="CT49" i="22746"/>
  <c r="CT34" i="22746"/>
  <c r="CS80" i="22746"/>
  <c r="CT41" i="22746"/>
  <c r="CT40" i="22746"/>
  <c r="CT70" i="22746"/>
  <c r="E36" i="22748"/>
  <c r="CT44" i="22746"/>
  <c r="CT63" i="22746"/>
  <c r="CS78" i="22746"/>
  <c r="CT72" i="22746"/>
  <c r="CT37" i="22746"/>
  <c r="CT29" i="22746"/>
  <c r="CT73" i="22746"/>
  <c r="CT74" i="22746"/>
  <c r="CS75" i="3" l="1"/>
  <c r="CS76" i="3" s="1"/>
  <c r="CT74" i="3" s="1"/>
  <c r="CZ79" i="22746"/>
  <c r="CY73" i="22746" s="1"/>
  <c r="CZ73" i="22746" s="1"/>
  <c r="CZ74" i="22746" s="1"/>
  <c r="CZ75" i="22746" s="1"/>
  <c r="CZ76" i="22746" s="1"/>
  <c r="DA33" i="22746" s="1"/>
  <c r="C36" i="22748"/>
  <c r="F36" i="22748"/>
  <c r="G36" i="22748"/>
  <c r="CT75" i="3" l="1"/>
  <c r="CT44" i="3"/>
  <c r="CT70" i="3"/>
  <c r="CT51" i="3"/>
  <c r="CT37" i="3"/>
  <c r="CT63" i="3"/>
  <c r="CT20" i="3"/>
  <c r="CT33" i="3"/>
  <c r="CT25" i="3"/>
  <c r="CT61" i="3"/>
  <c r="CS80" i="3"/>
  <c r="CT49" i="3"/>
  <c r="CT38" i="3"/>
  <c r="CT53" i="3"/>
  <c r="CT34" i="3"/>
  <c r="CT62" i="3"/>
  <c r="CT76" i="3"/>
  <c r="CS78" i="3"/>
  <c r="CT35" i="3"/>
  <c r="CT50" i="3"/>
  <c r="CT40" i="3"/>
  <c r="CT59" i="3"/>
  <c r="E36" i="22714"/>
  <c r="CT27" i="3"/>
  <c r="CT24" i="3"/>
  <c r="CT69" i="3"/>
  <c r="CT18" i="3"/>
  <c r="CT36" i="3"/>
  <c r="CT56" i="3"/>
  <c r="CT23" i="3"/>
  <c r="CT68" i="3"/>
  <c r="CT52" i="3"/>
  <c r="CT41" i="3"/>
  <c r="CT47" i="3"/>
  <c r="CT19" i="3"/>
  <c r="CT57" i="3"/>
  <c r="CT60" i="3"/>
  <c r="CT67" i="3"/>
  <c r="CT26" i="3"/>
  <c r="CT45" i="3"/>
  <c r="CT42" i="3"/>
  <c r="CT28" i="3"/>
  <c r="CT29" i="3"/>
  <c r="CT72" i="3"/>
  <c r="CT46" i="3"/>
  <c r="CT73" i="3"/>
  <c r="DA28" i="22746"/>
  <c r="DA70" i="22746"/>
  <c r="DA74" i="22746"/>
  <c r="DA59" i="22746"/>
  <c r="DA76" i="22746"/>
  <c r="DA62" i="22746"/>
  <c r="DA34" i="22746"/>
  <c r="DA67" i="22746"/>
  <c r="DA56" i="22746"/>
  <c r="DA24" i="22746"/>
  <c r="DA60" i="22746"/>
  <c r="DA69" i="22746"/>
  <c r="DA73" i="22746"/>
  <c r="DA51" i="22746"/>
  <c r="CZ78" i="22746"/>
  <c r="DA50" i="22746"/>
  <c r="DA23" i="22746"/>
  <c r="DA40" i="22746"/>
  <c r="DA27" i="22746"/>
  <c r="CZ80" i="22746"/>
  <c r="C37" i="22748" s="1"/>
  <c r="C40" i="22748" s="1"/>
  <c r="J71" i="22715" s="1"/>
  <c r="DA38" i="22746"/>
  <c r="DA42" i="22746"/>
  <c r="DA68" i="22746"/>
  <c r="DA63" i="22746"/>
  <c r="DA41" i="22746"/>
  <c r="DA35" i="22746"/>
  <c r="DA52" i="22746"/>
  <c r="DA44" i="22746"/>
  <c r="E37" i="22748"/>
  <c r="G37" i="22748" s="1"/>
  <c r="DA49" i="22746"/>
  <c r="DA25" i="22746"/>
  <c r="DA47" i="22746"/>
  <c r="DA37" i="22746"/>
  <c r="DA72" i="22746"/>
  <c r="DA26" i="22746"/>
  <c r="DA61" i="22746"/>
  <c r="DA75" i="22746"/>
  <c r="DA29" i="22746"/>
  <c r="DA53" i="22746"/>
  <c r="DA19" i="22746"/>
  <c r="DA36" i="22746"/>
  <c r="DA57" i="22746"/>
  <c r="DA46" i="22746"/>
  <c r="DA20" i="22746"/>
  <c r="DA45" i="22746"/>
  <c r="DA18" i="22746"/>
  <c r="C36" i="22714" l="1"/>
  <c r="CZ79" i="3"/>
  <c r="CY73" i="3" s="1"/>
  <c r="CZ73" i="3" s="1"/>
  <c r="G36" i="22714"/>
  <c r="F36" i="22714"/>
  <c r="F37" i="22748"/>
  <c r="CZ74" i="3" l="1"/>
  <c r="CZ75" i="3" l="1"/>
  <c r="CZ76" i="3" l="1"/>
  <c r="DA75" i="3" s="1"/>
  <c r="DA20" i="3" l="1"/>
  <c r="DA72" i="3"/>
  <c r="DA67" i="3"/>
  <c r="DA24" i="3"/>
  <c r="DA76" i="3"/>
  <c r="DA29" i="3"/>
  <c r="DA36" i="3"/>
  <c r="DA70" i="3"/>
  <c r="DA59" i="3"/>
  <c r="DA46" i="3"/>
  <c r="DA37" i="3"/>
  <c r="DA47" i="3"/>
  <c r="DA28" i="3"/>
  <c r="DA62" i="3"/>
  <c r="DA63" i="3"/>
  <c r="DA41" i="3"/>
  <c r="DA19" i="3"/>
  <c r="DA42" i="3"/>
  <c r="DA44" i="3"/>
  <c r="DA60" i="3"/>
  <c r="DA57" i="3"/>
  <c r="CZ78" i="3"/>
  <c r="DA18" i="3"/>
  <c r="DA61" i="3"/>
  <c r="DA27" i="3"/>
  <c r="DA51" i="3"/>
  <c r="DA26" i="3"/>
  <c r="DA56" i="3"/>
  <c r="DA23" i="3"/>
  <c r="DA68" i="3"/>
  <c r="CZ80" i="3"/>
  <c r="C37" i="22714" s="1"/>
  <c r="C40" i="22714" s="1"/>
  <c r="H71" i="22715" s="1"/>
  <c r="I71" i="22715" s="1"/>
  <c r="DA33" i="3"/>
  <c r="DA53" i="3"/>
  <c r="DA40" i="3"/>
  <c r="DA35" i="3"/>
  <c r="DA25" i="3"/>
  <c r="DA50" i="3"/>
  <c r="DA45" i="3"/>
  <c r="DA49" i="3"/>
  <c r="E37" i="22714"/>
  <c r="DA69" i="3"/>
  <c r="DA52" i="3"/>
  <c r="DA34" i="3"/>
  <c r="DA38" i="3"/>
  <c r="DA73" i="3"/>
  <c r="DA74" i="3"/>
  <c r="F37" i="22714" l="1"/>
  <c r="G37" i="22714"/>
</calcChain>
</file>

<file path=xl/comments1.xml><?xml version="1.0" encoding="utf-8"?>
<comments xmlns="http://schemas.openxmlformats.org/spreadsheetml/2006/main">
  <authors>
    <author>zue</author>
  </authors>
  <commentList>
    <comment ref="B7" authorId="0" shapeId="0">
      <text>
        <r>
          <rPr>
            <b/>
            <sz val="10"/>
            <color indexed="81"/>
            <rFont val="Tahoma"/>
          </rPr>
          <t>zue:</t>
        </r>
        <r>
          <rPr>
            <sz val="10"/>
            <color indexed="81"/>
            <rFont val="Tahoma"/>
          </rPr>
          <t xml:space="preserve">
entspricht den berechneten  PK Kl.I aus einem 6-jährigen Datensatz der FAW Erhebungsbetriebe</t>
        </r>
      </text>
    </comment>
    <comment ref="B22" authorId="0" shapeId="0">
      <text>
        <r>
          <rPr>
            <b/>
            <sz val="10"/>
            <color indexed="81"/>
            <rFont val="Tahoma"/>
          </rPr>
          <t>zue:</t>
        </r>
        <r>
          <rPr>
            <sz val="10"/>
            <color indexed="81"/>
            <rFont val="Tahoma"/>
          </rPr>
          <t xml:space="preserve">
Moyenne sur 10 ans pour Golden, Source: OFAG</t>
        </r>
      </text>
    </comment>
    <comment ref="G50" authorId="0" shapeId="0">
      <text>
        <r>
          <rPr>
            <b/>
            <sz val="10"/>
            <color indexed="81"/>
            <rFont val="Tahoma"/>
          </rPr>
          <t>zue:</t>
        </r>
        <r>
          <rPr>
            <sz val="10"/>
            <color indexed="81"/>
            <rFont val="Tahoma"/>
          </rPr>
          <t xml:space="preserve">
Le rendement devrait couvrir le minimum de l'entreprise</t>
        </r>
      </text>
    </comment>
    <comment ref="G63" authorId="0" shapeId="0">
      <text>
        <r>
          <rPr>
            <b/>
            <sz val="10"/>
            <color indexed="81"/>
            <rFont val="Tahoma"/>
          </rPr>
          <t>zue:</t>
        </r>
        <r>
          <rPr>
            <sz val="10"/>
            <color indexed="81"/>
            <rFont val="Tahoma"/>
          </rPr>
          <t xml:space="preserve">
Le Cash Flow devrait couvrir les amortissements</t>
        </r>
      </text>
    </comment>
  </commentList>
</comments>
</file>

<file path=xl/comments10.xml><?xml version="1.0" encoding="utf-8"?>
<comments xmlns="http://schemas.openxmlformats.org/spreadsheetml/2006/main">
  <authors>
    <author>FAW</author>
    <author>Liebegg</author>
  </authors>
  <commentList>
    <comment ref="A9" authorId="0" shapeId="0">
      <text>
        <r>
          <rPr>
            <sz val="10"/>
            <color indexed="81"/>
            <rFont val="Tahoma"/>
            <family val="2"/>
          </rPr>
          <t>Sans l'ordinateur de commande d'arrosage, les coûts de l'installation d'arrosage à l'intérieur de la parcelle (sans la longueur de l'installation jusqu'à la parcelle car très variable)</t>
        </r>
        <r>
          <rPr>
            <sz val="8"/>
            <color indexed="81"/>
            <rFont val="Tahoma"/>
          </rPr>
          <t xml:space="preserve">
</t>
        </r>
      </text>
    </comment>
    <comment ref="B40" authorId="1" shapeId="0">
      <text>
        <r>
          <rPr>
            <b/>
            <sz val="8"/>
            <color indexed="81"/>
            <rFont val="Tahoma"/>
          </rPr>
          <t>ACW:</t>
        </r>
        <r>
          <rPr>
            <sz val="8"/>
            <color indexed="81"/>
            <rFont val="Tahoma"/>
          </rPr>
          <t xml:space="preserve">
Anbohrschellen 50mmx3/4 21 Stck. à 4.80, Aufschraubnippel 3/4 x 20 mm 22 Stck. à 1.5, Tropfschlauchenden 22 à 70 Rp. (Quelle Anbauempehlung für die Obstregion NO-CH 2007)
</t>
        </r>
      </text>
    </comment>
    <comment ref="B43" authorId="1" shapeId="0">
      <text>
        <r>
          <rPr>
            <b/>
            <sz val="8"/>
            <color indexed="81"/>
            <rFont val="Tahoma"/>
          </rPr>
          <t>ACW:</t>
        </r>
        <r>
          <rPr>
            <sz val="8"/>
            <color indexed="81"/>
            <rFont val="Tahoma"/>
          </rPr>
          <t xml:space="preserve">
Tropfschlauch Anschluss an Sektorenleitung 21 x 1 m 20mmà 1.-- (Quelle: Anbauempfehlung für die Obstregion NO-CH 2007)</t>
        </r>
      </text>
    </comment>
    <comment ref="B45" authorId="1" shapeId="0">
      <text>
        <r>
          <rPr>
            <b/>
            <sz val="8"/>
            <color indexed="81"/>
            <rFont val="Tahoma"/>
          </rPr>
          <t>ACW:</t>
        </r>
        <r>
          <rPr>
            <sz val="8"/>
            <color indexed="81"/>
            <rFont val="Tahoma"/>
          </rPr>
          <t xml:space="preserve">
Sektorenleitung Zuleitung Kultur (Quelle Anbauempfehlung für die Obstregion NO-CH 2007)
Für Hauptlietung PE 63mm PN 12.5 bzw. PE ND 8 63 mm à 6.--</t>
        </r>
      </text>
    </comment>
    <comment ref="B48" authorId="1" shapeId="0">
      <text>
        <r>
          <rPr>
            <b/>
            <sz val="8"/>
            <color indexed="81"/>
            <rFont val="Tahoma"/>
          </rPr>
          <t>ACW:</t>
        </r>
        <r>
          <rPr>
            <sz val="8"/>
            <color indexed="81"/>
            <rFont val="Tahoma"/>
          </rPr>
          <t xml:space="preserve">
Tropfschlauch Anschluss an Sektorenleitung 21 x 1 m 20mmà 1.-- (Quelle: Anbauempfehlung für die Obstregion NO-CH 2007)</t>
        </r>
      </text>
    </comment>
    <comment ref="B56" authorId="1" shapeId="0">
      <text>
        <r>
          <rPr>
            <b/>
            <sz val="8"/>
            <color indexed="81"/>
            <rFont val="Tahoma"/>
          </rPr>
          <t>ACW:</t>
        </r>
        <r>
          <rPr>
            <sz val="8"/>
            <color indexed="81"/>
            <rFont val="Tahoma"/>
          </rPr>
          <t xml:space="preserve">
Tropfschlauch Anschluss an Sektorenleitung 21 x 1 m 20mmà 1.-- (Quelle: Anbauempfehlung für die Obstregion NO-CH 2007)</t>
        </r>
      </text>
    </comment>
    <comment ref="F58" authorId="1" shapeId="0">
      <text>
        <r>
          <rPr>
            <b/>
            <sz val="8"/>
            <color indexed="81"/>
            <rFont val="Tahoma"/>
          </rPr>
          <t>Liebegg:</t>
        </r>
        <r>
          <rPr>
            <sz val="8"/>
            <color indexed="81"/>
            <rFont val="Tahoma"/>
          </rPr>
          <t xml:space="preserve">
Dosatron D8R</t>
        </r>
      </text>
    </comment>
    <comment ref="A60" authorId="0" shapeId="0">
      <text>
        <r>
          <rPr>
            <b/>
            <sz val="8"/>
            <color indexed="81"/>
            <rFont val="Tahoma"/>
          </rPr>
          <t>FAW:</t>
        </r>
        <r>
          <rPr>
            <sz val="8"/>
            <color indexed="81"/>
            <rFont val="Tahoma"/>
          </rPr>
          <t xml:space="preserve">
Inkl. Mehrwertsteuer</t>
        </r>
      </text>
    </comment>
    <comment ref="D96" authorId="1" shapeId="0">
      <text>
        <r>
          <rPr>
            <b/>
            <sz val="8"/>
            <color indexed="81"/>
            <rFont val="Tahoma"/>
          </rPr>
          <t>Liebegg:</t>
        </r>
        <r>
          <rPr>
            <sz val="8"/>
            <color indexed="81"/>
            <rFont val="Tahoma"/>
          </rPr>
          <t xml:space="preserve">
1 Sprinkler pro Baum</t>
        </r>
      </text>
    </comment>
    <comment ref="B97" authorId="1" shapeId="0">
      <text>
        <r>
          <rPr>
            <b/>
            <sz val="8"/>
            <color indexed="81"/>
            <rFont val="Tahoma"/>
          </rPr>
          <t>ACW:</t>
        </r>
        <r>
          <rPr>
            <sz val="8"/>
            <color indexed="81"/>
            <rFont val="Tahoma"/>
          </rPr>
          <t xml:space="preserve">
Anbohrschellen 50mmx3/4 21 Stck. à 4.80, Aufschraubnippel 3/4 x 20 mm 22 Stck. à 1.5, Tropfschlauchenden 22 à 70 Rp. (Quelle Anbauempehlung für die Obstregion NO-CH 2007)
</t>
        </r>
      </text>
    </comment>
    <comment ref="B99" authorId="1" shapeId="0">
      <text>
        <r>
          <rPr>
            <b/>
            <sz val="8"/>
            <color indexed="81"/>
            <rFont val="Tahoma"/>
          </rPr>
          <t>Liebegg:</t>
        </r>
        <r>
          <rPr>
            <sz val="8"/>
            <color indexed="81"/>
            <rFont val="Tahoma"/>
          </rPr>
          <t xml:space="preserve">
Schlauchaufhänger Blitzbinder 7 cm, kg à 490 Stck, 4 kg à 38.-</t>
        </r>
      </text>
    </comment>
    <comment ref="B100" authorId="1" shapeId="0">
      <text>
        <r>
          <rPr>
            <b/>
            <sz val="8"/>
            <color indexed="81"/>
            <rFont val="Tahoma"/>
          </rPr>
          <t>ACW:</t>
        </r>
        <r>
          <rPr>
            <sz val="8"/>
            <color indexed="81"/>
            <rFont val="Tahoma"/>
          </rPr>
          <t xml:space="preserve">
Tropfschlauch Anschluss an Sektorenleitung 21 x 1 m 20mmà 1.-- (Quelle: Anbauempfehlung für die Obstregion NO-CH 2007)</t>
        </r>
      </text>
    </comment>
    <comment ref="B102" authorId="1" shapeId="0">
      <text>
        <r>
          <rPr>
            <b/>
            <sz val="8"/>
            <color indexed="81"/>
            <rFont val="Tahoma"/>
          </rPr>
          <t>Liebegg:</t>
        </r>
        <r>
          <rPr>
            <sz val="8"/>
            <color indexed="81"/>
            <rFont val="Tahoma"/>
          </rPr>
          <t xml:space="preserve">
Sektorenleitung Zuleitung Kultur
Für Hauptlietung PE 63mm PN 12.5 bzw. PE ND 8 63 mm à 6.--</t>
        </r>
      </text>
    </comment>
    <comment ref="B105" authorId="1" shapeId="0">
      <text>
        <r>
          <rPr>
            <b/>
            <sz val="8"/>
            <color indexed="81"/>
            <rFont val="Tahoma"/>
          </rPr>
          <t>ACW:</t>
        </r>
        <r>
          <rPr>
            <sz val="8"/>
            <color indexed="81"/>
            <rFont val="Tahoma"/>
          </rPr>
          <t xml:space="preserve">
Tropfschlauch Anschluss an Sektorenleitung 21 x 1 m 20mmà 1.-- (Quelle: Anbauempfehlung für die Obstregion NO-CH 2007)</t>
        </r>
      </text>
    </comment>
    <comment ref="B111" authorId="1" shapeId="0">
      <text>
        <r>
          <rPr>
            <b/>
            <sz val="8"/>
            <color indexed="81"/>
            <rFont val="Tahoma"/>
          </rPr>
          <t>Liebegg:</t>
        </r>
        <r>
          <rPr>
            <sz val="8"/>
            <color indexed="81"/>
            <rFont val="Tahoma"/>
          </rPr>
          <t xml:space="preserve">
Bermet AC 24 Volt 1.5"</t>
        </r>
      </text>
    </comment>
    <comment ref="B112" authorId="1" shapeId="0">
      <text>
        <r>
          <rPr>
            <b/>
            <sz val="8"/>
            <color indexed="81"/>
            <rFont val="Tahoma"/>
          </rPr>
          <t>Liebegg:</t>
        </r>
        <r>
          <rPr>
            <sz val="8"/>
            <color indexed="81"/>
            <rFont val="Tahoma"/>
          </rPr>
          <t xml:space="preserve">
Miracle Netz 220 V 6 Stationen inkl. Abdeckung Wasserdicht</t>
        </r>
      </text>
    </comment>
    <comment ref="B113" authorId="1" shapeId="0">
      <text>
        <r>
          <rPr>
            <b/>
            <sz val="8"/>
            <color indexed="81"/>
            <rFont val="Tahoma"/>
          </rPr>
          <t>Liebegg:</t>
        </r>
        <r>
          <rPr>
            <sz val="8"/>
            <color indexed="81"/>
            <rFont val="Tahoma"/>
          </rPr>
          <t xml:space="preserve">
Druckmanometer</t>
        </r>
      </text>
    </comment>
    <comment ref="F115" authorId="1" shapeId="0">
      <text>
        <r>
          <rPr>
            <b/>
            <sz val="8"/>
            <color indexed="81"/>
            <rFont val="Tahoma"/>
          </rPr>
          <t>Liebegg:</t>
        </r>
        <r>
          <rPr>
            <sz val="8"/>
            <color indexed="81"/>
            <rFont val="Tahoma"/>
          </rPr>
          <t xml:space="preserve">
Dosatron D8R</t>
        </r>
      </text>
    </comment>
    <comment ref="A144" authorId="1" shapeId="0">
      <text>
        <r>
          <rPr>
            <b/>
            <sz val="8"/>
            <color indexed="81"/>
            <rFont val="Tahoma"/>
          </rPr>
          <t>Liebegg:</t>
        </r>
        <r>
          <rPr>
            <sz val="8"/>
            <color indexed="81"/>
            <rFont val="Tahoma"/>
          </rPr>
          <t xml:space="preserve">
Für Hauptlietung PE 63mm PN 12.5 bzw. PE ND 8 63 mm à 6.--</t>
        </r>
      </text>
    </comment>
  </commentList>
</comments>
</file>

<file path=xl/comments11.xml><?xml version="1.0" encoding="utf-8"?>
<comments xmlns="http://schemas.openxmlformats.org/spreadsheetml/2006/main">
  <authors>
    <author>FAW</author>
    <author>P. Mouron</author>
  </authors>
  <commentList>
    <comment ref="C58" authorId="0" shapeId="0">
      <text>
        <r>
          <rPr>
            <b/>
            <sz val="10"/>
            <color indexed="81"/>
            <rFont val="Tahoma"/>
            <family val="2"/>
          </rPr>
          <t>FAW:</t>
        </r>
        <r>
          <rPr>
            <sz val="10"/>
            <color indexed="81"/>
            <rFont val="Tahoma"/>
            <family val="2"/>
          </rPr>
          <t xml:space="preserve">
Les pertes de temps comprennent 10%  de l'MOh ou Th listées</t>
        </r>
      </text>
    </comment>
    <comment ref="C79" authorId="1" shapeId="0">
      <text>
        <r>
          <rPr>
            <sz val="10"/>
            <color indexed="81"/>
            <rFont val="Tahoma"/>
            <family val="2"/>
          </rPr>
          <t>zue:
Généralement calculé avec 10% des heures totales.</t>
        </r>
      </text>
    </comment>
    <comment ref="C88" authorId="0" shapeId="0">
      <text>
        <r>
          <rPr>
            <sz val="10"/>
            <color indexed="81"/>
            <rFont val="Tahoma"/>
            <family val="2"/>
          </rPr>
          <t>Surface de la clôture moins les portes de chacune 6 m</t>
        </r>
      </text>
    </comment>
    <comment ref="B89" authorId="0" shapeId="0">
      <text>
        <r>
          <rPr>
            <sz val="9"/>
            <color indexed="81"/>
            <rFont val="Tahoma"/>
            <family val="2"/>
          </rPr>
          <t>200 cm de long, dimensions: 7x7 cm ; fixé seulement en haut</t>
        </r>
      </text>
    </comment>
    <comment ref="C89" authorId="0" shapeId="0">
      <text>
        <r>
          <rPr>
            <sz val="9"/>
            <color indexed="81"/>
            <rFont val="Tahoma"/>
            <family val="2"/>
          </rPr>
          <t>Chaque 5e pieu est plus rigide, i.e. sur 100 pieux 20 sont plus rigides</t>
        </r>
      </text>
    </comment>
    <comment ref="B90" authorId="0" shapeId="0">
      <text>
        <r>
          <rPr>
            <sz val="9"/>
            <color indexed="81"/>
            <rFont val="Tahoma"/>
            <family val="2"/>
          </rPr>
          <t>225 cm de long, dimensions: 8x8 cm ; fixé seulement en haut</t>
        </r>
      </text>
    </comment>
    <comment ref="B91" authorId="0" shapeId="0">
      <text>
        <r>
          <rPr>
            <sz val="9"/>
            <color indexed="81"/>
            <rFont val="Tahoma"/>
            <family val="2"/>
          </rPr>
          <t>225 cm de long; dimensions 8x10cm fixé seulement en haut; utilisé pour le renforcement des portes</t>
        </r>
      </text>
    </comment>
    <comment ref="C151" authorId="0" shapeId="0">
      <text>
        <r>
          <rPr>
            <b/>
            <sz val="8"/>
            <color indexed="81"/>
            <rFont val="Tahoma"/>
          </rPr>
          <t>FAW:</t>
        </r>
        <r>
          <rPr>
            <sz val="8"/>
            <color indexed="81"/>
            <rFont val="Tahoma"/>
          </rPr>
          <t xml:space="preserve">
Hagelversicherung ja=1, Hagelversicherung nein = 0
</t>
        </r>
      </text>
    </comment>
    <comment ref="C152" authorId="0" shapeId="0">
      <text>
        <r>
          <rPr>
            <b/>
            <sz val="8"/>
            <color indexed="81"/>
            <rFont val="Tahoma"/>
          </rPr>
          <t>FAW:</t>
        </r>
        <r>
          <rPr>
            <sz val="8"/>
            <color indexed="81"/>
            <rFont val="Tahoma"/>
          </rPr>
          <t xml:space="preserve">
Hagelnetz ja=1, Hagenletz nein=o
</t>
        </r>
      </text>
    </comment>
    <comment ref="C155" authorId="0" shapeId="0">
      <text>
        <r>
          <rPr>
            <b/>
            <sz val="8"/>
            <color indexed="81"/>
            <rFont val="Tahoma"/>
          </rPr>
          <t>FAW:</t>
        </r>
        <r>
          <rPr>
            <sz val="8"/>
            <color indexed="81"/>
            <rFont val="Tahoma"/>
          </rPr>
          <t xml:space="preserve">
Summe von  Zellen 32/133/134 C um zelle C 131 zu definieren.</t>
        </r>
      </text>
    </comment>
  </commentList>
</comments>
</file>

<file path=xl/comments12.xml><?xml version="1.0" encoding="utf-8"?>
<comments xmlns="http://schemas.openxmlformats.org/spreadsheetml/2006/main">
  <authors>
    <author>FAW</author>
    <author>P. Mouron</author>
    <author>zue</author>
  </authors>
  <commentList>
    <comment ref="F5" authorId="0" shapeId="0">
      <text>
        <r>
          <rPr>
            <sz val="9"/>
            <color indexed="81"/>
            <rFont val="Tahoma"/>
            <family val="2"/>
          </rPr>
          <t>Cette page est protégée en écriture. La protection peut être levée avec le mot de passe "Arbokost"</t>
        </r>
      </text>
    </comment>
    <comment ref="E43" authorId="1" shapeId="0">
      <text>
        <r>
          <rPr>
            <b/>
            <sz val="10"/>
            <color indexed="81"/>
            <rFont val="Tahoma"/>
            <family val="2"/>
          </rPr>
          <t>P. Mouron:</t>
        </r>
        <r>
          <rPr>
            <sz val="10"/>
            <color indexed="81"/>
            <rFont val="Tahoma"/>
            <family val="2"/>
          </rPr>
          <t xml:space="preserve">
Données FAT pour la location moins 10 %</t>
        </r>
      </text>
    </comment>
    <comment ref="L43" authorId="1" shapeId="0">
      <text>
        <r>
          <rPr>
            <b/>
            <sz val="10"/>
            <color indexed="81"/>
            <rFont val="Tahoma"/>
            <family val="2"/>
          </rPr>
          <t>P. Mouron:</t>
        </r>
        <r>
          <rPr>
            <sz val="10"/>
            <color indexed="81"/>
            <rFont val="Tahoma"/>
            <family val="2"/>
          </rPr>
          <t xml:space="preserve">
Données FAT pour la location moins 10 %</t>
        </r>
      </text>
    </comment>
    <comment ref="S43" authorId="1" shapeId="0">
      <text>
        <r>
          <rPr>
            <b/>
            <sz val="10"/>
            <color indexed="81"/>
            <rFont val="Tahoma"/>
            <family val="2"/>
          </rPr>
          <t>P. Mouron:</t>
        </r>
        <r>
          <rPr>
            <sz val="10"/>
            <color indexed="81"/>
            <rFont val="Tahoma"/>
            <family val="2"/>
          </rPr>
          <t xml:space="preserve">
Données FAT pour la location moins 10 %</t>
        </r>
      </text>
    </comment>
    <comment ref="Z43" authorId="1" shapeId="0">
      <text>
        <r>
          <rPr>
            <b/>
            <sz val="10"/>
            <color indexed="81"/>
            <rFont val="Tahoma"/>
            <family val="2"/>
          </rPr>
          <t>P. Mouron:</t>
        </r>
        <r>
          <rPr>
            <sz val="10"/>
            <color indexed="81"/>
            <rFont val="Tahoma"/>
            <family val="2"/>
          </rPr>
          <t xml:space="preserve">
Données FAT pour la location moins 10 %</t>
        </r>
      </text>
    </comment>
    <comment ref="AG43" authorId="1" shapeId="0">
      <text>
        <r>
          <rPr>
            <b/>
            <sz val="10"/>
            <color indexed="81"/>
            <rFont val="Tahoma"/>
            <family val="2"/>
          </rPr>
          <t>P. Mouron:</t>
        </r>
        <r>
          <rPr>
            <sz val="10"/>
            <color indexed="81"/>
            <rFont val="Tahoma"/>
            <family val="2"/>
          </rPr>
          <t xml:space="preserve">
Données FAT pour la location moins 10 %</t>
        </r>
      </text>
    </comment>
    <comment ref="AN43" authorId="1" shapeId="0">
      <text>
        <r>
          <rPr>
            <b/>
            <sz val="10"/>
            <color indexed="81"/>
            <rFont val="Tahoma"/>
            <family val="2"/>
          </rPr>
          <t>P. Mouron:</t>
        </r>
        <r>
          <rPr>
            <sz val="10"/>
            <color indexed="81"/>
            <rFont val="Tahoma"/>
            <family val="2"/>
          </rPr>
          <t xml:space="preserve">
Données FAT pour la location moins 10 %</t>
        </r>
      </text>
    </comment>
    <comment ref="AU43" authorId="1" shapeId="0">
      <text>
        <r>
          <rPr>
            <b/>
            <sz val="10"/>
            <color indexed="81"/>
            <rFont val="Tahoma"/>
            <family val="2"/>
          </rPr>
          <t>P. Mouron:</t>
        </r>
        <r>
          <rPr>
            <sz val="10"/>
            <color indexed="81"/>
            <rFont val="Tahoma"/>
            <family val="2"/>
          </rPr>
          <t xml:space="preserve">
Données FAT pour la location moins 10 %</t>
        </r>
      </text>
    </comment>
    <comment ref="BB43" authorId="1" shapeId="0">
      <text>
        <r>
          <rPr>
            <b/>
            <sz val="10"/>
            <color indexed="81"/>
            <rFont val="Tahoma"/>
            <family val="2"/>
          </rPr>
          <t>P. Mouron:</t>
        </r>
        <r>
          <rPr>
            <sz val="10"/>
            <color indexed="81"/>
            <rFont val="Tahoma"/>
            <family val="2"/>
          </rPr>
          <t xml:space="preserve">
Données FAT pour la location moins 10 %</t>
        </r>
      </text>
    </comment>
    <comment ref="BI43" authorId="1" shapeId="0">
      <text>
        <r>
          <rPr>
            <b/>
            <sz val="10"/>
            <color indexed="81"/>
            <rFont val="Tahoma"/>
            <family val="2"/>
          </rPr>
          <t>P. Mouron:</t>
        </r>
        <r>
          <rPr>
            <sz val="10"/>
            <color indexed="81"/>
            <rFont val="Tahoma"/>
            <family val="2"/>
          </rPr>
          <t xml:space="preserve">
Données FAT pour la location moins 10 %</t>
        </r>
      </text>
    </comment>
    <comment ref="BP43" authorId="1" shapeId="0">
      <text>
        <r>
          <rPr>
            <b/>
            <sz val="10"/>
            <color indexed="81"/>
            <rFont val="Tahoma"/>
            <family val="2"/>
          </rPr>
          <t>P. Mouron:</t>
        </r>
        <r>
          <rPr>
            <sz val="10"/>
            <color indexed="81"/>
            <rFont val="Tahoma"/>
            <family val="2"/>
          </rPr>
          <t xml:space="preserve">
Données FAT pour la location moins 10 %</t>
        </r>
      </text>
    </comment>
    <comment ref="BW43" authorId="1" shapeId="0">
      <text>
        <r>
          <rPr>
            <b/>
            <sz val="10"/>
            <color indexed="81"/>
            <rFont val="Tahoma"/>
            <family val="2"/>
          </rPr>
          <t>P. Mouron:</t>
        </r>
        <r>
          <rPr>
            <sz val="10"/>
            <color indexed="81"/>
            <rFont val="Tahoma"/>
            <family val="2"/>
          </rPr>
          <t xml:space="preserve">
Données FAT pour la location moins 10 %</t>
        </r>
      </text>
    </comment>
    <comment ref="CD43" authorId="1" shapeId="0">
      <text>
        <r>
          <rPr>
            <b/>
            <sz val="10"/>
            <color indexed="81"/>
            <rFont val="Tahoma"/>
            <family val="2"/>
          </rPr>
          <t>P. Mouron:</t>
        </r>
        <r>
          <rPr>
            <sz val="10"/>
            <color indexed="81"/>
            <rFont val="Tahoma"/>
            <family val="2"/>
          </rPr>
          <t xml:space="preserve">
Données FAT pour la location moins 10 %</t>
        </r>
      </text>
    </comment>
    <comment ref="CK43" authorId="1" shapeId="0">
      <text>
        <r>
          <rPr>
            <b/>
            <sz val="10"/>
            <color indexed="81"/>
            <rFont val="Tahoma"/>
            <family val="2"/>
          </rPr>
          <t>P. Mouron:</t>
        </r>
        <r>
          <rPr>
            <sz val="10"/>
            <color indexed="81"/>
            <rFont val="Tahoma"/>
            <family val="2"/>
          </rPr>
          <t xml:space="preserve">
Données FAT pour la location moins 10 %</t>
        </r>
      </text>
    </comment>
    <comment ref="CR43" authorId="1" shapeId="0">
      <text>
        <r>
          <rPr>
            <b/>
            <sz val="10"/>
            <color indexed="81"/>
            <rFont val="Tahoma"/>
            <family val="2"/>
          </rPr>
          <t>P. Mouron:</t>
        </r>
        <r>
          <rPr>
            <sz val="10"/>
            <color indexed="81"/>
            <rFont val="Tahoma"/>
            <family val="2"/>
          </rPr>
          <t xml:space="preserve">
Données FAT pour la location moins 10 %</t>
        </r>
      </text>
    </comment>
    <comment ref="CY43" authorId="1" shapeId="0">
      <text>
        <r>
          <rPr>
            <b/>
            <sz val="10"/>
            <color indexed="81"/>
            <rFont val="Tahoma"/>
            <family val="2"/>
          </rPr>
          <t>P. Mouron:</t>
        </r>
        <r>
          <rPr>
            <sz val="10"/>
            <color indexed="81"/>
            <rFont val="Tahoma"/>
            <family val="2"/>
          </rPr>
          <t xml:space="preserve">
Données FAT pour la location moins 10 %</t>
        </r>
      </text>
    </comment>
    <comment ref="C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J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Q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X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AE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AL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AS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AZ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BG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BN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BU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CB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CI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CP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CW47" authorId="1"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r>
          <rPr>
            <sz val="10"/>
            <color indexed="81"/>
            <rFont val="Tahoma"/>
            <family val="2"/>
          </rPr>
          <t xml:space="preserve">
</t>
        </r>
      </text>
    </comment>
    <comment ref="B49" authorId="1" shapeId="0">
      <text>
        <r>
          <rPr>
            <b/>
            <sz val="10"/>
            <color indexed="81"/>
            <rFont val="Tahoma"/>
            <family val="2"/>
          </rPr>
          <t xml:space="preserve">zue:
</t>
        </r>
        <r>
          <rPr>
            <sz val="10"/>
            <color indexed="81"/>
            <rFont val="Tahoma"/>
            <family val="2"/>
          </rPr>
          <t>Même machine de récolte que pour la récolte sur l'arbre</t>
        </r>
      </text>
    </comment>
    <comment ref="I49" authorId="1" shapeId="0">
      <text>
        <r>
          <rPr>
            <b/>
            <sz val="10"/>
            <color indexed="81"/>
            <rFont val="Tahoma"/>
            <family val="2"/>
          </rPr>
          <t xml:space="preserve">zue:
</t>
        </r>
        <r>
          <rPr>
            <sz val="10"/>
            <color indexed="81"/>
            <rFont val="Tahoma"/>
            <family val="2"/>
          </rPr>
          <t>Même machine de récolte que pour la récolte sur l'arbre</t>
        </r>
      </text>
    </comment>
    <comment ref="P49" authorId="1" shapeId="0">
      <text>
        <r>
          <rPr>
            <b/>
            <sz val="10"/>
            <color indexed="81"/>
            <rFont val="Tahoma"/>
            <family val="2"/>
          </rPr>
          <t xml:space="preserve">zue:
</t>
        </r>
        <r>
          <rPr>
            <sz val="10"/>
            <color indexed="81"/>
            <rFont val="Tahoma"/>
            <family val="2"/>
          </rPr>
          <t>Même machine de récolte que pour la récolte sur l'arbre</t>
        </r>
      </text>
    </comment>
    <comment ref="W49" authorId="1" shapeId="0">
      <text>
        <r>
          <rPr>
            <b/>
            <sz val="10"/>
            <color indexed="81"/>
            <rFont val="Tahoma"/>
            <family val="2"/>
          </rPr>
          <t xml:space="preserve">zue:
</t>
        </r>
        <r>
          <rPr>
            <sz val="10"/>
            <color indexed="81"/>
            <rFont val="Tahoma"/>
            <family val="2"/>
          </rPr>
          <t>Même machine de récolte que pour la récolte sur l'arbre</t>
        </r>
      </text>
    </comment>
    <comment ref="AD49" authorId="1" shapeId="0">
      <text>
        <r>
          <rPr>
            <b/>
            <sz val="10"/>
            <color indexed="81"/>
            <rFont val="Tahoma"/>
            <family val="2"/>
          </rPr>
          <t xml:space="preserve">zue:
</t>
        </r>
        <r>
          <rPr>
            <sz val="10"/>
            <color indexed="81"/>
            <rFont val="Tahoma"/>
            <family val="2"/>
          </rPr>
          <t>Même machine de récolte que pour la récolte sur l'arbre</t>
        </r>
      </text>
    </comment>
    <comment ref="AK49" authorId="1" shapeId="0">
      <text>
        <r>
          <rPr>
            <b/>
            <sz val="10"/>
            <color indexed="81"/>
            <rFont val="Tahoma"/>
            <family val="2"/>
          </rPr>
          <t xml:space="preserve">zue:
</t>
        </r>
        <r>
          <rPr>
            <sz val="10"/>
            <color indexed="81"/>
            <rFont val="Tahoma"/>
            <family val="2"/>
          </rPr>
          <t>Même machine de récolte que pour la récolte sur l'arbre</t>
        </r>
      </text>
    </comment>
    <comment ref="AR49" authorId="1" shapeId="0">
      <text>
        <r>
          <rPr>
            <b/>
            <sz val="10"/>
            <color indexed="81"/>
            <rFont val="Tahoma"/>
            <family val="2"/>
          </rPr>
          <t xml:space="preserve">zue:
</t>
        </r>
        <r>
          <rPr>
            <sz val="10"/>
            <color indexed="81"/>
            <rFont val="Tahoma"/>
            <family val="2"/>
          </rPr>
          <t>Même machine de récolte que pour la récolte sur l'arbre</t>
        </r>
      </text>
    </comment>
    <comment ref="AY49" authorId="1" shapeId="0">
      <text>
        <r>
          <rPr>
            <b/>
            <sz val="10"/>
            <color indexed="81"/>
            <rFont val="Tahoma"/>
            <family val="2"/>
          </rPr>
          <t xml:space="preserve">zue:
</t>
        </r>
        <r>
          <rPr>
            <sz val="10"/>
            <color indexed="81"/>
            <rFont val="Tahoma"/>
            <family val="2"/>
          </rPr>
          <t>Même machine de récolte que pour la récolte sur l'arbre</t>
        </r>
      </text>
    </comment>
    <comment ref="BF49" authorId="1" shapeId="0">
      <text>
        <r>
          <rPr>
            <b/>
            <sz val="10"/>
            <color indexed="81"/>
            <rFont val="Tahoma"/>
            <family val="2"/>
          </rPr>
          <t xml:space="preserve">zue:
</t>
        </r>
        <r>
          <rPr>
            <sz val="10"/>
            <color indexed="81"/>
            <rFont val="Tahoma"/>
            <family val="2"/>
          </rPr>
          <t>Même machine de récolte que pour la récolte sur l'arbre</t>
        </r>
      </text>
    </comment>
    <comment ref="BM49" authorId="1" shapeId="0">
      <text>
        <r>
          <rPr>
            <b/>
            <sz val="10"/>
            <color indexed="81"/>
            <rFont val="Tahoma"/>
            <family val="2"/>
          </rPr>
          <t xml:space="preserve">zue:
</t>
        </r>
        <r>
          <rPr>
            <sz val="10"/>
            <color indexed="81"/>
            <rFont val="Tahoma"/>
            <family val="2"/>
          </rPr>
          <t>Même machine de récolte que pour la récolte sur l'arbre</t>
        </r>
      </text>
    </comment>
    <comment ref="BT49" authorId="1" shapeId="0">
      <text>
        <r>
          <rPr>
            <b/>
            <sz val="10"/>
            <color indexed="81"/>
            <rFont val="Tahoma"/>
            <family val="2"/>
          </rPr>
          <t xml:space="preserve">zue:
</t>
        </r>
        <r>
          <rPr>
            <sz val="10"/>
            <color indexed="81"/>
            <rFont val="Tahoma"/>
            <family val="2"/>
          </rPr>
          <t>Même machine de récolte que pour la récolte sur l'arbre</t>
        </r>
      </text>
    </comment>
    <comment ref="CA49" authorId="1" shapeId="0">
      <text>
        <r>
          <rPr>
            <b/>
            <sz val="10"/>
            <color indexed="81"/>
            <rFont val="Tahoma"/>
            <family val="2"/>
          </rPr>
          <t xml:space="preserve">zue:
</t>
        </r>
        <r>
          <rPr>
            <sz val="10"/>
            <color indexed="81"/>
            <rFont val="Tahoma"/>
            <family val="2"/>
          </rPr>
          <t>Même machine de récolte que pour la récolte sur l'arbre</t>
        </r>
      </text>
    </comment>
    <comment ref="CH49" authorId="1" shapeId="0">
      <text>
        <r>
          <rPr>
            <b/>
            <sz val="10"/>
            <color indexed="81"/>
            <rFont val="Tahoma"/>
            <family val="2"/>
          </rPr>
          <t xml:space="preserve">zue:
</t>
        </r>
        <r>
          <rPr>
            <sz val="10"/>
            <color indexed="81"/>
            <rFont val="Tahoma"/>
            <family val="2"/>
          </rPr>
          <t>Même machine de récolte que pour la récolte sur l'arbre</t>
        </r>
      </text>
    </comment>
    <comment ref="CO49" authorId="1" shapeId="0">
      <text>
        <r>
          <rPr>
            <b/>
            <sz val="10"/>
            <color indexed="81"/>
            <rFont val="Tahoma"/>
            <family val="2"/>
          </rPr>
          <t xml:space="preserve">zue:
</t>
        </r>
        <r>
          <rPr>
            <sz val="10"/>
            <color indexed="81"/>
            <rFont val="Tahoma"/>
            <family val="2"/>
          </rPr>
          <t>Même machine de récolte que pour la récolte sur l'arbre</t>
        </r>
      </text>
    </comment>
    <comment ref="CV49" authorId="1" shapeId="0">
      <text>
        <r>
          <rPr>
            <b/>
            <sz val="10"/>
            <color indexed="81"/>
            <rFont val="Tahoma"/>
            <family val="2"/>
          </rPr>
          <t xml:space="preserve">zue:
</t>
        </r>
        <r>
          <rPr>
            <sz val="10"/>
            <color indexed="81"/>
            <rFont val="Tahoma"/>
            <family val="2"/>
          </rPr>
          <t>Même machine de récolte que pour la récolte sur l'arbre</t>
        </r>
      </text>
    </comment>
    <comment ref="D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K52" authorId="1" shapeId="0">
      <text>
        <r>
          <rPr>
            <sz val="10"/>
            <color indexed="81"/>
            <rFont val="Tahoma"/>
            <family val="2"/>
          </rPr>
          <t xml:space="preserve">Calcul des heures de traction pour la récolte: Nombre de chargements fois le temps de récolte par chargement fois l'utilisation des machines de traction à la récolte (0.25).
</t>
        </r>
      </text>
    </comment>
    <comment ref="R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Y52" authorId="1" shapeId="0">
      <text>
        <r>
          <rPr>
            <sz val="10"/>
            <color indexed="81"/>
            <rFont val="Tahoma"/>
            <family val="2"/>
          </rPr>
          <t xml:space="preserve">Calcul des heures de traction pour la récolte: Nombre de chargements fois le temps de récolte par chargement fois l'utilisation des machines de traction à la récolte (0.25).
</t>
        </r>
      </text>
    </comment>
    <comment ref="AF52" authorId="1" shapeId="0">
      <text>
        <r>
          <rPr>
            <sz val="10"/>
            <color indexed="81"/>
            <rFont val="Tahoma"/>
            <family val="2"/>
          </rPr>
          <t xml:space="preserve">Calcul des heures de traction pour la récolte: Nombre de chargements fois le temps de récolte par chargement fois l'utilisation des machines de traction à la récolte (0.25).
</t>
        </r>
      </text>
    </comment>
    <comment ref="AM52" authorId="1" shapeId="0">
      <text>
        <r>
          <rPr>
            <sz val="10"/>
            <color indexed="81"/>
            <rFont val="Tahoma"/>
            <family val="2"/>
          </rPr>
          <t xml:space="preserve">Calucul des heures de traction pour la récolte: Nombre de chargements fois le temps de récolte par chargement fois l'utilisation des machines de traction à la récolte (0.25).
</t>
        </r>
      </text>
    </comment>
    <comment ref="AT52" authorId="1" shapeId="0">
      <text>
        <r>
          <rPr>
            <sz val="10"/>
            <color indexed="81"/>
            <rFont val="Tahoma"/>
            <family val="2"/>
          </rPr>
          <t xml:space="preserve">Calucul des heures de traction pour la récolte: Nombre de chargements fois le temps de récolte par chargement fois l'utilisation des machines de traction à la récolte (0.25).
</t>
        </r>
      </text>
    </comment>
    <comment ref="BA52" authorId="1" shapeId="0">
      <text>
        <r>
          <rPr>
            <sz val="10"/>
            <color indexed="81"/>
            <rFont val="Tahoma"/>
            <family val="2"/>
          </rPr>
          <t xml:space="preserve">Calucul des heures de traction pour la récolte: Nombre de chargements fois le temps de récolte par chargement fois l'utilisation des machines de traction à la récolte (0.25).
</t>
        </r>
      </text>
    </comment>
    <comment ref="BH52" authorId="1" shapeId="0">
      <text>
        <r>
          <rPr>
            <sz val="10"/>
            <color indexed="81"/>
            <rFont val="Tahoma"/>
            <family val="2"/>
          </rPr>
          <t xml:space="preserve">Calcul des heures de traction pour la récolte: Nombre de chargements fois le temps de récolte par chargement fois l'utilisation des machines de traction à la récolte (0.25).
</t>
        </r>
      </text>
    </comment>
    <comment ref="BO52" authorId="1" shapeId="0">
      <text>
        <r>
          <rPr>
            <sz val="10"/>
            <color indexed="81"/>
            <rFont val="Tahoma"/>
            <family val="2"/>
          </rPr>
          <t xml:space="preserve">Calcul des heures de traction pour la récolte: Nombre de chargements fois le temps de récolte par chargement fois l'utilisation des machines de traction à la récolte (0.25).
</t>
        </r>
      </text>
    </comment>
    <comment ref="BV52" authorId="1" shapeId="0">
      <text>
        <r>
          <rPr>
            <sz val="10"/>
            <color indexed="81"/>
            <rFont val="Tahoma"/>
            <family val="2"/>
          </rPr>
          <t xml:space="preserve">Calcul des heures de traction pour la récolte: Nombre de chargements fois le temps de récolte par chargement fois l'utilisation des machines de traction à la récolte (0.25).
</t>
        </r>
      </text>
    </comment>
    <comment ref="CC52" authorId="1" shapeId="0">
      <text>
        <r>
          <rPr>
            <sz val="10"/>
            <color indexed="81"/>
            <rFont val="Tahoma"/>
            <family val="2"/>
          </rPr>
          <t xml:space="preserve">Calcul des heures de traction pour la récolte: Nombre de chargements fois le temps de récolte par chargement fois l'utilisation des machines de traction à la récolte (0.25).
</t>
        </r>
      </text>
    </comment>
    <comment ref="CJ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CQ52" authorId="1" shapeId="0">
      <text>
        <r>
          <rPr>
            <sz val="10"/>
            <color indexed="81"/>
            <rFont val="Tahoma"/>
            <family val="2"/>
          </rPr>
          <t xml:space="preserve">Calcul des heures de traction pour la récolte: Nombre de chargements fois le temps de récolte par chargement fois l'utilisation des machines de traction à la récolte (0.25).
</t>
        </r>
      </text>
    </comment>
    <comment ref="CX52" authorId="1" shapeId="0">
      <text>
        <r>
          <rPr>
            <sz val="10"/>
            <color indexed="81"/>
            <rFont val="Tahoma"/>
            <family val="2"/>
          </rPr>
          <t xml:space="preserve">Calcul des heures de traction pour la récolte: Nombre de chargements fois le temps de récolte par chargement fois l'utilisation des machines de traction à la récolte (0.25).
</t>
        </r>
      </text>
    </comment>
    <comment ref="B64" authorId="2" shapeId="0">
      <text>
        <r>
          <rPr>
            <b/>
            <sz val="10"/>
            <color indexed="81"/>
            <rFont val="Tahoma"/>
          </rPr>
          <t>zue:</t>
        </r>
        <r>
          <rPr>
            <sz val="10"/>
            <color indexed="81"/>
            <rFont val="Tahoma"/>
          </rPr>
          <t xml:space="preserve">
Il en résulte que le filet est également ouvert et fermé la 1ère année</t>
        </r>
      </text>
    </comment>
    <comment ref="CV82" authorId="1" shapeId="0">
      <text>
        <r>
          <rPr>
            <b/>
            <sz val="10"/>
            <color indexed="81"/>
            <rFont val="Tahoma"/>
            <family val="2"/>
          </rPr>
          <t>P. Mouron:</t>
        </r>
        <r>
          <rPr>
            <sz val="10"/>
            <color indexed="81"/>
            <rFont val="Tahoma"/>
            <family val="2"/>
          </rPr>
          <t xml:space="preserve">
Les coûts d'arrachage font partie de la dernière année
</t>
        </r>
      </text>
    </comment>
  </commentList>
</comments>
</file>

<file path=xl/comments13.xml><?xml version="1.0" encoding="utf-8"?>
<comments xmlns="http://schemas.openxmlformats.org/spreadsheetml/2006/main">
  <authors>
    <author>P. Mouron</author>
    <author>FAW</author>
    <author>zue</author>
  </authors>
  <commentList>
    <comment ref="E8" authorId="0" shapeId="0">
      <text>
        <r>
          <rPr>
            <sz val="10"/>
            <color indexed="81"/>
            <rFont val="Tahoma"/>
            <family val="2"/>
          </rPr>
          <t>Les coûts pour les besoins d'emballage et de transport (de l'exploitation jusqu'à la coopérative) sont ici tirés d'un forfait</t>
        </r>
      </text>
    </comment>
    <comment ref="B11" authorId="0" shapeId="0">
      <text>
        <r>
          <rPr>
            <b/>
            <sz val="10"/>
            <color indexed="81"/>
            <rFont val="Tahoma"/>
            <family val="2"/>
          </rPr>
          <t xml:space="preserve">zue:
</t>
        </r>
        <r>
          <rPr>
            <sz val="10"/>
            <color indexed="81"/>
            <rFont val="Tahoma"/>
            <family val="2"/>
          </rPr>
          <t>Déchets de triage + du sol</t>
        </r>
      </text>
    </comment>
    <comment ref="D12" authorId="0" shapeId="0">
      <text>
        <r>
          <rPr>
            <b/>
            <sz val="8"/>
            <color indexed="81"/>
            <rFont val="Tahoma"/>
          </rPr>
          <t>Zue:</t>
        </r>
        <r>
          <rPr>
            <sz val="8"/>
            <color indexed="81"/>
            <rFont val="Tahoma"/>
          </rPr>
          <t xml:space="preserve">
</t>
        </r>
        <r>
          <rPr>
            <sz val="10"/>
            <color indexed="81"/>
            <rFont val="Tahoma"/>
            <family val="2"/>
          </rPr>
          <t>Moyenne durant la phase de production, les dégâts de gel inclus. Les dégâts de grêle ne sont pas pris en compte, tout comme le filet anti-grêle.</t>
        </r>
      </text>
    </comment>
    <comment ref="C19" authorId="0" shapeId="0">
      <text>
        <r>
          <rPr>
            <b/>
            <sz val="10"/>
            <color indexed="81"/>
            <rFont val="Tahoma"/>
            <family val="2"/>
          </rPr>
          <t>zue:</t>
        </r>
        <r>
          <rPr>
            <sz val="10"/>
            <color indexed="81"/>
            <rFont val="Tahoma"/>
            <family val="2"/>
          </rPr>
          <t xml:space="preserve">
Nombre de passages
</t>
        </r>
      </text>
    </comment>
    <comment ref="F27" authorId="1" shapeId="0">
      <text>
        <r>
          <rPr>
            <b/>
            <sz val="8"/>
            <color indexed="81"/>
            <rFont val="Tahoma"/>
          </rPr>
          <t>FAW:</t>
        </r>
        <r>
          <rPr>
            <sz val="8"/>
            <color indexed="81"/>
            <rFont val="Tahoma"/>
          </rPr>
          <t xml:space="preserve">
</t>
        </r>
        <r>
          <rPr>
            <sz val="10"/>
            <color indexed="81"/>
            <rFont val="Tahoma"/>
            <family val="2"/>
          </rPr>
          <t>fois 0.9, i.e. en moyenne  10% de rabais</t>
        </r>
      </text>
    </comment>
    <comment ref="B41" authorId="2" shapeId="0">
      <text>
        <r>
          <rPr>
            <b/>
            <sz val="10"/>
            <color indexed="81"/>
            <rFont val="Tahoma"/>
          </rPr>
          <t>zue:</t>
        </r>
        <r>
          <rPr>
            <sz val="10"/>
            <color indexed="81"/>
            <rFont val="Tahoma"/>
          </rPr>
          <t xml:space="preserve">
Calculé avec la fonction Excel paiements réguliers. Amène à un paiement constant selon une annuité par période, où les paiements et le taux d'intérêt constants sont supposés</t>
        </r>
      </text>
    </comment>
    <comment ref="E46" authorId="0" shapeId="0">
      <text>
        <r>
          <rPr>
            <b/>
            <sz val="8"/>
            <color indexed="81"/>
            <rFont val="Tahoma"/>
          </rPr>
          <t>P. Mouron:</t>
        </r>
        <r>
          <rPr>
            <sz val="8"/>
            <color indexed="81"/>
            <rFont val="Tahoma"/>
          </rPr>
          <t xml:space="preserve">
</t>
        </r>
        <r>
          <rPr>
            <sz val="10"/>
            <color indexed="81"/>
            <rFont val="Tahoma"/>
            <family val="2"/>
          </rPr>
          <t>Fr./passage = Fr./ha car Arbokost présente les coûts pour 1 ha
Données FAT pour les coûts fixes et variables</t>
        </r>
      </text>
    </comment>
    <comment ref="C47" authorId="2" shapeId="0">
      <text>
        <r>
          <rPr>
            <b/>
            <sz val="10"/>
            <color indexed="81"/>
            <rFont val="Tahoma"/>
          </rPr>
          <t>zue:</t>
        </r>
        <r>
          <rPr>
            <sz val="10"/>
            <color indexed="81"/>
            <rFont val="Tahoma"/>
          </rPr>
          <t xml:space="preserve">
Pour l'estimation de la capacité du réservoir se référer au calcul de la formule</t>
        </r>
      </text>
    </comment>
    <comment ref="C50" authorId="0"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 </t>
        </r>
        <r>
          <rPr>
            <b/>
            <sz val="10"/>
            <color indexed="81"/>
            <rFont val="Tahoma"/>
            <family val="2"/>
          </rPr>
          <t>960 kg par chargement</t>
        </r>
      </text>
    </comment>
    <comment ref="D55" authorId="0" shapeId="0">
      <text>
        <r>
          <rPr>
            <sz val="10"/>
            <color indexed="81"/>
            <rFont val="Tahoma"/>
            <family val="2"/>
          </rPr>
          <t>Calcul des heures de traction pour la récolte: Nombre de chargements fois le temps de récolte par chargement fois l'uitlisation des machines à traction pour la récolte (0.25).</t>
        </r>
      </text>
    </comment>
    <comment ref="B68" authorId="2" shapeId="0">
      <text>
        <r>
          <rPr>
            <b/>
            <sz val="10"/>
            <color indexed="81"/>
            <rFont val="Tahoma"/>
          </rPr>
          <t>zue:</t>
        </r>
        <r>
          <rPr>
            <sz val="10"/>
            <color indexed="81"/>
            <rFont val="Tahoma"/>
          </rPr>
          <t xml:space="preserve">
Il en résulte que le filet est également ouvert et fermé durant la 1ère année</t>
        </r>
      </text>
    </comment>
    <comment ref="A107" authorId="0" shapeId="0">
      <text>
        <r>
          <rPr>
            <b/>
            <sz val="8"/>
            <color indexed="81"/>
            <rFont val="Tahoma"/>
            <family val="2"/>
          </rPr>
          <t>ZUE:</t>
        </r>
        <r>
          <rPr>
            <sz val="10"/>
            <color indexed="81"/>
            <rFont val="Tahoma"/>
            <family val="2"/>
          </rPr>
          <t xml:space="preserve">
Dans le minimum de l'entreprise (ou le seuil de l'entreprise) les coûts variables sont couverts mais pas les coûts fixes. Si le produit total  de la vente ne peut plus couvrir cette somme il s'avère économiquement judicieux de ne plus produire et de défricher la parcelle.</t>
        </r>
      </text>
    </comment>
    <comment ref="A118" authorId="0" shapeId="0">
      <text>
        <r>
          <rPr>
            <b/>
            <sz val="8"/>
            <color indexed="81"/>
            <rFont val="Tahoma"/>
          </rPr>
          <t>ZUE:</t>
        </r>
        <r>
          <rPr>
            <sz val="8"/>
            <color indexed="81"/>
            <rFont val="Tahoma"/>
          </rPr>
          <t xml:space="preserve">
</t>
        </r>
        <r>
          <rPr>
            <sz val="10"/>
            <color indexed="81"/>
            <rFont val="Tahoma"/>
            <family val="2"/>
          </rPr>
          <t>Voir:  Betriebswirtschaftliche Begriffe im Agrarbereich, LMZ 2000, p.112</t>
        </r>
      </text>
    </comment>
    <comment ref="A120" authorId="0" shapeId="0">
      <text>
        <r>
          <rPr>
            <b/>
            <sz val="8"/>
            <color indexed="81"/>
            <rFont val="Tahoma"/>
          </rPr>
          <t>ZUE:</t>
        </r>
        <r>
          <rPr>
            <sz val="8"/>
            <color indexed="81"/>
            <rFont val="Tahoma"/>
          </rPr>
          <t xml:space="preserve">
</t>
        </r>
        <r>
          <rPr>
            <sz val="10"/>
            <color indexed="81"/>
            <rFont val="Tahoma"/>
            <family val="2"/>
          </rPr>
          <t>Somme du taux d'intérêt pour le capital propre et les paiements de l'intérêt  de location et des dettes ((Betriebswirtschaftliche Begriffe im Agrarbereich, LMZ 2000, p.110)
Ici: Intérêts pour les investissements et le terrain</t>
        </r>
      </text>
    </comment>
    <comment ref="A121" authorId="0" shapeId="0">
      <text>
        <r>
          <rPr>
            <b/>
            <sz val="8"/>
            <color indexed="81"/>
            <rFont val="Tahoma"/>
          </rPr>
          <t>P</t>
        </r>
        <r>
          <rPr>
            <b/>
            <sz val="10"/>
            <color indexed="81"/>
            <rFont val="Tahoma"/>
            <family val="2"/>
          </rPr>
          <t>. Mouron:</t>
        </r>
        <r>
          <rPr>
            <sz val="10"/>
            <color indexed="81"/>
            <rFont val="Tahoma"/>
            <family val="2"/>
          </rPr>
          <t xml:space="preserve">
Coûts pour les produits de traitement utilisés dans la production </t>
        </r>
        <r>
          <rPr>
            <b/>
            <sz val="10"/>
            <color indexed="81"/>
            <rFont val="Tahoma"/>
            <family val="2"/>
          </rPr>
          <t>y compris les amortissements</t>
        </r>
        <r>
          <rPr>
            <sz val="10"/>
            <color indexed="81"/>
            <rFont val="Tahoma"/>
            <family val="2"/>
          </rPr>
          <t>, mais sans les indemnisations pour les facteurs de production travail et capital. (Betriebswirtschaftliche Begriffe im Agrarbereich, LMZ 2000, p.149)</t>
        </r>
      </text>
    </comment>
  </commentList>
</comments>
</file>

<file path=xl/comments2.xml><?xml version="1.0" encoding="utf-8"?>
<comments xmlns="http://schemas.openxmlformats.org/spreadsheetml/2006/main">
  <authors>
    <author>P. Mouron</author>
    <author>FAW</author>
    <author>zue</author>
    <author>Dante Carint</author>
  </authors>
  <commentList>
    <comment ref="C21" authorId="0" shapeId="0">
      <text>
        <r>
          <rPr>
            <b/>
            <sz val="10"/>
            <color indexed="81"/>
            <rFont val="Tahoma"/>
            <family val="2"/>
          </rPr>
          <t>P. Mouron:</t>
        </r>
        <r>
          <rPr>
            <sz val="10"/>
            <color indexed="81"/>
            <rFont val="Tahoma"/>
            <family val="2"/>
          </rPr>
          <t xml:space="preserve">
Possible avec un tracteur avec des distances normales</t>
        </r>
      </text>
    </comment>
    <comment ref="G38" authorId="1" shapeId="0">
      <text>
        <r>
          <rPr>
            <sz val="10"/>
            <color indexed="81"/>
            <rFont val="Arial"/>
            <family val="2"/>
          </rPr>
          <t>Catalogue des prix Agridea 2006</t>
        </r>
      </text>
    </comment>
    <comment ref="G39" authorId="1" shapeId="0">
      <text>
        <r>
          <rPr>
            <sz val="10"/>
            <color indexed="81"/>
            <rFont val="Arial"/>
            <family val="2"/>
          </rPr>
          <t>Catalogue des prix Agridea 2006</t>
        </r>
      </text>
    </comment>
    <comment ref="C41" authorId="0" shapeId="0">
      <text>
        <r>
          <rPr>
            <b/>
            <sz val="8"/>
            <color indexed="81"/>
            <rFont val="Tahoma"/>
          </rPr>
          <t>zue:</t>
        </r>
        <r>
          <rPr>
            <sz val="8"/>
            <color indexed="81"/>
            <rFont val="Tahoma"/>
          </rPr>
          <t xml:space="preserve">
</t>
        </r>
        <r>
          <rPr>
            <sz val="10"/>
            <color indexed="81"/>
            <rFont val="Tahoma"/>
            <family val="2"/>
          </rPr>
          <t>Facteur FAT pour une durée d'amortissement de 12 ans =  0.542</t>
        </r>
      </text>
    </comment>
    <comment ref="B91" authorId="0" shapeId="0">
      <text>
        <r>
          <rPr>
            <sz val="12"/>
            <color indexed="81"/>
            <rFont val="Tahoma"/>
            <family val="2"/>
          </rPr>
          <t>sans le contrôle du feu bactérien</t>
        </r>
      </text>
    </comment>
    <comment ref="A129" authorId="2" shapeId="0">
      <text>
        <r>
          <rPr>
            <b/>
            <sz val="10"/>
            <color indexed="81"/>
            <rFont val="Tahoma"/>
          </rPr>
          <t>zue:</t>
        </r>
        <r>
          <rPr>
            <sz val="10"/>
            <color indexed="81"/>
            <rFont val="Tahoma"/>
          </rPr>
          <t xml:space="preserve">
Utilisation selon FAT en  moyenne certainement trop haute, ce qui signifie des estimations trop faibles</t>
        </r>
      </text>
    </comment>
    <comment ref="H132" authorId="0" shapeId="0">
      <text>
        <r>
          <rPr>
            <b/>
            <sz val="8"/>
            <color indexed="81"/>
            <rFont val="Tahoma"/>
          </rPr>
          <t>zue:</t>
        </r>
        <r>
          <rPr>
            <sz val="8"/>
            <color indexed="81"/>
            <rFont val="Tahoma"/>
          </rPr>
          <t xml:space="preserve">
</t>
        </r>
        <r>
          <rPr>
            <sz val="10"/>
            <color indexed="81"/>
            <rFont val="Tahoma"/>
            <family val="2"/>
          </rPr>
          <t>Supposition: le moteur tourne seulement le ¼  du temps d'utilisation pendant la récolte .</t>
        </r>
      </text>
    </comment>
    <comment ref="G136" authorId="1" shapeId="0">
      <text>
        <r>
          <rPr>
            <b/>
            <sz val="8"/>
            <color indexed="81"/>
            <rFont val="Tahoma"/>
          </rPr>
          <t>FAW:</t>
        </r>
        <r>
          <rPr>
            <sz val="8"/>
            <color indexed="81"/>
            <rFont val="Tahoma"/>
          </rPr>
          <t xml:space="preserve">
Daten aus ASA-J-Agrar 2001</t>
        </r>
      </text>
    </comment>
    <comment ref="E138" authorId="0" shapeId="0">
      <text>
        <r>
          <rPr>
            <b/>
            <sz val="10"/>
            <color indexed="81"/>
            <rFont val="Tahoma"/>
            <family val="2"/>
          </rPr>
          <t>zue:</t>
        </r>
        <r>
          <rPr>
            <sz val="10"/>
            <color indexed="81"/>
            <rFont val="Tahoma"/>
            <family val="2"/>
          </rPr>
          <t xml:space="preserve">
1 pers. par paloxe</t>
        </r>
      </text>
    </comment>
    <comment ref="F138" authorId="2" shapeId="0">
      <text>
        <r>
          <rPr>
            <b/>
            <sz val="10"/>
            <color indexed="81"/>
            <rFont val="Tahoma"/>
          </rPr>
          <t>zue:</t>
        </r>
        <r>
          <rPr>
            <sz val="10"/>
            <color indexed="81"/>
            <rFont val="Tahoma"/>
          </rPr>
          <t xml:space="preserve">
par chargement</t>
        </r>
      </text>
    </comment>
    <comment ref="B141" authorId="1" shapeId="0">
      <text>
        <r>
          <rPr>
            <b/>
            <sz val="10"/>
            <color indexed="81"/>
            <rFont val="Tahoma"/>
            <family val="2"/>
          </rPr>
          <t>FAW:</t>
        </r>
        <r>
          <rPr>
            <sz val="10"/>
            <color indexed="81"/>
            <rFont val="Tahoma"/>
            <family val="2"/>
          </rPr>
          <t xml:space="preserve">
avec fourche basculante</t>
        </r>
      </text>
    </comment>
    <comment ref="C141" authorId="3" shapeId="0">
      <text>
        <r>
          <rPr>
            <b/>
            <sz val="10"/>
            <color indexed="81"/>
            <rFont val="Tahoma"/>
            <family val="2"/>
          </rPr>
          <t>Dante Carint:</t>
        </r>
        <r>
          <rPr>
            <sz val="10"/>
            <color indexed="81"/>
            <rFont val="Tahoma"/>
            <family val="2"/>
          </rPr>
          <t xml:space="preserve">
15 min par chargement</t>
        </r>
      </text>
    </comment>
    <comment ref="C156" authorId="0" shapeId="0">
      <text>
        <r>
          <rPr>
            <sz val="10"/>
            <color indexed="81"/>
            <rFont val="Tahoma"/>
            <family val="2"/>
          </rPr>
          <t>zue:
valable pour 1 ha de culture fruitière</t>
        </r>
      </text>
    </comment>
    <comment ref="D166" authorId="0" shapeId="0">
      <text>
        <r>
          <rPr>
            <sz val="10"/>
            <color indexed="81"/>
            <rFont val="Tahoma"/>
            <family val="2"/>
          </rPr>
          <t>Grille tressée Ursus lourde (Hortima)
Typ 11/120 (intervalles entre les quadrilatères 15cm)
Prix: 8.10 Fr. par m linéaire
Dès 2000 Fr. : 15% rabais
Variante
Grille tressée Ursus légère,Typ 23/160 
Prix: 7.45 Fr. par m linéaire</t>
        </r>
      </text>
    </comment>
    <comment ref="B167" authorId="1" shapeId="0">
      <text>
        <r>
          <rPr>
            <sz val="9"/>
            <color indexed="81"/>
            <rFont val="Tahoma"/>
            <family val="2"/>
          </rPr>
          <t>200 cm de long, dimensions: 7x7 cm ; fixé seulement en haut</t>
        </r>
      </text>
    </comment>
    <comment ref="D167" authorId="1" shapeId="0">
      <text>
        <r>
          <rPr>
            <sz val="9"/>
            <color indexed="81"/>
            <rFont val="Tahoma"/>
            <family val="2"/>
          </rPr>
          <t>Dès 600 Fr. 6% rabais, prix initial par pièce: 10.20 Fr.</t>
        </r>
      </text>
    </comment>
    <comment ref="B168" authorId="1" shapeId="0">
      <text>
        <r>
          <rPr>
            <sz val="9"/>
            <color indexed="81"/>
            <rFont val="Tahoma"/>
            <family val="2"/>
          </rPr>
          <t>225 cm de long, dimensions: 8x8 cm ; fixé seulement en haut</t>
        </r>
      </text>
    </comment>
    <comment ref="D168" authorId="1" shapeId="0">
      <text>
        <r>
          <rPr>
            <sz val="9"/>
            <color indexed="81"/>
            <rFont val="Tahoma"/>
            <family val="2"/>
          </rPr>
          <t>21 pieux ont été achetés ainsi il y a un rabais de 3%  (dès 300 Fr.), prix de base par pièce 15.95</t>
        </r>
      </text>
    </comment>
    <comment ref="B169" authorId="1" shapeId="0">
      <text>
        <r>
          <rPr>
            <sz val="9"/>
            <color indexed="81"/>
            <rFont val="Tahoma"/>
            <family val="2"/>
          </rPr>
          <t>225 cm de long; dimensions 8x10cm fixé seulement en haut;utilisé pour le renforcement des portes</t>
        </r>
      </text>
    </comment>
    <comment ref="D170" authorId="1" shapeId="0">
      <text>
        <r>
          <rPr>
            <sz val="9"/>
            <color indexed="81"/>
            <rFont val="Tahoma"/>
            <family val="2"/>
          </rPr>
          <t>Plus ou moins cher en fonction de chaque porte. Données des prix moyens tirés de Roland Rot</t>
        </r>
      </text>
    </comment>
    <comment ref="B171" authorId="1" shapeId="0">
      <text>
        <r>
          <rPr>
            <sz val="9"/>
            <color indexed="81"/>
            <rFont val="Tahoma"/>
            <family val="2"/>
          </rPr>
          <t>Fil de fer rigide galvanisé, 3 mm de diamètre, env. 18 m par kg</t>
        </r>
      </text>
    </comment>
    <comment ref="B172" authorId="1" shapeId="0">
      <text>
        <r>
          <rPr>
            <sz val="10"/>
            <color indexed="81"/>
            <rFont val="Tahoma"/>
            <family val="2"/>
          </rPr>
          <t>Galvanisées, 4.0/ 40mm , 150 pièces/kg
4 agrafes par pieu=400</t>
        </r>
      </text>
    </comment>
    <comment ref="D173" authorId="2" shapeId="0">
      <text>
        <r>
          <rPr>
            <b/>
            <sz val="10"/>
            <color indexed="81"/>
            <rFont val="Tahoma"/>
          </rPr>
          <t>zue:</t>
        </r>
        <r>
          <rPr>
            <sz val="10"/>
            <color indexed="81"/>
            <rFont val="Tahoma"/>
          </rPr>
          <t xml:space="preserve">
Donnée tirée de la pratique, arrondie</t>
        </r>
      </text>
    </comment>
  </commentList>
</comments>
</file>

<file path=xl/comments3.xml><?xml version="1.0" encoding="utf-8"?>
<comments xmlns="http://schemas.openxmlformats.org/spreadsheetml/2006/main">
  <authors>
    <author>zue</author>
  </authors>
  <commentList>
    <comment ref="C47" authorId="0" shapeId="0">
      <text>
        <r>
          <rPr>
            <b/>
            <sz val="10"/>
            <color indexed="81"/>
            <rFont val="Tahoma"/>
          </rPr>
          <t>zue:</t>
        </r>
        <r>
          <rPr>
            <sz val="10"/>
            <color indexed="81"/>
            <rFont val="Tahoma"/>
          </rPr>
          <t xml:space="preserve">
Supposition: Le filet anti-grêle est placé en premier, c'est pourquoi 50% du temps sans filet anti-grêle</t>
        </r>
      </text>
    </comment>
  </commentList>
</comments>
</file>

<file path=xl/comments4.xml><?xml version="1.0" encoding="utf-8"?>
<comments xmlns="http://schemas.openxmlformats.org/spreadsheetml/2006/main">
  <authors>
    <author>FAW</author>
    <author>Liebegg</author>
  </authors>
  <commentList>
    <comment ref="A9" authorId="0" shapeId="0">
      <text>
        <r>
          <rPr>
            <sz val="10"/>
            <color indexed="81"/>
            <rFont val="Tahoma"/>
            <family val="2"/>
          </rPr>
          <t>Sans l'ordinateur de commande d'arrosage, les coûts de l'installation d'arrosage à l'intérieur de la parcelle (sans la longueur de l'installation jusqu'à la parcelle car très variable)</t>
        </r>
        <r>
          <rPr>
            <sz val="8"/>
            <color indexed="81"/>
            <rFont val="Tahoma"/>
          </rPr>
          <t xml:space="preserve">
</t>
        </r>
      </text>
    </comment>
    <comment ref="A33" authorId="0" shapeId="0">
      <text>
        <r>
          <rPr>
            <sz val="10"/>
            <color indexed="81"/>
            <rFont val="Tahoma"/>
            <family val="2"/>
          </rPr>
          <t>Sans l'ordinateur de commande d'arrosage, les coûts de l'installation d'arrosage à l'intérieur de la parcelle (sans la longueur de l'installation jusqu'à la parcelle car très variable)</t>
        </r>
        <r>
          <rPr>
            <sz val="8"/>
            <color indexed="81"/>
            <rFont val="Tahoma"/>
          </rPr>
          <t xml:space="preserve">
</t>
        </r>
      </text>
    </comment>
    <comment ref="B40" authorId="1" shapeId="0">
      <text>
        <r>
          <rPr>
            <b/>
            <sz val="8"/>
            <color indexed="81"/>
            <rFont val="Tahoma"/>
          </rPr>
          <t>ACW:</t>
        </r>
        <r>
          <rPr>
            <sz val="8"/>
            <color indexed="81"/>
            <rFont val="Tahoma"/>
          </rPr>
          <t xml:space="preserve">
Anbohrschellen 50mmx3/4 21 Stck. à 4.80, Aufschraubnippel 3/4 x 20 mm 22 Stck. à 1.5, Tropfschlauchenden 22 à 70 Rp. (Quelle Anbauempehlung für die Obstregion NO-CH 2007)
</t>
        </r>
      </text>
    </comment>
    <comment ref="B43" authorId="1" shapeId="0">
      <text>
        <r>
          <rPr>
            <b/>
            <sz val="8"/>
            <color indexed="81"/>
            <rFont val="Tahoma"/>
          </rPr>
          <t>ACW:</t>
        </r>
        <r>
          <rPr>
            <sz val="8"/>
            <color indexed="81"/>
            <rFont val="Tahoma"/>
          </rPr>
          <t xml:space="preserve">
Tropfschlauch Anschluss an Sektorenleitung 21 x 1 m 20mmà 1.-- (Quelle: Anbauempfehlung für die Obstregion NO-CH 2007)</t>
        </r>
      </text>
    </comment>
    <comment ref="B45" authorId="1" shapeId="0">
      <text>
        <r>
          <rPr>
            <b/>
            <sz val="8"/>
            <color indexed="81"/>
            <rFont val="Tahoma"/>
          </rPr>
          <t>ACW:</t>
        </r>
        <r>
          <rPr>
            <sz val="8"/>
            <color indexed="81"/>
            <rFont val="Tahoma"/>
          </rPr>
          <t xml:space="preserve">
Sektorenleitung Zuleitung Kultur (Quelle Anbauempfehlung für die Obstregion NO-CH 2007)
Für Hauptlietung PE 63mm PN 12.5 bzw. PE ND 8 63 mm à 6.--</t>
        </r>
      </text>
    </comment>
    <comment ref="B48" authorId="1" shapeId="0">
      <text>
        <r>
          <rPr>
            <b/>
            <sz val="8"/>
            <color indexed="81"/>
            <rFont val="Tahoma"/>
          </rPr>
          <t>ACW:</t>
        </r>
        <r>
          <rPr>
            <sz val="8"/>
            <color indexed="81"/>
            <rFont val="Tahoma"/>
          </rPr>
          <t xml:space="preserve">
Tropfschlauch Anschluss an Sektorenleitung 21 x 1 m 20mmà 1.-- (Quelle: Anbauempfehlung für die Obstregion NO-CH 2007)</t>
        </r>
      </text>
    </comment>
    <comment ref="B56" authorId="1" shapeId="0">
      <text>
        <r>
          <rPr>
            <b/>
            <sz val="8"/>
            <color indexed="81"/>
            <rFont val="Tahoma"/>
          </rPr>
          <t>ACW:</t>
        </r>
        <r>
          <rPr>
            <sz val="8"/>
            <color indexed="81"/>
            <rFont val="Tahoma"/>
          </rPr>
          <t xml:space="preserve">
Tropfschlauch Anschluss an Sektorenleitung 21 x 1 m 20mmà 1.-- (Quelle: Anbauempfehlung für die Obstregion NO-CH 2007)</t>
        </r>
      </text>
    </comment>
    <comment ref="F58" authorId="1" shapeId="0">
      <text>
        <r>
          <rPr>
            <b/>
            <sz val="8"/>
            <color indexed="81"/>
            <rFont val="Tahoma"/>
          </rPr>
          <t>Liebegg:</t>
        </r>
        <r>
          <rPr>
            <sz val="8"/>
            <color indexed="81"/>
            <rFont val="Tahoma"/>
          </rPr>
          <t xml:space="preserve">
Dosatron D8R</t>
        </r>
      </text>
    </comment>
    <comment ref="D95" authorId="1" shapeId="0">
      <text>
        <r>
          <rPr>
            <b/>
            <sz val="8"/>
            <color indexed="81"/>
            <rFont val="Tahoma"/>
          </rPr>
          <t>Liebegg:</t>
        </r>
        <r>
          <rPr>
            <sz val="8"/>
            <color indexed="81"/>
            <rFont val="Tahoma"/>
          </rPr>
          <t xml:space="preserve">
1 Sprinkler pro Baum</t>
        </r>
      </text>
    </comment>
    <comment ref="F114" authorId="1" shapeId="0">
      <text>
        <r>
          <rPr>
            <b/>
            <sz val="8"/>
            <color indexed="81"/>
            <rFont val="Tahoma"/>
          </rPr>
          <t>Liebegg:</t>
        </r>
        <r>
          <rPr>
            <sz val="8"/>
            <color indexed="81"/>
            <rFont val="Tahoma"/>
          </rPr>
          <t xml:space="preserve">
Dosatron D8R</t>
        </r>
      </text>
    </comment>
    <comment ref="A143" authorId="1" shapeId="0">
      <text>
        <r>
          <rPr>
            <b/>
            <sz val="8"/>
            <color indexed="81"/>
            <rFont val="Tahoma"/>
          </rPr>
          <t>Liebegg:</t>
        </r>
        <r>
          <rPr>
            <sz val="8"/>
            <color indexed="81"/>
            <rFont val="Tahoma"/>
          </rPr>
          <t xml:space="preserve">
Für Hauptlietung PE 63mm PN 12.5 bzw. PE ND 8 63 mm à 6.--</t>
        </r>
      </text>
    </comment>
  </commentList>
</comments>
</file>

<file path=xl/comments5.xml><?xml version="1.0" encoding="utf-8"?>
<comments xmlns="http://schemas.openxmlformats.org/spreadsheetml/2006/main">
  <authors>
    <author>FAW</author>
    <author>P. Mouron</author>
  </authors>
  <commentList>
    <comment ref="C58" authorId="0" shapeId="0">
      <text>
        <r>
          <rPr>
            <b/>
            <sz val="8"/>
            <color indexed="81"/>
            <rFont val="Tahoma"/>
          </rPr>
          <t>FAW:</t>
        </r>
        <r>
          <rPr>
            <sz val="8"/>
            <color indexed="81"/>
            <rFont val="Tahoma"/>
          </rPr>
          <t xml:space="preserve">
</t>
        </r>
        <r>
          <rPr>
            <sz val="10"/>
            <color indexed="81"/>
            <rFont val="Tahoma"/>
            <family val="2"/>
          </rPr>
          <t>Les pertes de temps comprennent 10%  de l'MOh ou Th listées</t>
        </r>
      </text>
    </comment>
    <comment ref="C79" authorId="1" shapeId="0">
      <text>
        <r>
          <rPr>
            <sz val="10"/>
            <color indexed="81"/>
            <rFont val="Tahoma"/>
            <family val="2"/>
          </rPr>
          <t>zue:
Généralement calculé avec 10% des heures totales.</t>
        </r>
      </text>
    </comment>
    <comment ref="C88" authorId="0" shapeId="0">
      <text>
        <r>
          <rPr>
            <sz val="10"/>
            <color indexed="81"/>
            <rFont val="Tahoma"/>
            <family val="2"/>
          </rPr>
          <t xml:space="preserve">Périmètre de la surface de la clôture moins les portes de chacune 6 m
</t>
        </r>
      </text>
    </comment>
    <comment ref="B89" authorId="0" shapeId="0">
      <text>
        <r>
          <rPr>
            <sz val="9"/>
            <color indexed="81"/>
            <rFont val="Tahoma"/>
            <family val="2"/>
          </rPr>
          <t>200 cm de long, dimensions: 7x7 cm ; fixé seulement en haut</t>
        </r>
      </text>
    </comment>
    <comment ref="C89" authorId="0" shapeId="0">
      <text>
        <r>
          <rPr>
            <sz val="9"/>
            <color indexed="81"/>
            <rFont val="Tahoma"/>
            <family val="2"/>
          </rPr>
          <t>Chaque 5e pieu est plus rigide, i.e. sur 100 pieux 20 sont plus rigides</t>
        </r>
      </text>
    </comment>
    <comment ref="B90" authorId="0" shapeId="0">
      <text>
        <r>
          <rPr>
            <sz val="9"/>
            <color indexed="81"/>
            <rFont val="Tahoma"/>
            <family val="2"/>
          </rPr>
          <t>225 cm de long, dimensions: 8x8 cm ; fixé seulement en haut</t>
        </r>
      </text>
    </comment>
    <comment ref="B91" authorId="0" shapeId="0">
      <text>
        <r>
          <rPr>
            <sz val="9"/>
            <color indexed="81"/>
            <rFont val="Tahoma"/>
            <family val="2"/>
          </rPr>
          <t>225 cm de long; dimensions 8x10cm fixé seulement en haut;utilisé pour le renforcement des portes</t>
        </r>
      </text>
    </comment>
    <comment ref="C151" authorId="0" shapeId="0">
      <text>
        <r>
          <rPr>
            <b/>
            <sz val="8"/>
            <color indexed="81"/>
            <rFont val="Tahoma"/>
          </rPr>
          <t>FAW:</t>
        </r>
        <r>
          <rPr>
            <sz val="8"/>
            <color indexed="81"/>
            <rFont val="Tahoma"/>
          </rPr>
          <t xml:space="preserve">
Hagelversicherung ja=1, Hagelversicherung nein = 0
</t>
        </r>
      </text>
    </comment>
    <comment ref="C152" authorId="0" shapeId="0">
      <text>
        <r>
          <rPr>
            <b/>
            <sz val="8"/>
            <color indexed="81"/>
            <rFont val="Tahoma"/>
          </rPr>
          <t>FAW:</t>
        </r>
        <r>
          <rPr>
            <sz val="8"/>
            <color indexed="81"/>
            <rFont val="Tahoma"/>
          </rPr>
          <t xml:space="preserve">
Hagelnetz ja=1, Hagenletz nein=o
</t>
        </r>
      </text>
    </comment>
    <comment ref="C155" authorId="0" shapeId="0">
      <text>
        <r>
          <rPr>
            <b/>
            <sz val="8"/>
            <color indexed="81"/>
            <rFont val="Tahoma"/>
          </rPr>
          <t>FAW:</t>
        </r>
        <r>
          <rPr>
            <sz val="8"/>
            <color indexed="81"/>
            <rFont val="Tahoma"/>
          </rPr>
          <t xml:space="preserve">
Summe von  Zellen 32/133/134 C um zelle C 131 zu definieren.</t>
        </r>
      </text>
    </comment>
  </commentList>
</comments>
</file>

<file path=xl/comments6.xml><?xml version="1.0" encoding="utf-8"?>
<comments xmlns="http://schemas.openxmlformats.org/spreadsheetml/2006/main">
  <authors>
    <author>FAW</author>
    <author>P. Mouron</author>
    <author>zue</author>
  </authors>
  <commentList>
    <comment ref="F5" authorId="0" shapeId="0">
      <text>
        <r>
          <rPr>
            <sz val="9"/>
            <color indexed="81"/>
            <rFont val="Tahoma"/>
            <family val="2"/>
          </rPr>
          <t>Cette page est protégée en écriture. La protection peut être levée avec le mot de passe "Arbokost"</t>
        </r>
      </text>
    </comment>
    <comment ref="E43" authorId="1" shapeId="0">
      <text>
        <r>
          <rPr>
            <b/>
            <sz val="10"/>
            <color indexed="81"/>
            <rFont val="Tahoma"/>
            <family val="2"/>
          </rPr>
          <t>P. Mouron:</t>
        </r>
        <r>
          <rPr>
            <sz val="10"/>
            <color indexed="81"/>
            <rFont val="Tahoma"/>
            <family val="2"/>
          </rPr>
          <t xml:space="preserve">
Données FAT pour la location moins 10 %</t>
        </r>
      </text>
    </comment>
    <comment ref="L43" authorId="1" shapeId="0">
      <text>
        <r>
          <rPr>
            <b/>
            <sz val="10"/>
            <color indexed="81"/>
            <rFont val="Tahoma"/>
            <family val="2"/>
          </rPr>
          <t>P. Mouron:</t>
        </r>
        <r>
          <rPr>
            <sz val="10"/>
            <color indexed="81"/>
            <rFont val="Tahoma"/>
            <family val="2"/>
          </rPr>
          <t xml:space="preserve">
Données FAT pour la location moins 10 %</t>
        </r>
      </text>
    </comment>
    <comment ref="S43" authorId="1" shapeId="0">
      <text>
        <r>
          <rPr>
            <b/>
            <sz val="10"/>
            <color indexed="81"/>
            <rFont val="Tahoma"/>
            <family val="2"/>
          </rPr>
          <t>P. Mouron:</t>
        </r>
        <r>
          <rPr>
            <sz val="10"/>
            <color indexed="81"/>
            <rFont val="Tahoma"/>
            <family val="2"/>
          </rPr>
          <t xml:space="preserve">
Données FAT pour la location moins 10 %</t>
        </r>
      </text>
    </comment>
    <comment ref="Z43" authorId="1" shapeId="0">
      <text>
        <r>
          <rPr>
            <b/>
            <sz val="10"/>
            <color indexed="81"/>
            <rFont val="Tahoma"/>
            <family val="2"/>
          </rPr>
          <t>P. Mouron:</t>
        </r>
        <r>
          <rPr>
            <sz val="10"/>
            <color indexed="81"/>
            <rFont val="Tahoma"/>
            <family val="2"/>
          </rPr>
          <t xml:space="preserve">
Données FAT pour la location moins 10 %</t>
        </r>
      </text>
    </comment>
    <comment ref="AG43" authorId="1" shapeId="0">
      <text>
        <r>
          <rPr>
            <b/>
            <sz val="10"/>
            <color indexed="81"/>
            <rFont val="Tahoma"/>
            <family val="2"/>
          </rPr>
          <t>P. Mouron:</t>
        </r>
        <r>
          <rPr>
            <sz val="10"/>
            <color indexed="81"/>
            <rFont val="Tahoma"/>
            <family val="2"/>
          </rPr>
          <t xml:space="preserve">
Données FAT pour la location moins 10 %</t>
        </r>
      </text>
    </comment>
    <comment ref="AN43" authorId="1" shapeId="0">
      <text>
        <r>
          <rPr>
            <b/>
            <sz val="10"/>
            <color indexed="81"/>
            <rFont val="Tahoma"/>
            <family val="2"/>
          </rPr>
          <t>P. Mouron:</t>
        </r>
        <r>
          <rPr>
            <sz val="10"/>
            <color indexed="81"/>
            <rFont val="Tahoma"/>
            <family val="2"/>
          </rPr>
          <t xml:space="preserve">
Données FAT pour la location moins 10 %</t>
        </r>
      </text>
    </comment>
    <comment ref="AU43" authorId="1" shapeId="0">
      <text>
        <r>
          <rPr>
            <b/>
            <sz val="10"/>
            <color indexed="81"/>
            <rFont val="Tahoma"/>
            <family val="2"/>
          </rPr>
          <t>P. Mouron:</t>
        </r>
        <r>
          <rPr>
            <sz val="10"/>
            <color indexed="81"/>
            <rFont val="Tahoma"/>
            <family val="2"/>
          </rPr>
          <t xml:space="preserve">
Données FAT pour la location moins 10 %</t>
        </r>
      </text>
    </comment>
    <comment ref="BB43" authorId="1" shapeId="0">
      <text>
        <r>
          <rPr>
            <b/>
            <sz val="10"/>
            <color indexed="81"/>
            <rFont val="Tahoma"/>
            <family val="2"/>
          </rPr>
          <t>P. Mouron:</t>
        </r>
        <r>
          <rPr>
            <sz val="10"/>
            <color indexed="81"/>
            <rFont val="Tahoma"/>
            <family val="2"/>
          </rPr>
          <t xml:space="preserve">
Données FAT pour la location moins 10 %</t>
        </r>
      </text>
    </comment>
    <comment ref="BI43" authorId="1" shapeId="0">
      <text>
        <r>
          <rPr>
            <b/>
            <sz val="10"/>
            <color indexed="81"/>
            <rFont val="Tahoma"/>
            <family val="2"/>
          </rPr>
          <t>P. Mouron:</t>
        </r>
        <r>
          <rPr>
            <sz val="10"/>
            <color indexed="81"/>
            <rFont val="Tahoma"/>
            <family val="2"/>
          </rPr>
          <t xml:space="preserve">
Données FAT pour la location moins 10 %</t>
        </r>
      </text>
    </comment>
    <comment ref="BP43" authorId="1" shapeId="0">
      <text>
        <r>
          <rPr>
            <b/>
            <sz val="10"/>
            <color indexed="81"/>
            <rFont val="Tahoma"/>
            <family val="2"/>
          </rPr>
          <t>P. Mouron:</t>
        </r>
        <r>
          <rPr>
            <sz val="10"/>
            <color indexed="81"/>
            <rFont val="Tahoma"/>
            <family val="2"/>
          </rPr>
          <t xml:space="preserve">
Données FAT pour la location moins 10 %</t>
        </r>
      </text>
    </comment>
    <comment ref="BW43" authorId="1" shapeId="0">
      <text>
        <r>
          <rPr>
            <b/>
            <sz val="10"/>
            <color indexed="81"/>
            <rFont val="Tahoma"/>
            <family val="2"/>
          </rPr>
          <t>P. Mouron:</t>
        </r>
        <r>
          <rPr>
            <sz val="10"/>
            <color indexed="81"/>
            <rFont val="Tahoma"/>
            <family val="2"/>
          </rPr>
          <t xml:space="preserve">
Données FAT pour la location moins 10 %</t>
        </r>
      </text>
    </comment>
    <comment ref="CD43" authorId="1" shapeId="0">
      <text>
        <r>
          <rPr>
            <b/>
            <sz val="10"/>
            <color indexed="81"/>
            <rFont val="Tahoma"/>
            <family val="2"/>
          </rPr>
          <t>P. Mouron:</t>
        </r>
        <r>
          <rPr>
            <sz val="10"/>
            <color indexed="81"/>
            <rFont val="Tahoma"/>
            <family val="2"/>
          </rPr>
          <t xml:space="preserve">
Données FAT pour la location moins 10 %</t>
        </r>
      </text>
    </comment>
    <comment ref="CK43" authorId="1" shapeId="0">
      <text>
        <r>
          <rPr>
            <b/>
            <sz val="10"/>
            <color indexed="81"/>
            <rFont val="Tahoma"/>
            <family val="2"/>
          </rPr>
          <t>P. Mouron:</t>
        </r>
        <r>
          <rPr>
            <sz val="10"/>
            <color indexed="81"/>
            <rFont val="Tahoma"/>
            <family val="2"/>
          </rPr>
          <t xml:space="preserve">
Données FAT pour la location moins 10 %</t>
        </r>
      </text>
    </comment>
    <comment ref="CR43" authorId="1" shapeId="0">
      <text>
        <r>
          <rPr>
            <b/>
            <sz val="10"/>
            <color indexed="81"/>
            <rFont val="Tahoma"/>
            <family val="2"/>
          </rPr>
          <t>P. Mouron:</t>
        </r>
        <r>
          <rPr>
            <sz val="10"/>
            <color indexed="81"/>
            <rFont val="Tahoma"/>
            <family val="2"/>
          </rPr>
          <t xml:space="preserve">
Données FAT pour la location moins 10 %</t>
        </r>
      </text>
    </comment>
    <comment ref="CY43" authorId="1" shapeId="0">
      <text>
        <r>
          <rPr>
            <b/>
            <sz val="10"/>
            <color indexed="81"/>
            <rFont val="Tahoma"/>
            <family val="2"/>
          </rPr>
          <t>P. Mouron:</t>
        </r>
        <r>
          <rPr>
            <sz val="10"/>
            <color indexed="81"/>
            <rFont val="Tahoma"/>
            <family val="2"/>
          </rPr>
          <t xml:space="preserve">
Données FAT pour la location moins 10 %</t>
        </r>
      </text>
    </comment>
    <comment ref="C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J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Q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X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AE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AL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AS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AZ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BG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BN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BU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CB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CI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CP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CW47" authorId="1" shapeId="0">
      <text>
        <r>
          <rPr>
            <b/>
            <sz val="10"/>
            <color indexed="81"/>
            <rFont val="Tahoma"/>
            <family val="2"/>
          </rPr>
          <t xml:space="preserve">Calcul des kg par chargement:
</t>
        </r>
        <r>
          <rPr>
            <sz val="10"/>
            <color indexed="81"/>
            <rFont val="Tahoma"/>
            <family val="2"/>
          </rPr>
          <t>Machine de récolte pour 4 paloxes (Zug):
4 paloxes à 300 kg = 1200 kg par utilisation estimée à 80 % = 0.8*1200</t>
        </r>
        <r>
          <rPr>
            <b/>
            <sz val="10"/>
            <color indexed="81"/>
            <rFont val="Tahoma"/>
            <family val="2"/>
          </rPr>
          <t xml:space="preserve"> = 960 kg par chargement
</t>
        </r>
        <r>
          <rPr>
            <sz val="10"/>
            <color indexed="81"/>
            <rFont val="Tahoma"/>
            <family val="2"/>
          </rPr>
          <t xml:space="preserve">
</t>
        </r>
      </text>
    </comment>
    <comment ref="B49" authorId="1" shapeId="0">
      <text>
        <r>
          <rPr>
            <b/>
            <sz val="10"/>
            <color indexed="81"/>
            <rFont val="Tahoma"/>
            <family val="2"/>
          </rPr>
          <t xml:space="preserve">zue:
</t>
        </r>
        <r>
          <rPr>
            <sz val="10"/>
            <color indexed="81"/>
            <rFont val="Tahoma"/>
            <family val="2"/>
          </rPr>
          <t>Même machine de récolte que pour la récolte sur l'arbre</t>
        </r>
      </text>
    </comment>
    <comment ref="I49" authorId="1" shapeId="0">
      <text>
        <r>
          <rPr>
            <b/>
            <sz val="10"/>
            <color indexed="81"/>
            <rFont val="Tahoma"/>
            <family val="2"/>
          </rPr>
          <t xml:space="preserve">zue:
</t>
        </r>
        <r>
          <rPr>
            <sz val="10"/>
            <color indexed="81"/>
            <rFont val="Tahoma"/>
            <family val="2"/>
          </rPr>
          <t>Même machine de récolte que pour la récolte sur l'arbre</t>
        </r>
      </text>
    </comment>
    <comment ref="P49" authorId="1" shapeId="0">
      <text>
        <r>
          <rPr>
            <b/>
            <sz val="10"/>
            <color indexed="81"/>
            <rFont val="Tahoma"/>
            <family val="2"/>
          </rPr>
          <t xml:space="preserve">zue:
</t>
        </r>
        <r>
          <rPr>
            <sz val="10"/>
            <color indexed="81"/>
            <rFont val="Tahoma"/>
            <family val="2"/>
          </rPr>
          <t>Même machine de récolte que pour la récolte sur l'arbre</t>
        </r>
      </text>
    </comment>
    <comment ref="W49" authorId="1" shapeId="0">
      <text>
        <r>
          <rPr>
            <b/>
            <sz val="10"/>
            <color indexed="81"/>
            <rFont val="Tahoma"/>
            <family val="2"/>
          </rPr>
          <t xml:space="preserve">zue:
</t>
        </r>
        <r>
          <rPr>
            <sz val="10"/>
            <color indexed="81"/>
            <rFont val="Tahoma"/>
            <family val="2"/>
          </rPr>
          <t>Même machine de récolte que pour la récolte sur l'arbre</t>
        </r>
      </text>
    </comment>
    <comment ref="AD49" authorId="1" shapeId="0">
      <text>
        <r>
          <rPr>
            <b/>
            <sz val="10"/>
            <color indexed="81"/>
            <rFont val="Tahoma"/>
            <family val="2"/>
          </rPr>
          <t xml:space="preserve">zue:
</t>
        </r>
        <r>
          <rPr>
            <sz val="10"/>
            <color indexed="81"/>
            <rFont val="Tahoma"/>
            <family val="2"/>
          </rPr>
          <t>Même machine de récolte que pour la récolte sur l'arbre</t>
        </r>
      </text>
    </comment>
    <comment ref="AK49" authorId="1" shapeId="0">
      <text>
        <r>
          <rPr>
            <b/>
            <sz val="10"/>
            <color indexed="81"/>
            <rFont val="Tahoma"/>
            <family val="2"/>
          </rPr>
          <t xml:space="preserve">zue:
</t>
        </r>
        <r>
          <rPr>
            <sz val="10"/>
            <color indexed="81"/>
            <rFont val="Tahoma"/>
            <family val="2"/>
          </rPr>
          <t>Même machine de récolte que pour la récolte sur l'arbre</t>
        </r>
      </text>
    </comment>
    <comment ref="AR49" authorId="1" shapeId="0">
      <text>
        <r>
          <rPr>
            <b/>
            <sz val="10"/>
            <color indexed="81"/>
            <rFont val="Tahoma"/>
            <family val="2"/>
          </rPr>
          <t xml:space="preserve">zue:
</t>
        </r>
        <r>
          <rPr>
            <sz val="10"/>
            <color indexed="81"/>
            <rFont val="Tahoma"/>
            <family val="2"/>
          </rPr>
          <t>Même machine de récolte que pour la récolte sur l'arbre</t>
        </r>
      </text>
    </comment>
    <comment ref="AY49" authorId="1" shapeId="0">
      <text>
        <r>
          <rPr>
            <b/>
            <sz val="10"/>
            <color indexed="81"/>
            <rFont val="Tahoma"/>
            <family val="2"/>
          </rPr>
          <t xml:space="preserve">zue:
</t>
        </r>
        <r>
          <rPr>
            <sz val="10"/>
            <color indexed="81"/>
            <rFont val="Tahoma"/>
            <family val="2"/>
          </rPr>
          <t>Même machine de récolte que pour la récolte sur l'arbre</t>
        </r>
      </text>
    </comment>
    <comment ref="BF49" authorId="1" shapeId="0">
      <text>
        <r>
          <rPr>
            <b/>
            <sz val="10"/>
            <color indexed="81"/>
            <rFont val="Tahoma"/>
            <family val="2"/>
          </rPr>
          <t xml:space="preserve">zue:
</t>
        </r>
        <r>
          <rPr>
            <sz val="10"/>
            <color indexed="81"/>
            <rFont val="Tahoma"/>
            <family val="2"/>
          </rPr>
          <t>Même machine de récolte que pour la récolte sur l'arbre</t>
        </r>
      </text>
    </comment>
    <comment ref="BM49" authorId="1" shapeId="0">
      <text>
        <r>
          <rPr>
            <b/>
            <sz val="10"/>
            <color indexed="81"/>
            <rFont val="Tahoma"/>
            <family val="2"/>
          </rPr>
          <t xml:space="preserve">zue:
</t>
        </r>
        <r>
          <rPr>
            <sz val="10"/>
            <color indexed="81"/>
            <rFont val="Tahoma"/>
            <family val="2"/>
          </rPr>
          <t>Même machine de récolte que pour la récolte sur l'arbre</t>
        </r>
      </text>
    </comment>
    <comment ref="BT49" authorId="1" shapeId="0">
      <text>
        <r>
          <rPr>
            <b/>
            <sz val="10"/>
            <color indexed="81"/>
            <rFont val="Tahoma"/>
            <family val="2"/>
          </rPr>
          <t xml:space="preserve">zue:
</t>
        </r>
        <r>
          <rPr>
            <sz val="10"/>
            <color indexed="81"/>
            <rFont val="Tahoma"/>
            <family val="2"/>
          </rPr>
          <t>Même machine de récolte que pour la récolte sur l'arbre</t>
        </r>
      </text>
    </comment>
    <comment ref="CA49" authorId="1" shapeId="0">
      <text>
        <r>
          <rPr>
            <b/>
            <sz val="10"/>
            <color indexed="81"/>
            <rFont val="Tahoma"/>
            <family val="2"/>
          </rPr>
          <t xml:space="preserve">zue:
</t>
        </r>
        <r>
          <rPr>
            <sz val="10"/>
            <color indexed="81"/>
            <rFont val="Tahoma"/>
            <family val="2"/>
          </rPr>
          <t>Même machine de récolte que pour la récolte sur l'arbre</t>
        </r>
      </text>
    </comment>
    <comment ref="CH49" authorId="1" shapeId="0">
      <text>
        <r>
          <rPr>
            <b/>
            <sz val="10"/>
            <color indexed="81"/>
            <rFont val="Tahoma"/>
            <family val="2"/>
          </rPr>
          <t xml:space="preserve">zue:
</t>
        </r>
        <r>
          <rPr>
            <sz val="10"/>
            <color indexed="81"/>
            <rFont val="Tahoma"/>
            <family val="2"/>
          </rPr>
          <t>Même machine de récolte que pour la récolte sur l'arbre</t>
        </r>
      </text>
    </comment>
    <comment ref="CO49" authorId="1" shapeId="0">
      <text>
        <r>
          <rPr>
            <b/>
            <sz val="10"/>
            <color indexed="81"/>
            <rFont val="Tahoma"/>
            <family val="2"/>
          </rPr>
          <t xml:space="preserve">zue:
</t>
        </r>
        <r>
          <rPr>
            <sz val="10"/>
            <color indexed="81"/>
            <rFont val="Tahoma"/>
            <family val="2"/>
          </rPr>
          <t>Même machine de récolte que pour la récolte sur l'arbre</t>
        </r>
      </text>
    </comment>
    <comment ref="CV49" authorId="1" shapeId="0">
      <text>
        <r>
          <rPr>
            <b/>
            <sz val="10"/>
            <color indexed="81"/>
            <rFont val="Tahoma"/>
            <family val="2"/>
          </rPr>
          <t xml:space="preserve">zue:
</t>
        </r>
        <r>
          <rPr>
            <sz val="10"/>
            <color indexed="81"/>
            <rFont val="Tahoma"/>
            <family val="2"/>
          </rPr>
          <t>Même machine de récolte que pour la récolte sur l'arbre</t>
        </r>
      </text>
    </comment>
    <comment ref="D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K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R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Y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AF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AM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AT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BA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BH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BO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BV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CC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CJ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CQ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CX52" authorId="1" shapeId="0">
      <text>
        <r>
          <rPr>
            <sz val="10"/>
            <color indexed="81"/>
            <rFont val="Tahoma"/>
            <family val="2"/>
          </rPr>
          <t>Calcul des heures de traction pour la récolte: Nombre de chargements fois le temps de récolte par chargement fois l'utilisation des machines de traction à la récolte (0.25).</t>
        </r>
      </text>
    </comment>
    <comment ref="B64" authorId="2" shapeId="0">
      <text>
        <r>
          <rPr>
            <b/>
            <sz val="10"/>
            <color indexed="81"/>
            <rFont val="Tahoma"/>
          </rPr>
          <t>zue:</t>
        </r>
        <r>
          <rPr>
            <sz val="10"/>
            <color indexed="81"/>
            <rFont val="Tahoma"/>
          </rPr>
          <t xml:space="preserve">
Il en résulte que le filet est également ouvert et fermé la 1ère année</t>
        </r>
      </text>
    </comment>
    <comment ref="I64" authorId="2" shapeId="0">
      <text>
        <r>
          <rPr>
            <b/>
            <sz val="10"/>
            <color indexed="81"/>
            <rFont val="Tahoma"/>
          </rPr>
          <t>zue:</t>
        </r>
        <r>
          <rPr>
            <sz val="10"/>
            <color indexed="81"/>
            <rFont val="Tahoma"/>
          </rPr>
          <t xml:space="preserve">
Il en résulte que le filet est également ouvert et fermé la 1ère année</t>
        </r>
      </text>
    </comment>
    <comment ref="P64" authorId="2" shapeId="0">
      <text>
        <r>
          <rPr>
            <b/>
            <sz val="10"/>
            <color indexed="81"/>
            <rFont val="Tahoma"/>
          </rPr>
          <t>zue:</t>
        </r>
        <r>
          <rPr>
            <sz val="10"/>
            <color indexed="81"/>
            <rFont val="Tahoma"/>
          </rPr>
          <t xml:space="preserve">
Il en résulte que le filet est également ouvert et fermé la 1ère année</t>
        </r>
      </text>
    </comment>
    <comment ref="W64" authorId="2" shapeId="0">
      <text>
        <r>
          <rPr>
            <b/>
            <sz val="10"/>
            <color indexed="81"/>
            <rFont val="Tahoma"/>
          </rPr>
          <t>zue:</t>
        </r>
        <r>
          <rPr>
            <sz val="10"/>
            <color indexed="81"/>
            <rFont val="Tahoma"/>
          </rPr>
          <t xml:space="preserve">
Il en résulte que le filet est également ouvert et fermé la 1ère année</t>
        </r>
      </text>
    </comment>
    <comment ref="AD64" authorId="2" shapeId="0">
      <text>
        <r>
          <rPr>
            <b/>
            <sz val="10"/>
            <color indexed="81"/>
            <rFont val="Tahoma"/>
          </rPr>
          <t>zue:</t>
        </r>
        <r>
          <rPr>
            <sz val="10"/>
            <color indexed="81"/>
            <rFont val="Tahoma"/>
          </rPr>
          <t xml:space="preserve">
Il en résulte que le filet est également ouvert et fermé la 1ère année</t>
        </r>
      </text>
    </comment>
    <comment ref="AK64" authorId="2" shapeId="0">
      <text>
        <r>
          <rPr>
            <b/>
            <sz val="10"/>
            <color indexed="81"/>
            <rFont val="Tahoma"/>
          </rPr>
          <t>zue:</t>
        </r>
        <r>
          <rPr>
            <sz val="10"/>
            <color indexed="81"/>
            <rFont val="Tahoma"/>
          </rPr>
          <t xml:space="preserve">
Il en résulte que le filet est également ouvert et fermé la 1ère année</t>
        </r>
      </text>
    </comment>
    <comment ref="AR64" authorId="2" shapeId="0">
      <text>
        <r>
          <rPr>
            <b/>
            <sz val="10"/>
            <color indexed="81"/>
            <rFont val="Tahoma"/>
          </rPr>
          <t>zue:</t>
        </r>
        <r>
          <rPr>
            <sz val="10"/>
            <color indexed="81"/>
            <rFont val="Tahoma"/>
          </rPr>
          <t xml:space="preserve">
Il en résulte que le filet est également ouvert et fermé la 1ère année</t>
        </r>
      </text>
    </comment>
    <comment ref="AY64" authorId="2" shapeId="0">
      <text>
        <r>
          <rPr>
            <b/>
            <sz val="10"/>
            <color indexed="81"/>
            <rFont val="Tahoma"/>
          </rPr>
          <t>zue:</t>
        </r>
        <r>
          <rPr>
            <sz val="10"/>
            <color indexed="81"/>
            <rFont val="Tahoma"/>
          </rPr>
          <t xml:space="preserve">
Il en résulte que le filet est également ouvert et fermé la 1ère année</t>
        </r>
      </text>
    </comment>
    <comment ref="BF64" authorId="2" shapeId="0">
      <text>
        <r>
          <rPr>
            <b/>
            <sz val="10"/>
            <color indexed="81"/>
            <rFont val="Tahoma"/>
          </rPr>
          <t>zue:</t>
        </r>
        <r>
          <rPr>
            <sz val="10"/>
            <color indexed="81"/>
            <rFont val="Tahoma"/>
          </rPr>
          <t xml:space="preserve">
Il en résulte que le filet est également ouvert et fermé la 1ère année</t>
        </r>
      </text>
    </comment>
    <comment ref="BM64" authorId="2" shapeId="0">
      <text>
        <r>
          <rPr>
            <b/>
            <sz val="10"/>
            <color indexed="81"/>
            <rFont val="Tahoma"/>
          </rPr>
          <t>zue:</t>
        </r>
        <r>
          <rPr>
            <sz val="10"/>
            <color indexed="81"/>
            <rFont val="Tahoma"/>
          </rPr>
          <t xml:space="preserve">
Il en résulte que le filet est également ouvert et fermé la 1ère année</t>
        </r>
      </text>
    </comment>
    <comment ref="BT64" authorId="2" shapeId="0">
      <text>
        <r>
          <rPr>
            <b/>
            <sz val="10"/>
            <color indexed="81"/>
            <rFont val="Tahoma"/>
          </rPr>
          <t>zue:</t>
        </r>
        <r>
          <rPr>
            <sz val="10"/>
            <color indexed="81"/>
            <rFont val="Tahoma"/>
          </rPr>
          <t xml:space="preserve">
Il en résulte que le filet est également ouvert et fermé la 1ère année</t>
        </r>
      </text>
    </comment>
    <comment ref="CA64" authorId="2" shapeId="0">
      <text>
        <r>
          <rPr>
            <b/>
            <sz val="10"/>
            <color indexed="81"/>
            <rFont val="Tahoma"/>
          </rPr>
          <t>zue:</t>
        </r>
        <r>
          <rPr>
            <sz val="10"/>
            <color indexed="81"/>
            <rFont val="Tahoma"/>
          </rPr>
          <t xml:space="preserve">
Il en résulte que le filet est également ouvert et fermé la 1ère année</t>
        </r>
      </text>
    </comment>
    <comment ref="CH64" authorId="2" shapeId="0">
      <text>
        <r>
          <rPr>
            <b/>
            <sz val="10"/>
            <color indexed="81"/>
            <rFont val="Tahoma"/>
          </rPr>
          <t>zue:</t>
        </r>
        <r>
          <rPr>
            <sz val="10"/>
            <color indexed="81"/>
            <rFont val="Tahoma"/>
          </rPr>
          <t xml:space="preserve">
Il en résulte que le filet est également ouvert et fermé la 1ère année</t>
        </r>
      </text>
    </comment>
    <comment ref="CO64" authorId="2" shapeId="0">
      <text>
        <r>
          <rPr>
            <b/>
            <sz val="10"/>
            <color indexed="81"/>
            <rFont val="Tahoma"/>
          </rPr>
          <t>zue:</t>
        </r>
        <r>
          <rPr>
            <sz val="10"/>
            <color indexed="81"/>
            <rFont val="Tahoma"/>
          </rPr>
          <t xml:space="preserve">
Il en résulte que le filet est également ouvert et fermé la 1ère année</t>
        </r>
      </text>
    </comment>
    <comment ref="CV64" authorId="2" shapeId="0">
      <text>
        <r>
          <rPr>
            <b/>
            <sz val="10"/>
            <color indexed="81"/>
            <rFont val="Tahoma"/>
          </rPr>
          <t>zue:</t>
        </r>
        <r>
          <rPr>
            <sz val="10"/>
            <color indexed="81"/>
            <rFont val="Tahoma"/>
          </rPr>
          <t xml:space="preserve">
Il en résulte que le filet est également ouvert et fermé la 1ère année</t>
        </r>
      </text>
    </comment>
    <comment ref="CV82" authorId="1" shapeId="0">
      <text>
        <r>
          <rPr>
            <b/>
            <sz val="8"/>
            <color indexed="81"/>
            <rFont val="Tahoma"/>
          </rPr>
          <t xml:space="preserve">P. Mouron:
</t>
        </r>
        <r>
          <rPr>
            <sz val="10"/>
            <color indexed="81"/>
            <rFont val="Tahoma"/>
            <family val="2"/>
          </rPr>
          <t>Les coûts d'arrachage font partie de la dernière année</t>
        </r>
      </text>
    </comment>
  </commentList>
</comments>
</file>

<file path=xl/comments7.xml><?xml version="1.0" encoding="utf-8"?>
<comments xmlns="http://schemas.openxmlformats.org/spreadsheetml/2006/main">
  <authors>
    <author>P. Mouron</author>
    <author>FAW</author>
    <author>zue</author>
  </authors>
  <commentList>
    <comment ref="E8" authorId="0" shapeId="0">
      <text>
        <r>
          <rPr>
            <sz val="10"/>
            <color indexed="81"/>
            <rFont val="Tahoma"/>
            <family val="2"/>
          </rPr>
          <t>Les coûts pour les besoins d'emballage et de transport (de l'exploitation jusqu'à la coopérative) sont ici tirés d'un forfait</t>
        </r>
      </text>
    </comment>
    <comment ref="B11" authorId="0" shapeId="0">
      <text>
        <r>
          <rPr>
            <b/>
            <sz val="8"/>
            <color indexed="81"/>
            <rFont val="Tahoma"/>
          </rPr>
          <t xml:space="preserve">zue:
</t>
        </r>
        <r>
          <rPr>
            <sz val="10"/>
            <color indexed="81"/>
            <rFont val="Tahoma"/>
            <family val="2"/>
          </rPr>
          <t>Déchets de triage + du sol</t>
        </r>
      </text>
    </comment>
    <comment ref="D12" authorId="0" shapeId="0">
      <text>
        <r>
          <rPr>
            <b/>
            <sz val="8"/>
            <color indexed="81"/>
            <rFont val="Tahoma"/>
          </rPr>
          <t>Zue:</t>
        </r>
        <r>
          <rPr>
            <sz val="8"/>
            <color indexed="81"/>
            <rFont val="Tahoma"/>
          </rPr>
          <t xml:space="preserve">
</t>
        </r>
        <r>
          <rPr>
            <sz val="10"/>
            <color indexed="81"/>
            <rFont val="Tahoma"/>
            <family val="2"/>
          </rPr>
          <t>Moyenne durant la phase de production, les dégâts de gel inclus. Les dégâts de grêle ne sont pas pris en compte, tout comme le filet anti-grêle.</t>
        </r>
      </text>
    </comment>
    <comment ref="C19" authorId="0" shapeId="0">
      <text>
        <r>
          <rPr>
            <b/>
            <sz val="8"/>
            <color indexed="81"/>
            <rFont val="Tahoma"/>
          </rPr>
          <t>zue:</t>
        </r>
        <r>
          <rPr>
            <sz val="8"/>
            <color indexed="81"/>
            <rFont val="Tahoma"/>
          </rPr>
          <t xml:space="preserve">
</t>
        </r>
        <r>
          <rPr>
            <sz val="10"/>
            <color indexed="81"/>
            <rFont val="Tahoma"/>
            <family val="2"/>
          </rPr>
          <t>Nombre de passages</t>
        </r>
      </text>
    </comment>
    <comment ref="F27" authorId="1" shapeId="0">
      <text>
        <r>
          <rPr>
            <sz val="10"/>
            <color indexed="81"/>
            <rFont val="Tahoma"/>
            <family val="2"/>
          </rPr>
          <t>FAW:
fois 0.9, i.e. en moyenne  10% de rabais</t>
        </r>
      </text>
    </comment>
    <comment ref="A29" authorId="1" shapeId="0">
      <text>
        <r>
          <rPr>
            <b/>
            <sz val="10"/>
            <color indexed="81"/>
            <rFont val="Tahoma"/>
            <family val="2"/>
          </rPr>
          <t>FAW:</t>
        </r>
        <r>
          <rPr>
            <sz val="10"/>
            <color indexed="81"/>
            <rFont val="Tahoma"/>
            <family val="2"/>
          </rPr>
          <t xml:space="preserve">
Selon les données de Hubert Büchele (MABO)</t>
        </r>
      </text>
    </comment>
    <comment ref="B41" authorId="2" shapeId="0">
      <text>
        <r>
          <rPr>
            <b/>
            <sz val="10"/>
            <color indexed="81"/>
            <rFont val="Tahoma"/>
          </rPr>
          <t>zue:</t>
        </r>
        <r>
          <rPr>
            <sz val="10"/>
            <color indexed="81"/>
            <rFont val="Tahoma"/>
          </rPr>
          <t xml:space="preserve">
Calculé avec la fonction Excel paiements réguliers. Amène à un paiement constant selon une annuité par période, où les paiements et le taux d'intérêt constants sont supposés</t>
        </r>
      </text>
    </comment>
    <comment ref="C50" authorId="0" shapeId="0">
      <text>
        <r>
          <rPr>
            <b/>
            <sz val="10"/>
            <color indexed="81"/>
            <rFont val="Tahoma"/>
            <family val="2"/>
          </rPr>
          <t xml:space="preserve">Calcul des kg par chargement:
</t>
        </r>
        <r>
          <rPr>
            <sz val="10"/>
            <color indexed="81"/>
            <rFont val="Tahoma"/>
            <family val="2"/>
          </rPr>
          <t xml:space="preserve">Machine de récolte pour 4 paloxes (Zug):
4 paloxes à 300 kg = 1200 kg par utilisation estimée à 80 % = 0.8*1200 </t>
        </r>
        <r>
          <rPr>
            <b/>
            <sz val="10"/>
            <color indexed="81"/>
            <rFont val="Tahoma"/>
            <family val="2"/>
          </rPr>
          <t xml:space="preserve">= 960 kg par chargement
</t>
        </r>
      </text>
    </comment>
    <comment ref="B52" authorId="0" shapeId="0">
      <text>
        <r>
          <rPr>
            <b/>
            <sz val="10"/>
            <color indexed="81"/>
            <rFont val="Tahoma"/>
            <family val="2"/>
          </rPr>
          <t xml:space="preserve">zue:
</t>
        </r>
        <r>
          <rPr>
            <sz val="10"/>
            <color indexed="81"/>
            <rFont val="Tahoma"/>
            <family val="2"/>
          </rPr>
          <t>Même machine de récolte que pour la récolte sur l'arbre</t>
        </r>
      </text>
    </comment>
    <comment ref="D55" authorId="0" shapeId="0">
      <text>
        <r>
          <rPr>
            <sz val="10"/>
            <color indexed="81"/>
            <rFont val="Tahoma"/>
            <family val="2"/>
          </rPr>
          <t>Calcul des heures de traction pour la récolte: Nombre de chargements fois le temps de récolte par chargement fois l'uitlisation des machines à traction pour la récolte (0.25).</t>
        </r>
      </text>
    </comment>
    <comment ref="B68" authorId="2" shapeId="0">
      <text>
        <r>
          <rPr>
            <b/>
            <sz val="10"/>
            <color indexed="81"/>
            <rFont val="Tahoma"/>
          </rPr>
          <t>zue:</t>
        </r>
        <r>
          <rPr>
            <sz val="10"/>
            <color indexed="81"/>
            <rFont val="Tahoma"/>
          </rPr>
          <t xml:space="preserve">
Il en résulte que le filet est également ouvert et fermé durant la 1ère année</t>
        </r>
      </text>
    </comment>
    <comment ref="A107" authorId="0" shapeId="0">
      <text>
        <r>
          <rPr>
            <b/>
            <sz val="8"/>
            <color indexed="81"/>
            <rFont val="Tahoma"/>
            <family val="2"/>
          </rPr>
          <t>ZUE:</t>
        </r>
        <r>
          <rPr>
            <sz val="10"/>
            <color indexed="81"/>
            <rFont val="Tahoma"/>
            <family val="2"/>
          </rPr>
          <t xml:space="preserve">
Dans le minimum de l'entreprise (ou le seuil de l'entreprise) les coûts variables sont couverts mais pas les coûts fixes. Si le produit total  de la vente ne peut plus couvrir cette somme il s'avère économiquement judicieux de ne plus produire et de défricher la parcelle.</t>
        </r>
      </text>
    </comment>
    <comment ref="A118" authorId="0" shapeId="0">
      <text>
        <r>
          <rPr>
            <b/>
            <sz val="8"/>
            <color indexed="81"/>
            <rFont val="Tahoma"/>
          </rPr>
          <t>ZUE:</t>
        </r>
        <r>
          <rPr>
            <sz val="8"/>
            <color indexed="81"/>
            <rFont val="Tahoma"/>
          </rPr>
          <t xml:space="preserve">
</t>
        </r>
        <r>
          <rPr>
            <sz val="10"/>
            <color indexed="81"/>
            <rFont val="Tahoma"/>
            <family val="2"/>
          </rPr>
          <t>Voir:  Betriebswirtschaftliche Begriffe im Agrarbereich, LMZ 2000, p.112</t>
        </r>
      </text>
    </comment>
    <comment ref="A120" authorId="0" shapeId="0">
      <text>
        <r>
          <rPr>
            <b/>
            <sz val="8"/>
            <color indexed="81"/>
            <rFont val="Tahoma"/>
          </rPr>
          <t>ZUE:</t>
        </r>
        <r>
          <rPr>
            <sz val="8"/>
            <color indexed="81"/>
            <rFont val="Tahoma"/>
          </rPr>
          <t xml:space="preserve">
</t>
        </r>
        <r>
          <rPr>
            <sz val="10"/>
            <color indexed="81"/>
            <rFont val="Tahoma"/>
            <family val="2"/>
          </rPr>
          <t>Somme du taux d'intérêt pour le capital propre et les paiements de l'intérêt  de location et des dettes ((Betriebswirtschaftliche Begriffe im Agrarbereich, LMZ 2000, p.110)
Ici: Intérêts pour les investissements et le terrain</t>
        </r>
      </text>
    </comment>
    <comment ref="A121" authorId="0" shapeId="0">
      <text>
        <r>
          <rPr>
            <b/>
            <sz val="8"/>
            <color indexed="81"/>
            <rFont val="Tahoma"/>
          </rPr>
          <t>P</t>
        </r>
        <r>
          <rPr>
            <b/>
            <sz val="10"/>
            <color indexed="81"/>
            <rFont val="Tahoma"/>
            <family val="2"/>
          </rPr>
          <t>. Mouron:</t>
        </r>
        <r>
          <rPr>
            <sz val="10"/>
            <color indexed="81"/>
            <rFont val="Tahoma"/>
            <family val="2"/>
          </rPr>
          <t xml:space="preserve">
Coûts pour les produits de traitement utilisés dans la production </t>
        </r>
        <r>
          <rPr>
            <b/>
            <sz val="10"/>
            <color indexed="81"/>
            <rFont val="Tahoma"/>
            <family val="2"/>
          </rPr>
          <t>y compris les amortissements</t>
        </r>
        <r>
          <rPr>
            <sz val="10"/>
            <color indexed="81"/>
            <rFont val="Tahoma"/>
            <family val="2"/>
          </rPr>
          <t>, mais sans les indemnisations pour les facteurs de production travail et capital. (Betriebswirtschaftliche Begriffe im Agrarbereich, LMZ 2000, p.149)</t>
        </r>
      </text>
    </comment>
  </commentList>
</comments>
</file>

<file path=xl/comments8.xml><?xml version="1.0" encoding="utf-8"?>
<comments xmlns="http://schemas.openxmlformats.org/spreadsheetml/2006/main">
  <authors>
    <author>P. Mouron</author>
    <author>FAW</author>
    <author>Dante Carint</author>
    <author>zue</author>
  </authors>
  <commentList>
    <comment ref="C21" authorId="0" shapeId="0">
      <text>
        <r>
          <rPr>
            <b/>
            <sz val="10"/>
            <color indexed="81"/>
            <rFont val="Tahoma"/>
            <family val="2"/>
          </rPr>
          <t>P. Mouron:</t>
        </r>
        <r>
          <rPr>
            <sz val="10"/>
            <color indexed="81"/>
            <rFont val="Tahoma"/>
            <family val="2"/>
          </rPr>
          <t xml:space="preserve">
Possible avec un tracteur avec des distances normales</t>
        </r>
      </text>
    </comment>
    <comment ref="B24" authorId="1" shapeId="0">
      <text>
        <r>
          <rPr>
            <b/>
            <sz val="10"/>
            <color indexed="81"/>
            <rFont val="Tahoma"/>
            <family val="2"/>
          </rPr>
          <t>FAW:</t>
        </r>
        <r>
          <rPr>
            <sz val="10"/>
            <color indexed="81"/>
            <rFont val="Tahoma"/>
            <family val="2"/>
          </rPr>
          <t xml:space="preserve">
Dans le cas d'une modification d'arbres/ha, il faut aussi modifier la poduction/ha</t>
        </r>
      </text>
    </comment>
    <comment ref="G38" authorId="0" shapeId="0">
      <text>
        <r>
          <rPr>
            <b/>
            <sz val="8"/>
            <color indexed="81"/>
            <rFont val="Tahoma"/>
          </rPr>
          <t xml:space="preserve">ZUE:
</t>
        </r>
        <r>
          <rPr>
            <sz val="10"/>
            <color indexed="81"/>
            <rFont val="Tahoma"/>
            <family val="2"/>
          </rPr>
          <t>Catalogue des prix Agridea</t>
        </r>
      </text>
    </comment>
    <comment ref="C39" authorId="1" shapeId="0">
      <text>
        <r>
          <rPr>
            <b/>
            <sz val="10"/>
            <color indexed="81"/>
            <rFont val="Tahoma"/>
            <family val="2"/>
          </rPr>
          <t>FAW 2007:</t>
        </r>
        <r>
          <rPr>
            <sz val="10"/>
            <color indexed="81"/>
            <rFont val="Tahoma"/>
            <family val="2"/>
          </rPr>
          <t xml:space="preserve">
1040 Fr. de contributions pour la surface + 620 Fr. d'indemnisations spécifiques pour la durée de la culture</t>
        </r>
      </text>
    </comment>
    <comment ref="C41" authorId="0" shapeId="0">
      <text>
        <r>
          <rPr>
            <sz val="10"/>
            <color indexed="81"/>
            <rFont val="Tahoma"/>
            <family val="2"/>
          </rPr>
          <t>ZUE
Facteur FAT pour une durée d'amortissement de 12 ans =  0.542</t>
        </r>
      </text>
    </comment>
    <comment ref="D48" authorId="1" shapeId="0">
      <text>
        <r>
          <rPr>
            <b/>
            <sz val="10"/>
            <color indexed="81"/>
            <rFont val="Tahoma"/>
            <family val="2"/>
          </rPr>
          <t>FAW:</t>
        </r>
        <r>
          <rPr>
            <sz val="10"/>
            <color indexed="81"/>
            <rFont val="Tahoma"/>
            <family val="2"/>
          </rPr>
          <t xml:space="preserve">
Cidre, variétés habituelles</t>
        </r>
      </text>
    </comment>
    <comment ref="B91" authorId="0" shapeId="0">
      <text>
        <r>
          <rPr>
            <sz val="12"/>
            <color indexed="81"/>
            <rFont val="Tahoma"/>
            <family val="2"/>
          </rPr>
          <t>sans le contrôle du feu bactérien</t>
        </r>
      </text>
    </comment>
    <comment ref="H130" authorId="0" shapeId="0">
      <text>
        <r>
          <rPr>
            <b/>
            <sz val="8"/>
            <color indexed="81"/>
            <rFont val="Tahoma"/>
          </rPr>
          <t>zue:</t>
        </r>
        <r>
          <rPr>
            <sz val="8"/>
            <color indexed="81"/>
            <rFont val="Tahoma"/>
          </rPr>
          <t xml:space="preserve">
</t>
        </r>
        <r>
          <rPr>
            <sz val="10"/>
            <color indexed="81"/>
            <rFont val="Tahoma"/>
            <family val="2"/>
          </rPr>
          <t>Supposition: le moteur tourne seulement le ¼  du temps d'utilisation pendant la récolte .</t>
        </r>
      </text>
    </comment>
    <comment ref="E136" authorId="0" shapeId="0">
      <text>
        <r>
          <rPr>
            <b/>
            <sz val="10"/>
            <color indexed="81"/>
            <rFont val="Tahoma"/>
            <family val="2"/>
          </rPr>
          <t>zue:</t>
        </r>
        <r>
          <rPr>
            <sz val="10"/>
            <color indexed="81"/>
            <rFont val="Tahoma"/>
            <family val="2"/>
          </rPr>
          <t xml:space="preserve">
1 personne par paloxe</t>
        </r>
      </text>
    </comment>
    <comment ref="B139" authorId="1" shapeId="0">
      <text>
        <r>
          <rPr>
            <b/>
            <sz val="10"/>
            <color indexed="81"/>
            <rFont val="Tahoma"/>
            <family val="2"/>
          </rPr>
          <t>FAW:</t>
        </r>
        <r>
          <rPr>
            <sz val="10"/>
            <color indexed="81"/>
            <rFont val="Tahoma"/>
            <family val="2"/>
          </rPr>
          <t xml:space="preserve">
avec fourche basculante</t>
        </r>
      </text>
    </comment>
    <comment ref="C139" authorId="2" shapeId="0">
      <text>
        <r>
          <rPr>
            <b/>
            <sz val="10"/>
            <color indexed="81"/>
            <rFont val="Tahoma"/>
            <family val="2"/>
          </rPr>
          <t>Dante Carint:</t>
        </r>
        <r>
          <rPr>
            <sz val="10"/>
            <color indexed="81"/>
            <rFont val="Tahoma"/>
            <family val="2"/>
          </rPr>
          <t xml:space="preserve">
15 min par chargement</t>
        </r>
      </text>
    </comment>
    <comment ref="C154" authorId="0" shapeId="0">
      <text>
        <r>
          <rPr>
            <sz val="10"/>
            <color indexed="81"/>
            <rFont val="Tahoma"/>
            <family val="2"/>
          </rPr>
          <t>zue:
valable pour 1 ha de culture fruitière</t>
        </r>
      </text>
    </comment>
    <comment ref="D164" authorId="0" shapeId="0">
      <text>
        <r>
          <rPr>
            <sz val="10"/>
            <color indexed="81"/>
            <rFont val="Tahoma"/>
            <family val="2"/>
          </rPr>
          <t>Grille tressée Ursus lourde (Hortima)
Typ 11/120 (intervalles entre les quadrilatères 15cm)
Prix: 8.10 Fr. par m linéaire
Dès 2000 Fr. : 15% rabais
Variante
Grille tressée Ursus légère,Typ 23/160 
Prix: 7.45 Fr. par m linéaire</t>
        </r>
      </text>
    </comment>
    <comment ref="B165" authorId="1" shapeId="0">
      <text>
        <r>
          <rPr>
            <sz val="9"/>
            <color indexed="81"/>
            <rFont val="Tahoma"/>
            <family val="2"/>
          </rPr>
          <t>200 cm de long, dimensions: 7x7 cm ; fixé seulement en haut</t>
        </r>
      </text>
    </comment>
    <comment ref="D165" authorId="1" shapeId="0">
      <text>
        <r>
          <rPr>
            <sz val="9"/>
            <color indexed="81"/>
            <rFont val="Tahoma"/>
            <family val="2"/>
          </rPr>
          <t>Dès 600 Fr. 6% rabais, prix initial par pièce: 10.20 Fr.</t>
        </r>
      </text>
    </comment>
    <comment ref="B166" authorId="1" shapeId="0">
      <text>
        <r>
          <rPr>
            <sz val="9"/>
            <color indexed="81"/>
            <rFont val="Tahoma"/>
            <family val="2"/>
          </rPr>
          <t>225 cm de long, dimensions: 8x8 cm ; fixé seulement en haut</t>
        </r>
      </text>
    </comment>
    <comment ref="D166" authorId="1" shapeId="0">
      <text>
        <r>
          <rPr>
            <sz val="9"/>
            <color indexed="81"/>
            <rFont val="Tahoma"/>
            <family val="2"/>
          </rPr>
          <t>21 pieux ont été achetés ainsi il y a un rabais de 3%  (dès 300 Fr.), prix de base par pièce 15.95</t>
        </r>
      </text>
    </comment>
    <comment ref="B167" authorId="1" shapeId="0">
      <text>
        <r>
          <rPr>
            <sz val="9"/>
            <color indexed="81"/>
            <rFont val="Tahoma"/>
            <family val="2"/>
          </rPr>
          <t>225 cm de long; dimensions 8x10cm fixé seulement en haut;utilisé pour le renforcement des portes</t>
        </r>
      </text>
    </comment>
    <comment ref="D168" authorId="1" shapeId="0">
      <text>
        <r>
          <rPr>
            <sz val="9"/>
            <color indexed="81"/>
            <rFont val="Tahoma"/>
            <family val="2"/>
          </rPr>
          <t>Plus ou moins cher en fonction de chaque porte. Données des prix moyens tirés de Roland Rot</t>
        </r>
      </text>
    </comment>
    <comment ref="B169" authorId="1" shapeId="0">
      <text>
        <r>
          <rPr>
            <sz val="9"/>
            <color indexed="81"/>
            <rFont val="Tahoma"/>
            <family val="2"/>
          </rPr>
          <t>Fil de fer rigide galvanisé, 3 mm de diamètre, env. 18 m par kg</t>
        </r>
      </text>
    </comment>
    <comment ref="B170" authorId="1" shapeId="0">
      <text>
        <r>
          <rPr>
            <sz val="10"/>
            <color indexed="81"/>
            <rFont val="Tahoma"/>
            <family val="2"/>
          </rPr>
          <t>Galvanisées, 4.0/ 40mm , 150 pièces/kg
4 agrafes par pieu=400</t>
        </r>
      </text>
    </comment>
    <comment ref="D171" authorId="3" shapeId="0">
      <text>
        <r>
          <rPr>
            <b/>
            <sz val="10"/>
            <color indexed="81"/>
            <rFont val="Tahoma"/>
          </rPr>
          <t>zue:</t>
        </r>
        <r>
          <rPr>
            <sz val="10"/>
            <color indexed="81"/>
            <rFont val="Tahoma"/>
          </rPr>
          <t xml:space="preserve">
Donnée tirée de la pratique, arrondie</t>
        </r>
      </text>
    </comment>
  </commentList>
</comments>
</file>

<file path=xl/comments9.xml><?xml version="1.0" encoding="utf-8"?>
<comments xmlns="http://schemas.openxmlformats.org/spreadsheetml/2006/main">
  <authors>
    <author>zue</author>
  </authors>
  <commentList>
    <comment ref="C45" authorId="0" shapeId="0">
      <text>
        <r>
          <rPr>
            <b/>
            <sz val="10"/>
            <color indexed="81"/>
            <rFont val="Tahoma"/>
          </rPr>
          <t>zue:</t>
        </r>
        <r>
          <rPr>
            <sz val="10"/>
            <color indexed="81"/>
            <rFont val="Tahoma"/>
          </rPr>
          <t xml:space="preserve">
Supposition: Le filet anti-grêle est placé en premier, c'est pourquoi 50% du temps sans filet anti-grêle</t>
        </r>
      </text>
    </comment>
  </commentList>
</comments>
</file>

<file path=xl/sharedStrings.xml><?xml version="1.0" encoding="utf-8"?>
<sst xmlns="http://schemas.openxmlformats.org/spreadsheetml/2006/main" count="3651" uniqueCount="729">
  <si>
    <t>Marge brute d'autofinancement totale après la 4e année de végét.</t>
  </si>
  <si>
    <t>Marge brute d'autofinancement totale après la 5e année de végét.</t>
  </si>
  <si>
    <t>Marge brute d'autofinancement totale après la 6e année de végét.</t>
  </si>
  <si>
    <t>Marge brute d'autofinancement totale après la 7e année de végét.</t>
  </si>
  <si>
    <t>Marge brute d'autofinancement totale après la 8e année de végét.</t>
  </si>
  <si>
    <t>Marge brute d'autofinancement totale après la 9e année de végét.</t>
  </si>
  <si>
    <t>Marge brute d'autofinancement totale après la 10e année de végét.</t>
  </si>
  <si>
    <t>Marge brute d'autofinancement totale après la 11e année de végét.</t>
  </si>
  <si>
    <t>Marge brute d'autofinancement totale après la 12e année de végét.</t>
  </si>
  <si>
    <t>Marge brute d'autofinancement totale après la 13e année de végét.</t>
  </si>
  <si>
    <t>Marge brute d'autofinancement totale après la 14e année de végét.</t>
  </si>
  <si>
    <t>Marge brute d'autofinancement totale après la 15e année de végét.</t>
  </si>
  <si>
    <t>Normes de la phase de pleine production: coûts pour une année de production moyenne</t>
  </si>
  <si>
    <t>Rendement (Prestation totale de la vente)</t>
  </si>
  <si>
    <t>l,kg par ha</t>
  </si>
  <si>
    <t>Base: marge brute d'autofinancement totale, fin de la 3e année de végétation</t>
  </si>
  <si>
    <t>Part des coûts d'arrachage sans les intérêts</t>
  </si>
  <si>
    <t>Tracteur pour la récolte</t>
  </si>
  <si>
    <t>Coûts de production par kg (moyenne)</t>
  </si>
  <si>
    <t>Coûts de production par kg (Rendement au poids)</t>
  </si>
  <si>
    <t>Part du rendement</t>
  </si>
  <si>
    <t>Part des CP</t>
  </si>
  <si>
    <t>CP Cl. I</t>
  </si>
  <si>
    <t>CP Cl. II</t>
  </si>
  <si>
    <t>Calcul des pertes et bénéfices par ha et par année</t>
  </si>
  <si>
    <t>Coûts de production</t>
  </si>
  <si>
    <t>Degré de couverture (Rendement / Coûts de production)</t>
  </si>
  <si>
    <t>Degré de couverture</t>
  </si>
  <si>
    <t>Marge brute comparable</t>
  </si>
  <si>
    <t>Marge brute d'autofinancement (gain calculé plus l'amortissement de la culture)</t>
  </si>
  <si>
    <t>Minimum de l'entreprise</t>
  </si>
  <si>
    <t>engrais + PTP +déductions+coûts des machines var. + coûts de main-d'oeuvre</t>
  </si>
  <si>
    <t>Rendement du travail</t>
  </si>
  <si>
    <t>Rentabilité</t>
  </si>
  <si>
    <t>Répartition des coûts</t>
  </si>
  <si>
    <t>Coûts de capitaux (intérêt calculé)</t>
  </si>
  <si>
    <t>Répartition des coûts de capitaux</t>
  </si>
  <si>
    <t>Coûts de capitaux</t>
  </si>
  <si>
    <t>Part des coûts de matériel</t>
  </si>
  <si>
    <t>Répartition des coûts de matériel</t>
  </si>
  <si>
    <t>Coûts divers (y compris PTP et engrais)</t>
  </si>
  <si>
    <t>Répartition par convention comptable</t>
  </si>
  <si>
    <t>Que coûte la protection directe des plantes? (par an et par hectare)</t>
  </si>
  <si>
    <t>Produits de traitement phytosanitaires</t>
  </si>
  <si>
    <t>Total protection des plantes</t>
  </si>
  <si>
    <t>Rendement par année    (Moyen)                            Phase de pleine production</t>
  </si>
  <si>
    <t>Capital réalisé à la fin de la phase de pleine production</t>
  </si>
  <si>
    <t>Résumé</t>
  </si>
  <si>
    <t>Part des coûts totaux des PTP</t>
  </si>
  <si>
    <t>Administration et travaux divers</t>
  </si>
  <si>
    <t>Part de la récolte</t>
  </si>
  <si>
    <t>Zkh/ha</t>
  </si>
  <si>
    <t>Fr./h</t>
  </si>
  <si>
    <t>Fr./ha</t>
  </si>
  <si>
    <t>kg / ha</t>
  </si>
  <si>
    <t>kg/ha</t>
  </si>
  <si>
    <t>%</t>
  </si>
  <si>
    <t>Fr./h, Fr./ha</t>
  </si>
  <si>
    <t>h</t>
  </si>
  <si>
    <t>Total</t>
  </si>
  <si>
    <t xml:space="preserve">Variante </t>
  </si>
  <si>
    <t>+/-</t>
  </si>
  <si>
    <t xml:space="preserve"> +/-</t>
  </si>
  <si>
    <t>Standjahr</t>
  </si>
  <si>
    <t>Fr./kg</t>
  </si>
  <si>
    <t>Fr./m²</t>
  </si>
  <si>
    <t>Variante</t>
  </si>
  <si>
    <t>Cashflow</t>
  </si>
  <si>
    <t xml:space="preserve"> </t>
  </si>
  <si>
    <t>Notizen:</t>
  </si>
  <si>
    <t xml:space="preserve">Standard Vorgaben </t>
  </si>
  <si>
    <t xml:space="preserve">PS-mittel: Fast alle Werte aktualisiert und mit Quelle bezeichnet: Aktualiserte Werte mit ...2000 bezeichnet  </t>
  </si>
  <si>
    <t>Bei den Erntewagen Ansätze pro Fuder verwendet.</t>
  </si>
  <si>
    <t>Maschinen: fast alle Maschinen mit den FAT-Ansätzen 2001 aktualisiert</t>
  </si>
  <si>
    <t xml:space="preserve">Noch zu erledigen: </t>
  </si>
  <si>
    <t>Hubstapler ist in Ertragsphase nicht berechnet (eine neuen Zeile einsetzen in ertrags und Standjahreblatt)</t>
  </si>
  <si>
    <t>Alle Werte mit der Rundungsfunktion ergänzt ausser fixe und variable Kosten der Maschinen</t>
  </si>
  <si>
    <t xml:space="preserve">Variante Vorgaben </t>
  </si>
  <si>
    <t>Erstellungskostenfelder mit den Standard Vorgaben verbunden</t>
  </si>
  <si>
    <t>Erstellungskostenfelder mit den Varianten Vorgaben verbunden</t>
  </si>
  <si>
    <t>alle Felder mit den Standard Vorgaben verknüpft</t>
  </si>
  <si>
    <t>Dünger: Ammonsalpeter- und Arbellinpreise aktualisiert LBL 2000</t>
  </si>
  <si>
    <t xml:space="preserve">2x Feld bei Düngerstreuer </t>
  </si>
  <si>
    <t>Schnittholzhackerfeld</t>
  </si>
  <si>
    <t>Erstellungskosten:</t>
  </si>
  <si>
    <t>Total (Fr./ha)</t>
  </si>
  <si>
    <t>P2O5</t>
  </si>
  <si>
    <t>K2O</t>
  </si>
  <si>
    <t>Gewinn</t>
  </si>
  <si>
    <t>Total (Fr. / h)</t>
  </si>
  <si>
    <t>Variante 1ha</t>
  </si>
  <si>
    <t>Variante 1 ha</t>
  </si>
  <si>
    <t xml:space="preserve">Catégorie I   </t>
  </si>
  <si>
    <t>Catégorie II</t>
  </si>
  <si>
    <t>cidre</t>
  </si>
  <si>
    <t xml:space="preserve">catégorie I   </t>
  </si>
  <si>
    <t>catégorie II</t>
  </si>
  <si>
    <t>Cidre des déchets de triage</t>
  </si>
  <si>
    <t>Cidre du sol</t>
  </si>
  <si>
    <r>
      <t xml:space="preserve">Rendement à la récolte </t>
    </r>
    <r>
      <rPr>
        <sz val="10"/>
        <rFont val="Arial"/>
        <family val="2"/>
      </rPr>
      <t xml:space="preserve">sur l'arbre </t>
    </r>
  </si>
  <si>
    <t>Salaire brut chef d'exploitation</t>
  </si>
  <si>
    <r>
      <t xml:space="preserve">Salaire brut </t>
    </r>
    <r>
      <rPr>
        <b/>
        <i/>
        <sz val="10"/>
        <rFont val="Arial"/>
        <family val="2"/>
      </rPr>
      <t>interne</t>
    </r>
    <r>
      <rPr>
        <b/>
        <sz val="10"/>
        <rFont val="Arial"/>
        <family val="2"/>
      </rPr>
      <t xml:space="preserve"> </t>
    </r>
    <r>
      <rPr>
        <sz val="10"/>
        <rFont val="Arial"/>
        <family val="2"/>
      </rPr>
      <t>(famille)</t>
    </r>
  </si>
  <si>
    <t>Salaire brut externe</t>
  </si>
  <si>
    <t>Part de main-d'oeuvre externe pour la récolte</t>
  </si>
  <si>
    <t>Régulation manuelle de la charge</t>
  </si>
  <si>
    <r>
      <t xml:space="preserve">Densité de plantation </t>
    </r>
    <r>
      <rPr>
        <sz val="10"/>
        <rFont val="Arial"/>
        <family val="2"/>
      </rPr>
      <t>arbres/ha</t>
    </r>
  </si>
  <si>
    <t>Prix/arbre</t>
  </si>
  <si>
    <t>Coûts des machines</t>
  </si>
  <si>
    <t>Coûts des engrais</t>
  </si>
  <si>
    <t>Taux d'intérêt</t>
  </si>
  <si>
    <t>Norme</t>
  </si>
  <si>
    <t>Revenu global du travail  interne      Fr./h</t>
  </si>
  <si>
    <t>Revenu global du travail    (moyenne)   Fr./h</t>
  </si>
  <si>
    <t>Coûts de production cat. I</t>
  </si>
  <si>
    <t>Coûts de production (moyenne)   Fr. / kg</t>
  </si>
  <si>
    <t>Indicateurs de la rentabilité</t>
  </si>
  <si>
    <t>Paiements directs</t>
  </si>
  <si>
    <t xml:space="preserve">Coûts de production par ha   </t>
  </si>
  <si>
    <t>Coûts de production moyens par kg</t>
  </si>
  <si>
    <t>Coûts de production  catégorie I</t>
  </si>
  <si>
    <t xml:space="preserve"> Coûts de production catégorie II</t>
  </si>
  <si>
    <r>
      <t xml:space="preserve">Investissement total </t>
    </r>
    <r>
      <rPr>
        <sz val="12"/>
        <rFont val="Arial"/>
        <family val="2"/>
      </rPr>
      <t>(Total de la marge brute d'autofinancement à la fin de la phase d'accroissement = base pour l'amortissement)</t>
    </r>
  </si>
  <si>
    <t>Amortissement de la culture</t>
  </si>
  <si>
    <t>Intérêt calculé par année</t>
  </si>
  <si>
    <t>Bénéfice calculé</t>
  </si>
  <si>
    <r>
      <t>Marge brute d'autofinancement</t>
    </r>
    <r>
      <rPr>
        <b/>
        <sz val="10"/>
        <rFont val="Arial"/>
        <family val="2"/>
      </rPr>
      <t xml:space="preserve"> </t>
    </r>
    <r>
      <rPr>
        <sz val="10"/>
        <rFont val="Arial"/>
        <family val="2"/>
      </rPr>
      <t>(bénéfice calculé + amortissement de la culture)</t>
    </r>
  </si>
  <si>
    <r>
      <t>Marge brute comparable</t>
    </r>
    <r>
      <rPr>
        <sz val="10"/>
        <rFont val="Arial"/>
        <family val="2"/>
      </rPr>
      <t xml:space="preserve">  </t>
    </r>
  </si>
  <si>
    <t>Coûts spécifiques</t>
  </si>
  <si>
    <t>Coûts de structure</t>
  </si>
  <si>
    <t>Coûts de production sans les coûts de main-d'oeuvre</t>
  </si>
  <si>
    <t xml:space="preserve">MOh total par ha </t>
  </si>
  <si>
    <t>Coûts de main-d'oeuvre externes</t>
  </si>
  <si>
    <t xml:space="preserve"> MOh  interne</t>
  </si>
  <si>
    <t>Part de l'MOh externe pour la récolte et l'éclaircissage manuel</t>
  </si>
  <si>
    <t>Part de l'MOh totale pour la récolte</t>
  </si>
  <si>
    <t>MOh totale seulement pour la récolte</t>
  </si>
  <si>
    <t xml:space="preserve">Revenu du travail global par MOh        </t>
  </si>
  <si>
    <t>Revenu du travail global par MOh  interne</t>
  </si>
  <si>
    <t>en rendement / MOh total</t>
  </si>
  <si>
    <t>Répartition en fonction de la nature des coûts</t>
  </si>
  <si>
    <t>Coûts de main-d'oeuvre</t>
  </si>
  <si>
    <t>Coûts du capital (intérêt calculé)</t>
  </si>
  <si>
    <t>Coûts de matériel</t>
  </si>
  <si>
    <t>Coûts de production par ha</t>
  </si>
  <si>
    <t>Pour le terrain</t>
  </si>
  <si>
    <t>Pour l'investissement de la culture fruitière</t>
  </si>
  <si>
    <t>Coûts du capital</t>
  </si>
  <si>
    <t>Récolte sur l'arbre et au sol</t>
  </si>
  <si>
    <t>Conduite de l'arbre</t>
  </si>
  <si>
    <t>Régulation de la charge</t>
  </si>
  <si>
    <t>Autres travaux</t>
  </si>
  <si>
    <t>Déductions</t>
  </si>
  <si>
    <t>Amoritssement de la culture</t>
  </si>
  <si>
    <t>Machines et équipements</t>
  </si>
  <si>
    <t>Coûts divers</t>
  </si>
  <si>
    <t>Matériel</t>
  </si>
  <si>
    <t>Répartition en fonction de la convention comptable</t>
  </si>
  <si>
    <t>Total des coûts spécifiques</t>
  </si>
  <si>
    <t>Total des coûts de structure</t>
  </si>
  <si>
    <t>Que coûte la protection des plantes?</t>
  </si>
  <si>
    <t>Protection des plantes (matériel, machines, travail)</t>
  </si>
  <si>
    <t>Autres coûts de production</t>
  </si>
  <si>
    <t>Coûts de production     par ha</t>
  </si>
  <si>
    <t>Machines</t>
  </si>
  <si>
    <t>Travail</t>
  </si>
  <si>
    <t>Nombre de passages</t>
  </si>
  <si>
    <t>Pulvérisateur traîné avec ventilateur, 1000 l</t>
  </si>
  <si>
    <t>Fongicides</t>
  </si>
  <si>
    <t>Herbicides</t>
  </si>
  <si>
    <t>Que coûte la récolte?</t>
  </si>
  <si>
    <t>Total de la récolte</t>
  </si>
  <si>
    <t>Total récolte</t>
  </si>
  <si>
    <t>Comparaison des coûts de production et du rendement</t>
  </si>
  <si>
    <t>Définition norme:</t>
  </si>
  <si>
    <t>Description du système</t>
  </si>
  <si>
    <t>Espèce fruitière</t>
  </si>
  <si>
    <t>Variété et porte-greffe</t>
  </si>
  <si>
    <t>ou Fereley</t>
  </si>
  <si>
    <t>Mode de production</t>
  </si>
  <si>
    <t>PER</t>
  </si>
  <si>
    <t>Arbres par ha</t>
  </si>
  <si>
    <t>Mode de conduite</t>
  </si>
  <si>
    <t>Installations fixes</t>
  </si>
  <si>
    <t>Lieu de livraison</t>
  </si>
  <si>
    <t>Coopératives, marché en gros</t>
  </si>
  <si>
    <t>Catégories</t>
  </si>
  <si>
    <t>Catégorie I, II, cidre (déchets de triage et au sol)</t>
  </si>
  <si>
    <t>Données géométriques</t>
  </si>
  <si>
    <t>Zone de manoeuvres</t>
  </si>
  <si>
    <t>Longueur</t>
  </si>
  <si>
    <t>Largeur</t>
  </si>
  <si>
    <t>Surface</t>
  </si>
  <si>
    <t>Largeur des chemins</t>
  </si>
  <si>
    <t>Distance entre les arbres</t>
  </si>
  <si>
    <t>Nombre de lignes</t>
  </si>
  <si>
    <t>Arbres / ha</t>
  </si>
  <si>
    <t>Total des années de végétation</t>
  </si>
  <si>
    <t>Phase d'accroissement</t>
  </si>
  <si>
    <t>Phase de production</t>
  </si>
  <si>
    <t>Durée d'amortissement</t>
  </si>
  <si>
    <t>Plants</t>
  </si>
  <si>
    <t>Coût des arbres (y compris  la licence)</t>
  </si>
  <si>
    <t>Salaires bruts</t>
  </si>
  <si>
    <t>Chef d'exploitation</t>
  </si>
  <si>
    <t>Interne (famille)</t>
  </si>
  <si>
    <t>Main-d'oeuvre externe</t>
  </si>
  <si>
    <t>Moyenne (calculée) pour tous</t>
  </si>
  <si>
    <t xml:space="preserve">Moyenne (calculée) interne et chef </t>
  </si>
  <si>
    <r>
      <t xml:space="preserve">Paiements directs </t>
    </r>
    <r>
      <rPr>
        <sz val="10"/>
        <rFont val="Arial"/>
        <family val="2"/>
      </rPr>
      <t>PER</t>
    </r>
  </si>
  <si>
    <t>Facteur pour l'intérêt moyen</t>
  </si>
  <si>
    <t>Intérêt du terrain</t>
  </si>
  <si>
    <t>Catégorie I+II</t>
  </si>
  <si>
    <t>Cidre</t>
  </si>
  <si>
    <t>Coûts d'emballage</t>
  </si>
  <si>
    <t>Coûts de triage</t>
  </si>
  <si>
    <t>Déchets</t>
  </si>
  <si>
    <t>Année de végétation</t>
  </si>
  <si>
    <t>Catégorie I</t>
  </si>
  <si>
    <t>kg / arbre</t>
  </si>
  <si>
    <t>Somme phase d'accroissement</t>
  </si>
  <si>
    <t>Somme de la durée totale des années de végétation</t>
  </si>
  <si>
    <t>Moyenne de la phase de production</t>
  </si>
  <si>
    <t>Moy. de la durée totale de la phase de végét.</t>
  </si>
  <si>
    <t>Rendement de récolte</t>
  </si>
  <si>
    <t xml:space="preserve">Catégorie I </t>
  </si>
  <si>
    <t xml:space="preserve">Catégorie II </t>
  </si>
  <si>
    <t>Déchets de triage</t>
  </si>
  <si>
    <t>Sol</t>
  </si>
  <si>
    <t>sur l'arbre</t>
  </si>
  <si>
    <t>au sol</t>
  </si>
  <si>
    <t>Taille 
(été + hiver)</t>
  </si>
  <si>
    <t>Régulation de la charge (manuelle)</t>
  </si>
  <si>
    <t>Faucher</t>
  </si>
  <si>
    <t>Administration</t>
  </si>
  <si>
    <t>MOh</t>
  </si>
  <si>
    <r>
      <t>1</t>
    </r>
    <r>
      <rPr>
        <vertAlign val="superscript"/>
        <sz val="10"/>
        <rFont val="Arial"/>
        <family val="2"/>
      </rPr>
      <t>ère</t>
    </r>
    <r>
      <rPr>
        <sz val="10"/>
        <rFont val="Arial"/>
      </rPr>
      <t xml:space="preserve"> année de végét.</t>
    </r>
  </si>
  <si>
    <r>
      <t>2</t>
    </r>
    <r>
      <rPr>
        <vertAlign val="superscript"/>
        <sz val="10"/>
        <rFont val="Arial"/>
        <family val="2"/>
      </rPr>
      <t xml:space="preserve">ème </t>
    </r>
    <r>
      <rPr>
        <sz val="10"/>
        <rFont val="Arial"/>
      </rPr>
      <t>année de végét.</t>
    </r>
  </si>
  <si>
    <r>
      <t xml:space="preserve">3 </t>
    </r>
    <r>
      <rPr>
        <vertAlign val="superscript"/>
        <sz val="10"/>
        <rFont val="Arial"/>
        <family val="2"/>
      </rPr>
      <t xml:space="preserve">ème </t>
    </r>
    <r>
      <rPr>
        <sz val="10"/>
        <rFont val="Arial"/>
      </rPr>
      <t>année de végét. et suivantes</t>
    </r>
  </si>
  <si>
    <t>idem phase de production</t>
  </si>
  <si>
    <t>Nitrate d'ammoniaque</t>
  </si>
  <si>
    <t>Prix par unité</t>
  </si>
  <si>
    <r>
      <t>1</t>
    </r>
    <r>
      <rPr>
        <b/>
        <vertAlign val="superscript"/>
        <sz val="10"/>
        <rFont val="Arial"/>
        <family val="2"/>
      </rPr>
      <t>ère</t>
    </r>
    <r>
      <rPr>
        <b/>
        <sz val="10"/>
        <rFont val="Arial"/>
        <family val="2"/>
      </rPr>
      <t xml:space="preserve"> année de végét.</t>
    </r>
  </si>
  <si>
    <r>
      <t>2</t>
    </r>
    <r>
      <rPr>
        <b/>
        <vertAlign val="superscript"/>
        <sz val="10"/>
        <rFont val="Arial"/>
        <family val="2"/>
      </rPr>
      <t xml:space="preserve">ème </t>
    </r>
    <r>
      <rPr>
        <b/>
        <sz val="10"/>
        <rFont val="Arial"/>
        <family val="2"/>
      </rPr>
      <t>année de végét.</t>
    </r>
  </si>
  <si>
    <r>
      <t xml:space="preserve">3 </t>
    </r>
    <r>
      <rPr>
        <b/>
        <vertAlign val="superscript"/>
        <sz val="10"/>
        <rFont val="Arial"/>
        <family val="2"/>
      </rPr>
      <t xml:space="preserve">ème </t>
    </r>
    <r>
      <rPr>
        <b/>
        <sz val="10"/>
        <rFont val="Arial"/>
        <family val="2"/>
      </rPr>
      <t>année de végét. et suivantes</t>
    </r>
  </si>
  <si>
    <t>Nombre</t>
  </si>
  <si>
    <t>par ha</t>
  </si>
  <si>
    <t>Insecticides</t>
  </si>
  <si>
    <t>Travaux liés à la culture fruitière</t>
  </si>
  <si>
    <t>Machines à traction</t>
  </si>
  <si>
    <t>Tracteur arboricole 4 roues motrices</t>
  </si>
  <si>
    <t>Utilisation à la récolte</t>
  </si>
  <si>
    <t>Equipements</t>
  </si>
  <si>
    <t>Distributeur d'engrais à simple trémie, 2.5 m</t>
  </si>
  <si>
    <t>Char d'arboriculture</t>
  </si>
  <si>
    <t>Faucheuse à mulching, avec bras pivotant des deux côtés</t>
  </si>
  <si>
    <t>Hacheuse de bois</t>
  </si>
  <si>
    <t>Divers petits appareils</t>
  </si>
  <si>
    <t>Tracteur arboricole, 4 roues motrices</t>
  </si>
  <si>
    <t>Charrue bisoc</t>
  </si>
  <si>
    <t>Herse rotative avec émotteuse à battes, 3 m</t>
  </si>
  <si>
    <t>Semoir 3 m</t>
  </si>
  <si>
    <t>Char, 3 t</t>
  </si>
  <si>
    <t>Char, 5 t</t>
  </si>
  <si>
    <t>Petit excaveur</t>
  </si>
  <si>
    <t>Palettiseur, arrière, hauteur 3 m, fourche basculante et coulissante</t>
  </si>
  <si>
    <t>Petits appareils</t>
  </si>
  <si>
    <t>Th/passage</t>
  </si>
  <si>
    <t>Fr./passage</t>
  </si>
  <si>
    <t>Coûts fixes (Fr./ha)</t>
  </si>
  <si>
    <t>Coûts variables (Fr./ha)</t>
  </si>
  <si>
    <t>Calculé selon le nbre de tts phytos</t>
  </si>
  <si>
    <t>Calculé selon le nbre de tts herbicides</t>
  </si>
  <si>
    <t>Calculé selon le nbre d'épandages d'engrais</t>
  </si>
  <si>
    <t>Coûts fixes (Fr. / h)</t>
  </si>
  <si>
    <t>Coûts var. (Fr./h)</t>
  </si>
  <si>
    <t>Divers</t>
  </si>
  <si>
    <t>m2 / an</t>
  </si>
  <si>
    <t>Bâtiments</t>
  </si>
  <si>
    <t>Chambre de triage</t>
  </si>
  <si>
    <t>Matériel de remplacement</t>
  </si>
  <si>
    <t>Matériel de bureau</t>
  </si>
  <si>
    <t>Fr./an</t>
  </si>
  <si>
    <t>Prix par pièce</t>
  </si>
  <si>
    <t>Palissage des arbres</t>
  </si>
  <si>
    <t>Filet anti-grêle</t>
  </si>
  <si>
    <t>Installation de soutien</t>
  </si>
  <si>
    <t>Machines (séparé pour l'installation du filet anti-grêle)</t>
  </si>
  <si>
    <t>Tuteur à chaque arbre</t>
  </si>
  <si>
    <t xml:space="preserve">Fils de fer 3 mm </t>
  </si>
  <si>
    <t>Agrafes</t>
  </si>
  <si>
    <t xml:space="preserve">Attaches </t>
  </si>
  <si>
    <t>Plaquettes de faîte</t>
  </si>
  <si>
    <t xml:space="preserve">Plaquettes de gouttière FRUSTAR1 </t>
  </si>
  <si>
    <t xml:space="preserve">Câble frontal 9.5 mm </t>
  </si>
  <si>
    <t>Câble d'ancrage 9.5 mm</t>
  </si>
  <si>
    <t>Fil de faîtage</t>
  </si>
  <si>
    <t>Ficelle pour filet</t>
  </si>
  <si>
    <t>Tendeur (pour fil de fer)</t>
  </si>
  <si>
    <t>Petit matériel</t>
  </si>
  <si>
    <t>Tuteurs de ligne 4 m 8/10 10 m d'espacement</t>
  </si>
  <si>
    <t>Tuteurs à l'extrémité 4.20 m 10/1210</t>
  </si>
  <si>
    <t>Tuteurs au coin 4.50 m 13/15</t>
  </si>
  <si>
    <t>Armature</t>
  </si>
  <si>
    <t xml:space="preserve">Chapeaux (pour poteaux) </t>
  </si>
  <si>
    <t>Semences</t>
  </si>
  <si>
    <t>Analyse de sol</t>
  </si>
  <si>
    <t>Divers (par ex. téléphone, transport, matériel de palissage)</t>
  </si>
  <si>
    <t>Total des coûts de traction</t>
  </si>
  <si>
    <t>Palettiseur</t>
  </si>
  <si>
    <t>MOh/ha</t>
  </si>
  <si>
    <t>Travail, arbres et tuteurage</t>
  </si>
  <si>
    <t>Economie des coûts de palissage grâce à l'installation du filet anti-grêle</t>
  </si>
  <si>
    <t>Economie des coûts de travail et de machines</t>
  </si>
  <si>
    <t>Total des coûts seulement filet anti-grêle</t>
  </si>
  <si>
    <t>Mesures</t>
  </si>
  <si>
    <t>Plantation y compris le palissage</t>
  </si>
  <si>
    <t>Installation des tuteurs</t>
  </si>
  <si>
    <t>Traverses</t>
  </si>
  <si>
    <t>Tuteurage</t>
  </si>
  <si>
    <t>Pose du filet</t>
  </si>
  <si>
    <t>Pertes de temps (10%)</t>
  </si>
  <si>
    <t>Tuteurs à l'extrémité</t>
  </si>
  <si>
    <t>Tuteurs intermédiaires</t>
  </si>
  <si>
    <t>Ancres à assiette</t>
  </si>
  <si>
    <t>Tuteurs</t>
  </si>
  <si>
    <t>Coûts de traction</t>
  </si>
  <si>
    <t>Chariot pneumatique</t>
  </si>
  <si>
    <t>Palissage et matériel</t>
  </si>
  <si>
    <t>Economie</t>
  </si>
  <si>
    <t>Grillage</t>
  </si>
  <si>
    <r>
      <t>Pieux en acacia 200 cm; distance</t>
    </r>
    <r>
      <rPr>
        <sz val="9"/>
        <rFont val="Arial"/>
        <family val="2"/>
      </rPr>
      <t xml:space="preserve"> 4 m</t>
    </r>
  </si>
  <si>
    <r>
      <t>Pieux en acacia 225 cm; distance</t>
    </r>
    <r>
      <rPr>
        <sz val="9"/>
        <rFont val="Arial"/>
        <family val="2"/>
      </rPr>
      <t xml:space="preserve"> 4 m</t>
    </r>
  </si>
  <si>
    <t>Pieux en acacia 225 cm; distance 4 m</t>
  </si>
  <si>
    <t>Portes</t>
  </si>
  <si>
    <t>Fils de fer 3 mm</t>
  </si>
  <si>
    <t>Subventions administration de la chasse</t>
  </si>
  <si>
    <t>Matériel divers et petits équipements</t>
  </si>
  <si>
    <t>Installation de la clôture</t>
  </si>
  <si>
    <t>Prix/pièce</t>
  </si>
  <si>
    <t>Fr./année</t>
  </si>
  <si>
    <t>Ex. TG</t>
  </si>
  <si>
    <t>Ex. ZH</t>
  </si>
  <si>
    <t>Choisir ici</t>
  </si>
  <si>
    <t>Coûts</t>
  </si>
  <si>
    <t>Installation de soutien du filet anti-grêle</t>
  </si>
  <si>
    <t>Divers (par ex. téléphone, transport, matériel d'attachage)</t>
  </si>
  <si>
    <t xml:space="preserve">Total des coûts directs </t>
  </si>
  <si>
    <t>Total des machines à traction</t>
  </si>
  <si>
    <t>Tracteur pour le montage du filet</t>
  </si>
  <si>
    <t>Pertes de temps</t>
  </si>
  <si>
    <t>Petits équipements</t>
  </si>
  <si>
    <t>Labour</t>
  </si>
  <si>
    <t>Passage de la herse</t>
  </si>
  <si>
    <t>Fertilisation</t>
  </si>
  <si>
    <t>Mise en place des tuteurs</t>
  </si>
  <si>
    <t>Installation du palissage</t>
  </si>
  <si>
    <t>Traverses filet anti-grêle</t>
  </si>
  <si>
    <t>Tuteurs filet anit-grêle</t>
  </si>
  <si>
    <t>Administartion, logistique, etc.</t>
  </si>
  <si>
    <t>Clôture</t>
  </si>
  <si>
    <r>
      <t>Pieux en acacia, 200 cm; Distance</t>
    </r>
    <r>
      <rPr>
        <sz val="9"/>
        <rFont val="Arial"/>
        <family val="2"/>
      </rPr>
      <t xml:space="preserve"> 4 m</t>
    </r>
  </si>
  <si>
    <r>
      <t>Pieux en acacia, 225 cm; Distance</t>
    </r>
    <r>
      <rPr>
        <sz val="9"/>
        <rFont val="Arial"/>
        <family val="2"/>
      </rPr>
      <t xml:space="preserve"> 4 m</t>
    </r>
  </si>
  <si>
    <t>Subventions cantonales (commune, caisse de chasse), ex. cant.TG</t>
  </si>
  <si>
    <t>Tracteur 2 roues motrices 50 kW</t>
  </si>
  <si>
    <t>Pose de la clôture</t>
  </si>
  <si>
    <t>Total des coûts de clôture</t>
  </si>
  <si>
    <t>Total des coûts de clôture avec la prise en charge cantonale des coûts de matériel de clôture</t>
  </si>
  <si>
    <t>Rendement</t>
  </si>
  <si>
    <t>Estimation de prix</t>
  </si>
  <si>
    <t>kg/arbre</t>
  </si>
  <si>
    <t>Tableau des flux financiers</t>
  </si>
  <si>
    <t>Normes</t>
  </si>
  <si>
    <t xml:space="preserve">Déductions          </t>
  </si>
  <si>
    <t>Contributions organisation</t>
  </si>
  <si>
    <t xml:space="preserve">Ouvrir et fermer le filet anti-grêle </t>
  </si>
  <si>
    <t>Travaux</t>
  </si>
  <si>
    <t xml:space="preserve">                                                        MOh externe total</t>
  </si>
  <si>
    <t xml:space="preserve">Intérêt </t>
  </si>
  <si>
    <t>Coûts de production sans les amortissements la 1e année de végét.</t>
  </si>
  <si>
    <t>Marge brute d'autofinancement</t>
  </si>
  <si>
    <t>Marge brute d'autofinancement totale après la 1e année de végét.</t>
  </si>
  <si>
    <t>Valeur actuelle</t>
  </si>
  <si>
    <t>par 100 kg</t>
  </si>
  <si>
    <t>Th/ha</t>
  </si>
  <si>
    <t>Récolte sur l'arbre</t>
  </si>
  <si>
    <t>Cidre au sol</t>
  </si>
  <si>
    <t>Pour des investissements actuels</t>
  </si>
  <si>
    <t>Administration + travaux divers</t>
  </si>
  <si>
    <t>Ouvrir le filet anti-grêle</t>
  </si>
  <si>
    <t>Fermer le filet anti-grêle</t>
  </si>
  <si>
    <t>Paillage et broyage des branches</t>
  </si>
  <si>
    <t>Total des heures de machines</t>
  </si>
  <si>
    <t>Matériel de bureau et de remplacement</t>
  </si>
  <si>
    <t>% part des coûts de production</t>
  </si>
  <si>
    <t>2e année de végétation</t>
  </si>
  <si>
    <t>3e année de végétation</t>
  </si>
  <si>
    <t>4e année de végétation</t>
  </si>
  <si>
    <t>5e année de végétation</t>
  </si>
  <si>
    <t>6e année de végétation</t>
  </si>
  <si>
    <t>7e année de végétation</t>
  </si>
  <si>
    <t>8e année de végétation</t>
  </si>
  <si>
    <t>9e année de végétation</t>
  </si>
  <si>
    <t>10e année de végétation</t>
  </si>
  <si>
    <t>11e année de végétation</t>
  </si>
  <si>
    <t>12e année de végétation</t>
  </si>
  <si>
    <t>13e année de végétation</t>
  </si>
  <si>
    <t>14e année de végétation</t>
  </si>
  <si>
    <t>15e année de végétation</t>
  </si>
  <si>
    <t>1e année de végétation</t>
  </si>
  <si>
    <t xml:space="preserve">Déductions   </t>
  </si>
  <si>
    <t xml:space="preserve">                  Contributions d'organisation</t>
  </si>
  <si>
    <t>Contributions d'organisation</t>
  </si>
  <si>
    <t xml:space="preserve">Total des coûts spécifiques </t>
  </si>
  <si>
    <t xml:space="preserve">Fermer le filet anti-grêle </t>
  </si>
  <si>
    <t>1e année de végét.</t>
  </si>
  <si>
    <t xml:space="preserve">2e année de végét. </t>
  </si>
  <si>
    <t>3e année de végét. und folgende</t>
  </si>
  <si>
    <t>2e année de végét.</t>
  </si>
  <si>
    <t>3e année de végét.</t>
  </si>
  <si>
    <t>Marge brute d'autofinancement totale après la 2e année de végét.</t>
  </si>
  <si>
    <t>Marge brute d'autofinancement totale après la 3e année de végét.</t>
  </si>
  <si>
    <t>Estimations de prix</t>
  </si>
  <si>
    <t>Produit de la vente</t>
  </si>
  <si>
    <t>% répartition</t>
  </si>
  <si>
    <t>Coûts des produits phytosanitaires</t>
  </si>
  <si>
    <t>Entrepôt de matériel (pour produits de traitements phytosanitaires, engrais, emballages, matériel de remplacement, etc.)</t>
  </si>
  <si>
    <t>Supposition: Tous ces produits sont utilisés sur une année moyenne, ainsi le prix exact est donné</t>
  </si>
  <si>
    <t xml:space="preserve">Produits de traitements phytosanitaires </t>
  </si>
  <si>
    <t>Coûts variables par ha et par passage</t>
  </si>
  <si>
    <t>plus chimique</t>
  </si>
  <si>
    <t>sans les paiements directs</t>
  </si>
  <si>
    <t>avec les paiements directs</t>
  </si>
  <si>
    <t>Travail sans les machines (main-d'oeuvre)</t>
  </si>
  <si>
    <t>Coûts de production sans coûts de main-d'oeuvre</t>
  </si>
  <si>
    <t>Revenu de la main-d'oeuvre interne par MOh</t>
  </si>
  <si>
    <t>Part des coûts de main-d'oeuvre</t>
  </si>
  <si>
    <t>Répartition des coûts de main-d'oeuvre</t>
  </si>
  <si>
    <t>Revenu de la main-d'oeuvre (rendement - coûts de prod. sans les coûts de main-d'oeuvre)</t>
  </si>
  <si>
    <t>Rendement par MOh</t>
  </si>
  <si>
    <t>kg fruits de table par heure de main-d'oeuvre</t>
  </si>
  <si>
    <t>Rente du capital propre (bénéfice calculé + intérêt calculé) par capital investi</t>
  </si>
  <si>
    <t>Courbe de la marge brute d'autofinancement  (Flux du capital)</t>
  </si>
  <si>
    <t>Norme 1 ha</t>
  </si>
  <si>
    <t>Nombre arbres par ha</t>
  </si>
  <si>
    <t>Marge brute d'autofinancement totale (flux du capital)</t>
  </si>
  <si>
    <t>1. année de végétation</t>
  </si>
  <si>
    <t>MOh / ha</t>
  </si>
  <si>
    <t>Surface SOLL théorique</t>
  </si>
  <si>
    <t>(1 ouvrier standard = 2700 MOh/an; p. 153 BW-Begriffe, LMZ 2000)</t>
  </si>
  <si>
    <t>Capital réalisé après 16 années</t>
  </si>
  <si>
    <t>Définition variante:</t>
  </si>
  <si>
    <t>Données géométriques (comme en CH)</t>
  </si>
  <si>
    <t>Nette</t>
  </si>
  <si>
    <t>Protection phytosanitaire y compris les contrôles et fauchage</t>
  </si>
  <si>
    <t>Protection des plantes, contrôles</t>
  </si>
  <si>
    <t>calculé</t>
  </si>
  <si>
    <t>Taux de location</t>
  </si>
  <si>
    <t xml:space="preserve">Plaquettes standard avec crochet </t>
  </si>
  <si>
    <t xml:space="preserve">Coûts de plantation </t>
  </si>
  <si>
    <t>Spécifique à la plantation</t>
  </si>
  <si>
    <t>Normes des coûts de plantation pour 1 ha de pommiers avec filet anti-grêle</t>
  </si>
  <si>
    <t>Part sur les coûts totaux de plantation</t>
  </si>
  <si>
    <t>Total des coûts de plantation y compris le filet anti-grêle, sans la clôture</t>
  </si>
  <si>
    <t>Total des coûts de plantation, seulement le filet anti-grêle</t>
  </si>
  <si>
    <t>Total des coûts de plantation avec la clôture</t>
  </si>
  <si>
    <t>Marge brute d'autofinancement après la plantation (y compris la clôture)</t>
  </si>
  <si>
    <t>Largeur standard à trois fils m2</t>
  </si>
  <si>
    <r>
      <t xml:space="preserve">Données variantes                </t>
    </r>
    <r>
      <rPr>
        <b/>
        <sz val="10"/>
        <color indexed="9"/>
        <rFont val="Arial"/>
        <family val="2"/>
      </rPr>
      <t xml:space="preserve"> (Source: Estimation d'experts, de producteurs, des services cantonaux spécialisés et d'Agroscope ACW Wädenswil)</t>
    </r>
  </si>
  <si>
    <t>Total des coûts des machines et de traction</t>
  </si>
  <si>
    <t>Char pneumatique double essieux, 3 t</t>
  </si>
  <si>
    <t>Plantation</t>
  </si>
  <si>
    <t>Produits de traitements phytosanitaires</t>
  </si>
  <si>
    <t>Main-d'oeuvre installation du filet anti-grêle</t>
  </si>
  <si>
    <t>Coûts d'arrachage</t>
  </si>
  <si>
    <t>Variante de la phase de pleine production: coûts pour une année de production moyenne</t>
  </si>
  <si>
    <t>Année de plantation</t>
  </si>
  <si>
    <t>Fuseau</t>
  </si>
  <si>
    <t>Pommes à cidre ramassées à la main</t>
  </si>
  <si>
    <t>Produit cat. I</t>
  </si>
  <si>
    <t>Produit cat. II</t>
  </si>
  <si>
    <t>Produit cidre</t>
  </si>
  <si>
    <r>
      <t xml:space="preserve">Rentabilité = </t>
    </r>
    <r>
      <rPr>
        <sz val="12"/>
        <rFont val="Arial"/>
        <family val="2"/>
      </rPr>
      <t>Rente des fonds propres (bénéfice calculé + intérêt calculé) par capital investi</t>
    </r>
  </si>
  <si>
    <r>
      <t xml:space="preserve">   Taux de couverture </t>
    </r>
    <r>
      <rPr>
        <sz val="10"/>
        <rFont val="Arial"/>
        <family val="2"/>
      </rPr>
      <t>=rendement / coûts de production</t>
    </r>
  </si>
  <si>
    <t>Vue d'ensemble des chiffres-clés  par année de pleine production</t>
  </si>
  <si>
    <r>
      <t>Revenu global du travail</t>
    </r>
    <r>
      <rPr>
        <sz val="14"/>
        <rFont val="Arial"/>
        <family val="2"/>
      </rPr>
      <t xml:space="preserve"> = </t>
    </r>
    <r>
      <rPr>
        <sz val="12"/>
        <rFont val="Arial"/>
        <family val="2"/>
      </rPr>
      <t>rendement - coûts de production sans les coûts de main-d'oeuvre</t>
    </r>
  </si>
  <si>
    <r>
      <t xml:space="preserve">Revenu du travail interne </t>
    </r>
    <r>
      <rPr>
        <sz val="12"/>
        <rFont val="Arial"/>
        <family val="2"/>
      </rPr>
      <t>= revenu global du travail - coûts de main-d'oeuvre externe</t>
    </r>
  </si>
  <si>
    <t>MOh main-d'oeuvre externe</t>
  </si>
  <si>
    <r>
      <t xml:space="preserve">Minimum de l'entreprise </t>
    </r>
    <r>
      <rPr>
        <sz val="12"/>
        <rFont val="Arial"/>
        <family val="2"/>
      </rPr>
      <t>= coûts courants (engrais+ produits de traitements phytosanitaires + assurance grêle + déductions + coûts divers des machines + coûts de main-d'oeuvre)</t>
    </r>
  </si>
  <si>
    <t xml:space="preserve">  Productivité du travail en kg de fruits de table / MOh total</t>
  </si>
  <si>
    <t>Rampe de pulvérisation pour herbicides</t>
  </si>
  <si>
    <t>Culture actuelle de pommes de table sur des porte-greffes faibles. Les valeurs sont basées sur des exploitations agricoles mixtes avec 2-5 ha de vergers, à un endroit approprié sur l'un des domaines de production principal en Suisse.</t>
  </si>
  <si>
    <t>Pomme de table</t>
  </si>
  <si>
    <t>1 an v., contrat de culture</t>
  </si>
  <si>
    <t>Coûts d'arrachage (travail + machines)</t>
  </si>
  <si>
    <t>Part des heures de main-d'oeuvre externe pour la récolte et l'éclaircissage</t>
  </si>
  <si>
    <t>Revenu de la main-d'oeuvre / MOh</t>
  </si>
  <si>
    <t>Supposition: toutes les machines en propriété: coûts fixes + coûts variables = coûts de location - 10%</t>
  </si>
  <si>
    <t>Palettiseur arrière, hauteur 3 m</t>
  </si>
  <si>
    <t xml:space="preserve">Câble transversal 9 mm </t>
  </si>
  <si>
    <t>Plantation y compris l'attachage</t>
  </si>
  <si>
    <t>Coûts de production sans les amortissements la 3e année de végét.</t>
  </si>
  <si>
    <t>Coûts de production sans les amortissements la 2e année de végét.</t>
  </si>
  <si>
    <t>Coûts de production sans les amortissements la 4e année de végét.</t>
  </si>
  <si>
    <t>Coûts de production sans les amortissements la 5e année de végét.</t>
  </si>
  <si>
    <t>Coûts de production sans les amortissements la 6e année de végét.</t>
  </si>
  <si>
    <t>Coûts de production sans les amortissements la 7e année de végét.</t>
  </si>
  <si>
    <t>Coûts de production sans les amortissements la 8e année de végét.</t>
  </si>
  <si>
    <t>Coûts de production sans les amortissements la 9e année de végét.</t>
  </si>
  <si>
    <t>Coûts de production sans les amortissements la 10e année de végét.</t>
  </si>
  <si>
    <t>Coûts de production sans les amortissements la 11e année de végét.</t>
  </si>
  <si>
    <t>Coûts de production sans les amortissements la 12e année de végét.</t>
  </si>
  <si>
    <t>Coûts de production sans les amortissements la 13e année de végét.</t>
  </si>
  <si>
    <t>Coûts de production sans les amortissements la 14e année de végét.</t>
  </si>
  <si>
    <t>Coûts de production sans les amortissements la 15e année de végét.</t>
  </si>
  <si>
    <t>Que coûte la récolte? (sans les coûts d'emballage)</t>
  </si>
  <si>
    <t>Brute</t>
  </si>
  <si>
    <t>Qualité et rendement de récolte</t>
  </si>
  <si>
    <t>Subventions cantonales (commune, caisse pour la chasse)</t>
  </si>
  <si>
    <t>Filet paragrêle</t>
  </si>
  <si>
    <t>Filet paragrêle (oui=1, non= 0)</t>
  </si>
  <si>
    <t>Assurence (oui=1, non=0)</t>
  </si>
  <si>
    <t>Irrigation</t>
  </si>
  <si>
    <t xml:space="preserve">page 1 </t>
  </si>
  <si>
    <t>choisir ici</t>
  </si>
  <si>
    <t>Aide de calcul</t>
  </si>
  <si>
    <t>données géométriques</t>
  </si>
  <si>
    <t>Base: Calcul producteurs 2006/07</t>
  </si>
  <si>
    <t>Pompe (Diesel)</t>
  </si>
  <si>
    <t>Puits</t>
  </si>
  <si>
    <t>Nourrice principale (Tube PVC)</t>
  </si>
  <si>
    <t>Hydrant (Collier buse; tube, vanne..)</t>
  </si>
  <si>
    <t>Tuyau</t>
  </si>
  <si>
    <t>Bouchons</t>
  </si>
  <si>
    <t>Arroseur complet ( ... Baiouette, vanne, tuyau, n..., arroseur)</t>
  </si>
  <si>
    <t>Piquets fixation perche</t>
  </si>
  <si>
    <t>Machines et outillage</t>
  </si>
  <si>
    <t>Main-d'oeuvre</t>
  </si>
  <si>
    <t>Total coûts d'installation</t>
  </si>
  <si>
    <t>contrôles et lavage</t>
  </si>
  <si>
    <t>Définition Standard:</t>
  </si>
  <si>
    <t>Standards: Coûts de mise en culture</t>
  </si>
  <si>
    <t>Filet paragrêle ou assurence</t>
  </si>
  <si>
    <t>Tarif</t>
  </si>
  <si>
    <t>Année</t>
  </si>
  <si>
    <t>Assurance grêle</t>
  </si>
  <si>
    <t>% du marge brut</t>
  </si>
  <si>
    <r>
      <t xml:space="preserve">Plantation y compris filet paragrêle                                         </t>
    </r>
    <r>
      <rPr>
        <sz val="10"/>
        <color indexed="9"/>
        <rFont val="Arial"/>
        <family val="2"/>
      </rPr>
      <t xml:space="preserve">   Source: Anbauempfehlung für die Obstregion NO-CH 2007</t>
    </r>
  </si>
  <si>
    <t>Evaluation</t>
  </si>
  <si>
    <t>Moyenne 4.-15. année</t>
  </si>
  <si>
    <t>Total 4.-15. année</t>
  </si>
  <si>
    <t>Coûts fixes (Fr./UT</t>
  </si>
  <si>
    <t>Coûts variables (Fr./UT)</t>
  </si>
  <si>
    <t>Total (Fr./UT</t>
  </si>
  <si>
    <t>Somme assurée</t>
  </si>
  <si>
    <t>m³</t>
  </si>
  <si>
    <t>Nombre des heures</t>
  </si>
  <si>
    <t>Litre / arbre/h</t>
  </si>
  <si>
    <t>Litre / ha/h</t>
  </si>
  <si>
    <t>A partir de la 1. année</t>
  </si>
  <si>
    <t>Coûts annuels</t>
  </si>
  <si>
    <t>Frais annuelles par ha</t>
  </si>
  <si>
    <t>Fr/ha</t>
  </si>
  <si>
    <t>Fr./m³</t>
  </si>
  <si>
    <t>Prix de l'eau</t>
  </si>
  <si>
    <t>Fr./Jahr</t>
  </si>
  <si>
    <t>(Netafim)</t>
  </si>
  <si>
    <t>Diverses Kleinmaterial</t>
  </si>
  <si>
    <t>Kopfstation 2"</t>
  </si>
  <si>
    <t xml:space="preserve">Rückschlagventil </t>
  </si>
  <si>
    <t>Magnetventile 1 1/2"</t>
  </si>
  <si>
    <t>Bewässerungscomputer</t>
  </si>
  <si>
    <t>Montage</t>
  </si>
  <si>
    <t>der aufgel. AKh und ZKh</t>
  </si>
  <si>
    <t>Zugkraftkst.</t>
  </si>
  <si>
    <t>à</t>
  </si>
  <si>
    <t>Betriebsleitung</t>
  </si>
  <si>
    <t>Installation goutte à goutte</t>
  </si>
  <si>
    <t>Installation dispersion</t>
  </si>
  <si>
    <t>Station tête</t>
  </si>
  <si>
    <t>Eau</t>
  </si>
  <si>
    <t>Total installation dispersion</t>
  </si>
  <si>
    <t>Tuyau avec goutte incorporé, compensé pression, 20 mm 2.3 l/h</t>
  </si>
  <si>
    <t>Distance 50 cm</t>
  </si>
  <si>
    <t>Clôtures</t>
  </si>
  <si>
    <t>Valve à boule PVC 20x20</t>
  </si>
  <si>
    <t xml:space="preserve">Attache 20 mm </t>
  </si>
  <si>
    <t>Petites fournitures</t>
  </si>
  <si>
    <t>Touyau à pression, 50 mm PN 8 mm, PN 8 (Conduit principal)</t>
  </si>
  <si>
    <t>Valve à boule 2"</t>
  </si>
  <si>
    <t>Valve à pression</t>
  </si>
  <si>
    <t>Valve à coup revers</t>
  </si>
  <si>
    <t>Valve à magnet 1 1/2"</t>
  </si>
  <si>
    <t>Ordinateur pour l'irrigation</t>
  </si>
  <si>
    <t>Pompe en serie</t>
  </si>
  <si>
    <t>Pompe, du tank</t>
  </si>
  <si>
    <t>Total station tête</t>
  </si>
  <si>
    <t>Options</t>
  </si>
  <si>
    <t>Total coûts du material</t>
  </si>
  <si>
    <t>Filtre arcal 2" 120</t>
  </si>
  <si>
    <t>Total installation à goutte</t>
  </si>
  <si>
    <t>Conduit principal creuser et prolonger</t>
  </si>
  <si>
    <t>Fraise pour creuser</t>
  </si>
  <si>
    <t>Touyau à goutte étaler</t>
  </si>
  <si>
    <t>Touyau à goutte à monter</t>
  </si>
  <si>
    <t xml:space="preserve">Installer valve à boule </t>
  </si>
  <si>
    <t>Mesurer</t>
  </si>
  <si>
    <t xml:space="preserve">Excavateur  </t>
  </si>
  <si>
    <t>Perte de temps</t>
  </si>
  <si>
    <t>Total coûts des machines et du travail</t>
  </si>
  <si>
    <t>Coûts de furnitures et travail</t>
  </si>
  <si>
    <t>Maschines et force de traction</t>
  </si>
  <si>
    <t>Tracteur 2-Roue</t>
  </si>
  <si>
    <t>Gestion d'entreprise</t>
  </si>
  <si>
    <t>Coûts installation par ha</t>
  </si>
  <si>
    <t>Coûts du travail manuel</t>
  </si>
  <si>
    <t xml:space="preserve">Coûts </t>
  </si>
  <si>
    <t>Moh/ha</t>
  </si>
  <si>
    <t>Energie</t>
  </si>
  <si>
    <t>Rinçage</t>
  </si>
  <si>
    <t>Engrais</t>
  </si>
  <si>
    <t>Control</t>
  </si>
  <si>
    <r>
      <t xml:space="preserve">Druckreduzierventil </t>
    </r>
    <r>
      <rPr>
        <sz val="8"/>
        <rFont val="Arial"/>
        <family val="2"/>
      </rPr>
      <t>2" 4-fach</t>
    </r>
  </si>
  <si>
    <r>
      <t xml:space="preserve">Jahreskosten  einer Tröpfchenbewässerung   </t>
    </r>
    <r>
      <rPr>
        <b/>
        <sz val="10"/>
        <rFont val="Arial"/>
        <family val="2"/>
      </rPr>
      <t xml:space="preserve">ohne Fertigation </t>
    </r>
  </si>
  <si>
    <t>Font : Anbauempfehlung Obstregion NW-CH 2007</t>
  </si>
  <si>
    <t>Numero</t>
  </si>
  <si>
    <t>Prix à la pièce</t>
  </si>
  <si>
    <t>1 Sprinkler chaque deux arbres</t>
  </si>
  <si>
    <t>Microjet Spinet 70L/h</t>
  </si>
  <si>
    <t>Valve à boule PVC 25x25</t>
  </si>
  <si>
    <t>Attache tuyau à goutte</t>
  </si>
  <si>
    <t>Filtre arcal  2" 120 masch</t>
  </si>
  <si>
    <t>PE-tube à pression, 50</t>
  </si>
  <si>
    <t>mm, PN 8 (Tuyau principal)</t>
  </si>
  <si>
    <t>Valve à boule  2"</t>
  </si>
  <si>
    <t>Touyau avec goutte  Pn4 25 mm</t>
  </si>
  <si>
    <t>Pour l'installation de la conduite d'eau il faut calculer avec 1'000 CHF chaque 100 m. Il n'y a pas besoin d'utiliser la pompe.</t>
  </si>
  <si>
    <t>Monter le jet</t>
  </si>
  <si>
    <t>Perte de temp</t>
  </si>
  <si>
    <t>Coûts d'entrepreise par année</t>
  </si>
  <si>
    <t xml:space="preserve">Moyenne (calculée) externe et chef </t>
  </si>
  <si>
    <t>Traktor 4-Rad</t>
  </si>
  <si>
    <t>Trh/ha</t>
  </si>
  <si>
    <t>Des heures travail et machines</t>
  </si>
  <si>
    <t>Chef d'entreprise (Mon/ha)</t>
  </si>
  <si>
    <t>Total coûts d'installation par ha</t>
  </si>
  <si>
    <t>Furnitures et travail</t>
  </si>
  <si>
    <t>Tractor 4-Routes (Trh/ha)</t>
  </si>
  <si>
    <t>Total Materialkosten  inkl. MwSt</t>
  </si>
  <si>
    <r>
      <t xml:space="preserve">Coûts annuels  </t>
    </r>
    <r>
      <rPr>
        <sz val="10"/>
        <color indexed="9"/>
        <rFont val="Arial"/>
      </rPr>
      <t xml:space="preserve"> (Eau est acheté)</t>
    </r>
  </si>
  <si>
    <t>Coûts par année</t>
  </si>
  <si>
    <r>
      <t xml:space="preserve">Coûts par année   </t>
    </r>
    <r>
      <rPr>
        <sz val="11"/>
        <rFont val="Arial"/>
      </rPr>
      <t xml:space="preserve"> </t>
    </r>
    <r>
      <rPr>
        <sz val="10"/>
        <color indexed="9"/>
        <rFont val="Arial"/>
        <family val="2"/>
      </rPr>
      <t>(Eau est acheté)</t>
    </r>
  </si>
  <si>
    <t>Variante des coûts de plantation pour 1 ha de pommiers</t>
  </si>
  <si>
    <t xml:space="preserve">Total </t>
  </si>
  <si>
    <t>Total coûts de plantation avec la clôture</t>
  </si>
  <si>
    <t>Aspersion</t>
  </si>
  <si>
    <t xml:space="preserve">Installation d'irrigation </t>
  </si>
  <si>
    <t>lutte contre le gel</t>
  </si>
  <si>
    <t xml:space="preserve">Instrallation d'irrigation:                 </t>
  </si>
  <si>
    <t xml:space="preserve">Goutte à goutte  </t>
  </si>
  <si>
    <t xml:space="preserve">Instrallation d'irrigation:                </t>
  </si>
  <si>
    <t xml:space="preserve"> microjet </t>
  </si>
  <si>
    <t>JA=1, Nein = 0</t>
  </si>
  <si>
    <t>Total coûts des machines</t>
  </si>
  <si>
    <t>Total coûts material</t>
  </si>
  <si>
    <t xml:space="preserve">Coûts de furnitures </t>
  </si>
  <si>
    <t>Total des coûts d'irrigation</t>
  </si>
  <si>
    <t>Total coûts de plantation avec l'irrigation</t>
  </si>
  <si>
    <t>Microjet</t>
  </si>
  <si>
    <t xml:space="preserve">Instrallation d'irrigation:             </t>
  </si>
  <si>
    <t xml:space="preserve">Instrallation d'irrigation:               </t>
  </si>
  <si>
    <t>goutte à goutte</t>
  </si>
  <si>
    <t>et lutte contre le gel:</t>
  </si>
  <si>
    <t>Installation d'irrigation</t>
  </si>
  <si>
    <t>Irrigation avec aspersion (oui=1, non =0)</t>
  </si>
  <si>
    <t xml:space="preserve">Installation pompe </t>
  </si>
  <si>
    <t>Installation pompe</t>
  </si>
  <si>
    <t>Installation pomompe</t>
  </si>
  <si>
    <t>Installation à goutte</t>
  </si>
  <si>
    <t>Installation station tête</t>
  </si>
  <si>
    <r>
      <t>Prix de l'eau (Fr/m</t>
    </r>
    <r>
      <rPr>
        <b/>
        <vertAlign val="superscript"/>
        <sz val="10"/>
        <rFont val="Arial"/>
        <family val="2"/>
      </rPr>
      <t>3</t>
    </r>
    <r>
      <rPr>
        <b/>
        <sz val="10"/>
        <rFont val="Arial"/>
        <family val="2"/>
      </rPr>
      <t>)</t>
    </r>
  </si>
  <si>
    <t>Prix de l'eau (Fr/m3)</t>
  </si>
  <si>
    <t>Irrigation avec aspersion (oui=1, non=0)</t>
  </si>
  <si>
    <t>Irrigation avec  goute à goute (oui=1, non=0)</t>
  </si>
  <si>
    <t>Irrigation avec microjet (oui=1, non =0)</t>
  </si>
  <si>
    <t>Filet paragrêle et irrigation</t>
  </si>
  <si>
    <t>Filet paragrêle et irrigation (ja=2)</t>
  </si>
  <si>
    <t>Total coûts de plantation sans filet paragrel et sans irrigation avec clôture</t>
  </si>
  <si>
    <t xml:space="preserve">Total coûts de plantation avec filet paragrel avec clôture et sans irrigation </t>
  </si>
  <si>
    <t xml:space="preserve">Total coûts de plantation avec filet paragrel avec clôture et avec irrigation </t>
  </si>
  <si>
    <t>Total coûts de plantation avec clôture avec irrigation et sans filet paragrel</t>
  </si>
  <si>
    <t>Coûts total de production</t>
  </si>
  <si>
    <t>Irrigation (oui=1, non =0)</t>
  </si>
  <si>
    <t>Irrigation (oui=1, non=0)</t>
  </si>
  <si>
    <t xml:space="preserve">  </t>
  </si>
  <si>
    <t>Filet paragrêle  (oui=1, non =0)</t>
  </si>
  <si>
    <t>Assurance grêle (oui =1, non =0)</t>
  </si>
  <si>
    <t>Irrigation - aspersion  (oui=1, non =0)</t>
  </si>
  <si>
    <t>Irrigation - microjets (oui=1, non=0)</t>
  </si>
  <si>
    <t>Irrigation- goutte-à-goutte  (oui=1, non =0)</t>
  </si>
  <si>
    <t>Irrigation avec  goutte à goutte (oui=1, non =0)</t>
  </si>
  <si>
    <t>Irrigation avec Microjets (oui=1, non =0)</t>
  </si>
  <si>
    <r>
      <t xml:space="preserve">Revenu </t>
    </r>
    <r>
      <rPr>
        <sz val="14"/>
        <rFont val="Arial"/>
        <family val="2"/>
      </rPr>
      <t>(Prestation totale)</t>
    </r>
  </si>
  <si>
    <t>Culture basse-tige avec installation de soutien, clôture,  irrigation avec aspersion, phase d'accroissement 3 ans, phase de pleine production 12 ans</t>
  </si>
  <si>
    <r>
      <t xml:space="preserve">Produits de traitements phytosanitaires                                                 </t>
    </r>
    <r>
      <rPr>
        <b/>
        <sz val="12"/>
        <rFont val="Arial"/>
        <family val="2"/>
      </rPr>
      <t xml:space="preserve">  </t>
    </r>
    <r>
      <rPr>
        <sz val="10"/>
        <rFont val="Arial"/>
        <family val="2"/>
      </rPr>
      <t xml:space="preserve"> </t>
    </r>
  </si>
  <si>
    <t xml:space="preserve">Machines                                                                                             </t>
  </si>
  <si>
    <t xml:space="preserve">Clôture                                                                                               </t>
  </si>
  <si>
    <t xml:space="preserve">Engrais                                                                                                         </t>
  </si>
  <si>
    <r>
      <t xml:space="preserve">Prix et rendement                                                                                         </t>
    </r>
    <r>
      <rPr>
        <b/>
        <sz val="9"/>
        <rFont val="Arial"/>
        <family val="2"/>
      </rPr>
      <t xml:space="preserve">   </t>
    </r>
    <r>
      <rPr>
        <sz val="9"/>
        <rFont val="Arial"/>
        <family val="2"/>
      </rPr>
      <t xml:space="preserve"> </t>
    </r>
  </si>
  <si>
    <t xml:space="preserve">Données normes                        </t>
  </si>
  <si>
    <r>
      <t xml:space="preserve">Prix et rendement                                                                                   </t>
    </r>
    <r>
      <rPr>
        <sz val="20"/>
        <rFont val="Arial"/>
        <family val="2"/>
      </rPr>
      <t xml:space="preserve">   </t>
    </r>
  </si>
  <si>
    <t xml:space="preserve">Engrais                                                                                                    </t>
  </si>
  <si>
    <r>
      <t xml:space="preserve">Produits de traitements phytosanitaires                                           </t>
    </r>
    <r>
      <rPr>
        <sz val="20"/>
        <rFont val="Arial"/>
        <family val="2"/>
      </rPr>
      <t xml:space="preserve"> </t>
    </r>
    <r>
      <rPr>
        <sz val="10"/>
        <rFont val="Arial"/>
        <family val="2"/>
      </rPr>
      <t xml:space="preserve">  </t>
    </r>
  </si>
  <si>
    <t xml:space="preserve">Clôture                                                                                             </t>
  </si>
  <si>
    <r>
      <t xml:space="preserve">Plantation y compris filet paragrêle                                         </t>
    </r>
    <r>
      <rPr>
        <sz val="10"/>
        <color indexed="9"/>
        <rFont val="Arial"/>
        <family val="2"/>
      </rPr>
      <t xml:space="preserve"> </t>
    </r>
  </si>
  <si>
    <t>Arbokost 2023</t>
  </si>
  <si>
    <t>Inflation materieaux de construction du 2015 au 2023</t>
  </si>
  <si>
    <t>Culture basse-tige avec installation de soutien, avec irrigation aspersion</t>
  </si>
  <si>
    <t>Rampe de pulvérisation pour herbicides avec tank</t>
  </si>
  <si>
    <t>3e année de végét. + phase de productin</t>
  </si>
  <si>
    <t>Lutte contre le feu bactérien</t>
  </si>
  <si>
    <t>Régulation de la végétation</t>
  </si>
  <si>
    <t>Fertilisation foliaire</t>
  </si>
  <si>
    <t>Engrais mixte</t>
  </si>
  <si>
    <t>Passages avec rampe et tank pour herbicides</t>
  </si>
  <si>
    <t>Passages avec Pulvérisateur</t>
  </si>
  <si>
    <t xml:space="preserve"> PER - pommes de table, Gala, 2000 arbres /ha</t>
  </si>
  <si>
    <t>Gala</t>
  </si>
  <si>
    <t>@copyright: Transmission des calculs uniquement avec l'autorisation d'Agroscope. Toutes les données sont sans garantie</t>
  </si>
  <si>
    <t>Référence : Bravin E., Carint D., Zürcher M., Mouron P., Arbokost 2023, Agroscope, arbokost.agroscope.ch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</si>
</sst>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3">
    <numFmt numFmtId="43" formatCode="_ * #,##0.00_ ;_ * \-#,##0.00_ ;_ * &quot;-&quot;??_ ;_ @_ "/>
    <numFmt numFmtId="164" formatCode="&quot;Fr.&quot;\ #,##0;&quot;Fr.&quot;\ \-#,##0"/>
    <numFmt numFmtId="165" formatCode="&quot;Fr.&quot;\ #,##0.00;&quot;Fr.&quot;\ \-#,##0.00"/>
    <numFmt numFmtId="166" formatCode="0.0"/>
    <numFmt numFmtId="167" formatCode="0.00\ &quot;Fr.&quot;"/>
    <numFmt numFmtId="168" formatCode="\ #,##0\ &quot;Fr.&quot;"/>
    <numFmt numFmtId="169" formatCode="\ #,##0\ \k\g"/>
    <numFmt numFmtId="170" formatCode="0.0\ \k\g"/>
    <numFmt numFmtId="171" formatCode="0.0\ \l"/>
    <numFmt numFmtId="172" formatCode="0\ \J"/>
    <numFmt numFmtId="173" formatCode="0.0%"/>
    <numFmt numFmtId="174" formatCode="#,##0.0"/>
    <numFmt numFmtId="175" formatCode="0.00\ \k\g"/>
    <numFmt numFmtId="176" formatCode="0.0\ &quot;ha&quot;"/>
    <numFmt numFmtId="177" formatCode="0.00\ &quot;Fr./kg&quot;"/>
    <numFmt numFmtId="178" formatCode="#,##0\ &quot;kg / ha&quot;"/>
    <numFmt numFmtId="179" formatCode="0.00\ &quot;Fr./ h&quot;"/>
    <numFmt numFmtId="180" formatCode="0.00\ &quot;Fr./ kg&quot;"/>
    <numFmt numFmtId="181" formatCode="0\ &quot;Akh&quot;"/>
    <numFmt numFmtId="182" formatCode="0.00\ &quot;Fr./ ha&quot;"/>
    <numFmt numFmtId="183" formatCode="0\ &quot;h / ha&quot;"/>
    <numFmt numFmtId="184" formatCode="0\ &quot;m&quot;"/>
    <numFmt numFmtId="185" formatCode="&quot;Faktor&quot;\ 0.0"/>
    <numFmt numFmtId="186" formatCode="0\ &quot;Fuder&quot;"/>
    <numFmt numFmtId="187" formatCode="0\ &quot;h&quot;"/>
    <numFmt numFmtId="188" formatCode="0\ &quot;m2&quot;"/>
    <numFmt numFmtId="189" formatCode="#,##0\ &quot;m&quot;"/>
    <numFmt numFmtId="190" formatCode="#,##0\ &quot;Bäume/ha&quot;"/>
    <numFmt numFmtId="191" formatCode="#,##0\ &quot;Fr.&quot;"/>
    <numFmt numFmtId="192" formatCode="\ #,##0\ &quot;h&quot;"/>
    <numFmt numFmtId="193" formatCode="\ #,###.00\ &quot;Fr.&quot;\ "/>
    <numFmt numFmtId="194" formatCode="\ #,###\ &quot;Fr.&quot;\ "/>
    <numFmt numFmtId="195" formatCode="0.0\ &quot;m&quot;"/>
    <numFmt numFmtId="196" formatCode="0\ &quot;x&quot;"/>
    <numFmt numFmtId="197" formatCode="#,##0.00\ &quot;Fr.&quot;"/>
    <numFmt numFmtId="198" formatCode="0.00\ &quot;Fr./h&quot;"/>
    <numFmt numFmtId="199" formatCode="#,##0\ &quot;Akh&quot;"/>
    <numFmt numFmtId="200" formatCode="0.00\ &quot;von Akh&quot;"/>
    <numFmt numFmtId="201" formatCode="0.00\ &quot;Fr./100kg&quot;"/>
    <numFmt numFmtId="202" formatCode="#,##0\ &quot;m2&quot;"/>
    <numFmt numFmtId="203" formatCode="#,##0\ &quot;h&quot;"/>
    <numFmt numFmtId="204" formatCode="#,##0.0\ &quot;kg / h&quot;"/>
    <numFmt numFmtId="205" formatCode="0\ &quot;Bäume/ha&quot;"/>
    <numFmt numFmtId="206" formatCode="0\ &quot;Fr./ ha&quot;"/>
    <numFmt numFmtId="207" formatCode="#,##0&quot;.- Versicherungssumme&quot;"/>
    <numFmt numFmtId="208" formatCode="\ #,##0.00\ &quot;Fr.&quot;"/>
    <numFmt numFmtId="209" formatCode="0.00\ &quot;Fr&quot;"/>
    <numFmt numFmtId="210" formatCode="#,##0&quot;.- Ersatz- u. Büromaterial&quot;"/>
    <numFmt numFmtId="211" formatCode="0\ &quot;kg/h&quot;"/>
    <numFmt numFmtId="212" formatCode="0.00\ &quot;Fr. / h&quot;"/>
    <numFmt numFmtId="213" formatCode="#,##0.00\ &quot;Fr./h&quot;"/>
    <numFmt numFmtId="214" formatCode="#,##0\ &quot;Fr./ha&quot;"/>
    <numFmt numFmtId="215" formatCode="\ #,###\ &quot;Fr./ha&quot;"/>
    <numFmt numFmtId="216" formatCode="0.00000000000000000000000000000000%"/>
    <numFmt numFmtId="217" formatCode="0\ &quot;kg&quot;"/>
    <numFmt numFmtId="218" formatCode="&quot;env.&quot;#,##0"/>
    <numFmt numFmtId="219" formatCode="0\ &quot;ans&quot;"/>
    <numFmt numFmtId="220" formatCode="0\ &quot;kg/chargement&quot;"/>
    <numFmt numFmtId="221" formatCode="0\ &quot;personnes&quot;"/>
    <numFmt numFmtId="222" formatCode="#,##0\ &quot;Fr./an&quot;"/>
    <numFmt numFmtId="223" formatCode="#,##0\ &quot;arbres/ha&quot;"/>
    <numFmt numFmtId="224" formatCode="0\ &quot;kg / chargement&quot;"/>
    <numFmt numFmtId="225" formatCode="0\ &quot;chargement&quot;"/>
    <numFmt numFmtId="226" formatCode="0.00\ &quot;Fr./charg.&quot;"/>
    <numFmt numFmtId="227" formatCode="0.0\ &quot;h/charg.&quot;"/>
    <numFmt numFmtId="228" formatCode="0\ &quot;chargements&quot;"/>
    <numFmt numFmtId="229" formatCode="0\ &quot;MOh&quot;"/>
    <numFmt numFmtId="230" formatCode="&quot;Facteur&quot;\ 0.0"/>
    <numFmt numFmtId="231" formatCode="0\ &quot;arbres/ha&quot;"/>
    <numFmt numFmtId="232" formatCode="0\ &quot;kg /chargement&quot;"/>
    <numFmt numFmtId="233" formatCode="0.00\ &quot;de MOh&quot;"/>
    <numFmt numFmtId="234" formatCode="#,##0\ &quot;passages&quot;"/>
    <numFmt numFmtId="235" formatCode="#,##0\ &quot;lfm&quot;"/>
    <numFmt numFmtId="236" formatCode="_ * #,##0_ ;_ * \-#,##0_ ;_ * &quot;-&quot;??_ ;_ @_ "/>
    <numFmt numFmtId="237" formatCode="&quot;Netto&quot;\ 0\ \ &quot;x&quot;"/>
    <numFmt numFmtId="238" formatCode="0.0\ \ &quot;x&quot;"/>
    <numFmt numFmtId="239" formatCode="#,##0\ \ &quot;Fr.&quot;"/>
    <numFmt numFmtId="240" formatCode="0\ &quot;lfm&quot;"/>
    <numFmt numFmtId="241" formatCode="0\ &quot;Stück&quot;"/>
    <numFmt numFmtId="242" formatCode="0.00\ &quot;dt&quot;"/>
    <numFmt numFmtId="243" formatCode="0.00\ &quot;kg&quot;"/>
    <numFmt numFmtId="244" formatCode="0.0\ &quot;Fr./lfm&quot;"/>
    <numFmt numFmtId="245" formatCode="0\ &quot;AK&quot;"/>
    <numFmt numFmtId="246" formatCode="0\ &quot;Wg&quot;"/>
    <numFmt numFmtId="247" formatCode="0.0\ &quot;h&quot;"/>
    <numFmt numFmtId="248" formatCode="0.0\ &quot;x&quot;"/>
    <numFmt numFmtId="249" formatCode="0\ \ &quot;pièces&quot;\ "/>
    <numFmt numFmtId="250" formatCode="\ #,##0\ \ &quot;Fr.&quot;"/>
    <numFmt numFmtId="251" formatCode="0.00\ &quot;m3&quot;"/>
    <numFmt numFmtId="252" formatCode="0\ &quot;m3&quot;"/>
    <numFmt numFmtId="253" formatCode="0.00\ &quot;Fr./m3&quot;"/>
    <numFmt numFmtId="254" formatCode="\ 0\ \ &quot;Lignes&quot;"/>
    <numFmt numFmtId="255" formatCode="&quot;Fr.&quot;\ #,##0.00"/>
  </numFmts>
  <fonts count="86" x14ac:knownFonts="1">
    <font>
      <sz val="10"/>
      <name val="Arial"/>
    </font>
    <font>
      <b/>
      <sz val="10"/>
      <name val="Arial"/>
    </font>
    <font>
      <i/>
      <sz val="10"/>
      <name val="Arial"/>
    </font>
    <font>
      <b/>
      <i/>
      <sz val="10"/>
      <name val="Arial"/>
    </font>
    <font>
      <sz val="10"/>
      <name val="Arial"/>
    </font>
    <font>
      <b/>
      <sz val="20"/>
      <name val="Arial"/>
      <family val="2"/>
    </font>
    <font>
      <b/>
      <sz val="12"/>
      <name val="Arial"/>
      <family val="2"/>
    </font>
    <font>
      <sz val="8"/>
      <name val="Arial"/>
      <family val="2"/>
    </font>
    <font>
      <b/>
      <sz val="14"/>
      <name val="Arial"/>
      <family val="2"/>
    </font>
    <font>
      <sz val="12"/>
      <name val="Arial"/>
      <family val="2"/>
    </font>
    <font>
      <sz val="14"/>
      <name val="Arial"/>
      <family val="2"/>
    </font>
    <font>
      <b/>
      <i/>
      <sz val="14"/>
      <name val="Arial"/>
    </font>
    <font>
      <b/>
      <sz val="10"/>
      <name val="Arial"/>
      <family val="2"/>
    </font>
    <font>
      <sz val="10"/>
      <name val="Arial"/>
      <family val="2"/>
    </font>
    <font>
      <b/>
      <sz val="10"/>
      <color indexed="9"/>
      <name val="Arial"/>
      <family val="2"/>
    </font>
    <font>
      <b/>
      <sz val="16"/>
      <name val="Arial"/>
      <family val="2"/>
    </font>
    <font>
      <b/>
      <sz val="16"/>
      <color indexed="9"/>
      <name val="Arial"/>
    </font>
    <font>
      <b/>
      <i/>
      <sz val="16"/>
      <name val="Arial"/>
      <family val="2"/>
    </font>
    <font>
      <sz val="10"/>
      <color indexed="9"/>
      <name val="Arial"/>
      <family val="2"/>
    </font>
    <font>
      <sz val="16"/>
      <color indexed="9"/>
      <name val="Arial"/>
      <family val="2"/>
    </font>
    <font>
      <sz val="10"/>
      <color indexed="8"/>
      <name val="Arial"/>
      <family val="2"/>
    </font>
    <font>
      <b/>
      <sz val="10"/>
      <color indexed="8"/>
      <name val="Arial"/>
      <family val="2"/>
    </font>
    <font>
      <sz val="11"/>
      <color indexed="8"/>
      <name val="Arial"/>
      <family val="2"/>
    </font>
    <font>
      <b/>
      <sz val="12"/>
      <color indexed="9"/>
      <name val="Arial"/>
      <family val="2"/>
    </font>
    <font>
      <sz val="8"/>
      <name val="Arial"/>
    </font>
    <font>
      <sz val="12"/>
      <color indexed="9"/>
      <name val="Arial"/>
      <family val="2"/>
    </font>
    <font>
      <sz val="10"/>
      <color indexed="10"/>
      <name val="Arial"/>
      <family val="2"/>
    </font>
    <font>
      <sz val="8"/>
      <color indexed="81"/>
      <name val="Tahoma"/>
    </font>
    <font>
      <b/>
      <sz val="8"/>
      <color indexed="81"/>
      <name val="Tahoma"/>
    </font>
    <font>
      <b/>
      <i/>
      <sz val="10"/>
      <name val="Arial"/>
      <family val="2"/>
    </font>
    <font>
      <b/>
      <sz val="20"/>
      <color indexed="9"/>
      <name val="Arial"/>
      <family val="2"/>
    </font>
    <font>
      <b/>
      <sz val="16"/>
      <color indexed="9"/>
      <name val="Arial"/>
      <family val="2"/>
    </font>
    <font>
      <b/>
      <sz val="14"/>
      <color indexed="9"/>
      <name val="Arial"/>
      <family val="2"/>
    </font>
    <font>
      <sz val="14"/>
      <color indexed="9"/>
      <name val="Arial"/>
      <family val="2"/>
    </font>
    <font>
      <sz val="9"/>
      <name val="Arial"/>
      <family val="2"/>
    </font>
    <font>
      <sz val="10"/>
      <color indexed="81"/>
      <name val="Tahoma"/>
      <family val="2"/>
    </font>
    <font>
      <b/>
      <i/>
      <sz val="12"/>
      <name val="Arial"/>
      <family val="2"/>
    </font>
    <font>
      <b/>
      <sz val="18"/>
      <color indexed="9"/>
      <name val="Arial"/>
      <family val="2"/>
    </font>
    <font>
      <b/>
      <sz val="10"/>
      <color indexed="10"/>
      <name val="Arial"/>
      <family val="2"/>
    </font>
    <font>
      <i/>
      <sz val="10"/>
      <name val="Arial"/>
      <family val="2"/>
    </font>
    <font>
      <b/>
      <i/>
      <sz val="10"/>
      <color indexed="9"/>
      <name val="Arial"/>
      <family val="2"/>
    </font>
    <font>
      <b/>
      <sz val="18"/>
      <name val="Arial"/>
      <family val="2"/>
    </font>
    <font>
      <b/>
      <sz val="20"/>
      <name val="Comic Sans MS"/>
      <family val="4"/>
    </font>
    <font>
      <b/>
      <sz val="24"/>
      <color indexed="9"/>
      <name val="Arial"/>
      <family val="2"/>
    </font>
    <font>
      <sz val="26"/>
      <color indexed="9"/>
      <name val="Arial"/>
      <family val="2"/>
    </font>
    <font>
      <b/>
      <sz val="10"/>
      <color indexed="81"/>
      <name val="Tahoma"/>
      <family val="2"/>
    </font>
    <font>
      <sz val="12"/>
      <color indexed="81"/>
      <name val="Tahoma"/>
      <family val="2"/>
    </font>
    <font>
      <sz val="11"/>
      <name val="Arial"/>
      <family val="2"/>
    </font>
    <font>
      <sz val="18"/>
      <name val="Arial"/>
      <family val="2"/>
    </font>
    <font>
      <sz val="10"/>
      <color indexed="81"/>
      <name val="Tahoma"/>
    </font>
    <font>
      <b/>
      <sz val="10"/>
      <color indexed="81"/>
      <name val="Tahoma"/>
    </font>
    <font>
      <b/>
      <sz val="20"/>
      <color indexed="9"/>
      <name val="Comic Sans MS"/>
      <family val="4"/>
    </font>
    <font>
      <sz val="18"/>
      <color indexed="9"/>
      <name val="Arial"/>
      <family val="2"/>
    </font>
    <font>
      <sz val="16"/>
      <name val="Arial"/>
      <family val="2"/>
    </font>
    <font>
      <b/>
      <sz val="11"/>
      <name val="Arial"/>
      <family val="2"/>
    </font>
    <font>
      <sz val="18"/>
      <color indexed="8"/>
      <name val="Arial"/>
      <family val="2"/>
    </font>
    <font>
      <sz val="14"/>
      <color indexed="8"/>
      <name val="Arial"/>
      <family val="2"/>
    </font>
    <font>
      <b/>
      <i/>
      <sz val="11"/>
      <name val="Arial"/>
      <family val="2"/>
    </font>
    <font>
      <b/>
      <sz val="8"/>
      <color indexed="81"/>
      <name val="Tahoma"/>
      <family val="2"/>
    </font>
    <font>
      <sz val="10"/>
      <color indexed="10"/>
      <name val="Arial"/>
    </font>
    <font>
      <sz val="12"/>
      <name val="Arial"/>
    </font>
    <font>
      <sz val="9"/>
      <color indexed="81"/>
      <name val="Tahoma"/>
      <family val="2"/>
    </font>
    <font>
      <b/>
      <i/>
      <sz val="12"/>
      <color indexed="10"/>
      <name val="Arial"/>
      <family val="2"/>
    </font>
    <font>
      <sz val="10"/>
      <color indexed="81"/>
      <name val="Arial"/>
      <family val="2"/>
    </font>
    <font>
      <b/>
      <sz val="8"/>
      <name val="Arial"/>
    </font>
    <font>
      <b/>
      <sz val="8"/>
      <name val="Arial"/>
      <family val="2"/>
    </font>
    <font>
      <u/>
      <sz val="10"/>
      <name val="Arial"/>
    </font>
    <font>
      <sz val="10"/>
      <color indexed="9"/>
      <name val="Arial"/>
    </font>
    <font>
      <vertAlign val="superscript"/>
      <sz val="10"/>
      <name val="Arial"/>
      <family val="2"/>
    </font>
    <font>
      <b/>
      <vertAlign val="superscript"/>
      <sz val="10"/>
      <name val="Arial"/>
      <family val="2"/>
    </font>
    <font>
      <b/>
      <sz val="19"/>
      <color indexed="9"/>
      <name val="Arial"/>
      <family val="2"/>
    </font>
    <font>
      <b/>
      <sz val="9"/>
      <name val="Arial"/>
      <family val="2"/>
    </font>
    <font>
      <sz val="20"/>
      <name val="Arial"/>
      <family val="2"/>
    </font>
    <font>
      <b/>
      <sz val="10"/>
      <color indexed="58"/>
      <name val="Arial"/>
      <family val="2"/>
    </font>
    <font>
      <sz val="20"/>
      <color indexed="9"/>
      <name val="Arial"/>
      <family val="2"/>
    </font>
    <font>
      <sz val="11"/>
      <color indexed="9"/>
      <name val="Arial"/>
      <family val="2"/>
    </font>
    <font>
      <sz val="11"/>
      <name val="Arial"/>
    </font>
    <font>
      <sz val="9"/>
      <name val="Arial"/>
    </font>
    <font>
      <sz val="7"/>
      <name val="Arial"/>
    </font>
    <font>
      <b/>
      <sz val="10"/>
      <color indexed="9"/>
      <name val="Arial"/>
    </font>
    <font>
      <sz val="10"/>
      <name val="Arial"/>
    </font>
    <font>
      <b/>
      <sz val="10"/>
      <color indexed="8"/>
      <name val="Arial"/>
    </font>
    <font>
      <sz val="10"/>
      <name val="Arial"/>
    </font>
    <font>
      <b/>
      <sz val="11"/>
      <color indexed="9"/>
      <name val="Arial"/>
      <family val="2"/>
    </font>
    <font>
      <b/>
      <sz val="22"/>
      <color indexed="9"/>
      <name val="Arial"/>
      <family val="2"/>
    </font>
    <font>
      <sz val="11"/>
      <color theme="1"/>
      <name val="Arial"/>
      <family val="2"/>
    </font>
  </fonts>
  <fills count="15">
    <fill>
      <patternFill patternType="none"/>
    </fill>
    <fill>
      <patternFill patternType="gray125"/>
    </fill>
    <fill>
      <patternFill patternType="solid">
        <fgColor indexed="22"/>
        <bgColor indexed="64"/>
      </patternFill>
    </fill>
    <fill>
      <patternFill patternType="solid">
        <fgColor indexed="18"/>
        <bgColor indexed="64"/>
      </patternFill>
    </fill>
    <fill>
      <patternFill patternType="solid">
        <fgColor indexed="50"/>
        <bgColor indexed="64"/>
      </patternFill>
    </fill>
    <fill>
      <patternFill patternType="solid">
        <fgColor indexed="42"/>
        <bgColor indexed="64"/>
      </patternFill>
    </fill>
    <fill>
      <patternFill patternType="solid">
        <fgColor indexed="29"/>
        <bgColor indexed="64"/>
      </patternFill>
    </fill>
    <fill>
      <patternFill patternType="solid">
        <fgColor indexed="13"/>
        <bgColor indexed="64"/>
      </patternFill>
    </fill>
    <fill>
      <patternFill patternType="solid">
        <fgColor indexed="8"/>
        <bgColor indexed="64"/>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7"/>
        <bgColor indexed="64"/>
      </patternFill>
    </fill>
    <fill>
      <patternFill patternType="solid">
        <fgColor theme="0"/>
        <bgColor indexed="64"/>
      </patternFill>
    </fill>
    <fill>
      <patternFill patternType="solid">
        <fgColor rgb="FFFFFF00"/>
        <bgColor indexed="64"/>
      </patternFill>
    </fill>
  </fills>
  <borders count="32">
    <border>
      <left/>
      <right/>
      <top/>
      <bottom/>
      <diagonal/>
    </border>
    <border>
      <left/>
      <right/>
      <top/>
      <bottom style="thin">
        <color indexed="64"/>
      </bottom>
      <diagonal/>
    </border>
    <border>
      <left/>
      <right style="thin">
        <color indexed="64"/>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s>
  <cellStyleXfs count="5">
    <xf numFmtId="0" fontId="0" fillId="0" borderId="0"/>
    <xf numFmtId="43" fontId="4" fillId="0" borderId="0" applyFont="0" applyFill="0" applyBorder="0" applyAlignment="0" applyProtection="0"/>
    <xf numFmtId="9" fontId="4" fillId="0" borderId="0" applyFont="0" applyFill="0" applyBorder="0" applyAlignment="0" applyProtection="0"/>
    <xf numFmtId="9" fontId="13" fillId="0" borderId="0" applyFont="0" applyFill="0" applyBorder="0" applyAlignment="0" applyProtection="0"/>
    <xf numFmtId="0" fontId="85" fillId="0" borderId="0"/>
  </cellStyleXfs>
  <cellXfs count="1523">
    <xf numFmtId="0" fontId="0" fillId="0" borderId="0" xfId="0"/>
    <xf numFmtId="0" fontId="0" fillId="0" borderId="0" xfId="0" applyFill="1"/>
    <xf numFmtId="0" fontId="6" fillId="0" borderId="0" xfId="0" applyFont="1" applyFill="1"/>
    <xf numFmtId="0" fontId="1" fillId="0" borderId="0" xfId="0" applyFont="1" applyFill="1"/>
    <xf numFmtId="0" fontId="4" fillId="0" borderId="0" xfId="0" applyFont="1" applyFill="1"/>
    <xf numFmtId="166" fontId="0" fillId="0" borderId="0" xfId="0" applyNumberFormat="1" applyFill="1"/>
    <xf numFmtId="1" fontId="0" fillId="0" borderId="0" xfId="0" applyNumberFormat="1" applyFill="1"/>
    <xf numFmtId="167" fontId="0" fillId="0" borderId="0" xfId="0" applyNumberFormat="1" applyFill="1"/>
    <xf numFmtId="168" fontId="0" fillId="0" borderId="0" xfId="0" applyNumberFormat="1" applyFill="1"/>
    <xf numFmtId="167" fontId="0" fillId="0" borderId="0" xfId="0" applyNumberFormat="1"/>
    <xf numFmtId="0" fontId="0" fillId="0" borderId="0" xfId="0" applyAlignment="1">
      <alignment horizontal="center"/>
    </xf>
    <xf numFmtId="0" fontId="0" fillId="0" borderId="0" xfId="0" applyBorder="1" applyAlignment="1">
      <alignment horizontal="center"/>
    </xf>
    <xf numFmtId="0" fontId="1" fillId="0" borderId="0" xfId="0" applyFont="1"/>
    <xf numFmtId="0" fontId="0" fillId="0" borderId="0" xfId="0" applyBorder="1"/>
    <xf numFmtId="3" fontId="0" fillId="0" borderId="0" xfId="0" applyNumberFormat="1" applyAlignment="1">
      <alignment horizontal="center"/>
    </xf>
    <xf numFmtId="0" fontId="4" fillId="0" borderId="0" xfId="0" applyFont="1"/>
    <xf numFmtId="0" fontId="9" fillId="0" borderId="0" xfId="0" applyFont="1"/>
    <xf numFmtId="0" fontId="1" fillId="0" borderId="0" xfId="0" applyFont="1" applyBorder="1"/>
    <xf numFmtId="0" fontId="0" fillId="0" borderId="0" xfId="0" applyFill="1" applyBorder="1"/>
    <xf numFmtId="0" fontId="9" fillId="0" borderId="0" xfId="0" applyFont="1" applyFill="1"/>
    <xf numFmtId="166" fontId="9" fillId="0" borderId="0" xfId="0" applyNumberFormat="1" applyFont="1" applyFill="1"/>
    <xf numFmtId="166" fontId="10" fillId="0" borderId="0" xfId="0" applyNumberFormat="1" applyFont="1" applyFill="1"/>
    <xf numFmtId="0" fontId="10" fillId="0" borderId="0" xfId="0" applyFont="1"/>
    <xf numFmtId="167" fontId="0" fillId="0" borderId="0" xfId="0" applyNumberFormat="1" applyAlignment="1">
      <alignment horizontal="center"/>
    </xf>
    <xf numFmtId="168" fontId="0" fillId="0" borderId="0" xfId="0" applyNumberFormat="1" applyAlignment="1">
      <alignment horizontal="center"/>
    </xf>
    <xf numFmtId="166" fontId="0" fillId="0" borderId="0" xfId="0" applyNumberFormat="1" applyAlignment="1">
      <alignment horizontal="center"/>
    </xf>
    <xf numFmtId="0" fontId="4" fillId="2" borderId="0" xfId="0" applyFont="1" applyFill="1" applyAlignment="1">
      <alignment horizontal="center"/>
    </xf>
    <xf numFmtId="167" fontId="4" fillId="2" borderId="0" xfId="0" applyNumberFormat="1" applyFont="1" applyFill="1" applyAlignment="1">
      <alignment horizontal="center"/>
    </xf>
    <xf numFmtId="0" fontId="4" fillId="0" borderId="0" xfId="0" applyFont="1" applyBorder="1"/>
    <xf numFmtId="168" fontId="0" fillId="0" borderId="0" xfId="0" applyNumberFormat="1" applyBorder="1" applyAlignment="1">
      <alignment horizontal="center"/>
    </xf>
    <xf numFmtId="0" fontId="0" fillId="0" borderId="1" xfId="0" applyBorder="1" applyAlignment="1">
      <alignment horizontal="center"/>
    </xf>
    <xf numFmtId="168" fontId="4" fillId="2" borderId="0" xfId="0" applyNumberFormat="1" applyFont="1" applyFill="1" applyAlignment="1">
      <alignment horizontal="center"/>
    </xf>
    <xf numFmtId="168" fontId="0" fillId="0" borderId="0" xfId="0" applyNumberFormat="1" applyFill="1" applyAlignment="1">
      <alignment horizontal="center"/>
    </xf>
    <xf numFmtId="0" fontId="0" fillId="0" borderId="0" xfId="0" applyFill="1" applyAlignment="1">
      <alignment horizontal="center"/>
    </xf>
    <xf numFmtId="166" fontId="0" fillId="0" borderId="0" xfId="0" applyNumberFormat="1" applyFill="1" applyAlignment="1">
      <alignment horizontal="center"/>
    </xf>
    <xf numFmtId="168" fontId="0" fillId="0" borderId="0" xfId="0" applyNumberFormat="1"/>
    <xf numFmtId="0" fontId="0" fillId="2" borderId="0" xfId="0" applyFill="1" applyAlignment="1">
      <alignment horizontal="center"/>
    </xf>
    <xf numFmtId="166" fontId="0" fillId="0" borderId="0" xfId="0" applyNumberFormat="1" applyFill="1" applyBorder="1" applyAlignment="1">
      <alignment horizontal="center"/>
    </xf>
    <xf numFmtId="0" fontId="1" fillId="0" borderId="0" xfId="0" applyFont="1" applyFill="1" applyBorder="1"/>
    <xf numFmtId="0" fontId="4" fillId="0" borderId="0" xfId="0" applyFont="1" applyFill="1" applyBorder="1"/>
    <xf numFmtId="0" fontId="4" fillId="0" borderId="0" xfId="0" applyFont="1" applyFill="1" applyBorder="1" applyAlignment="1">
      <alignment horizontal="center"/>
    </xf>
    <xf numFmtId="0" fontId="0" fillId="0" borderId="0" xfId="0" applyFill="1" applyBorder="1" applyAlignment="1">
      <alignment horizontal="center"/>
    </xf>
    <xf numFmtId="167" fontId="0" fillId="0" borderId="0" xfId="0" applyNumberFormat="1" applyFill="1" applyBorder="1" applyAlignment="1">
      <alignment horizontal="center"/>
    </xf>
    <xf numFmtId="168" fontId="0" fillId="0" borderId="0" xfId="0" applyNumberFormat="1" applyFill="1" applyBorder="1" applyAlignment="1">
      <alignment horizontal="center"/>
    </xf>
    <xf numFmtId="1" fontId="0" fillId="0" borderId="0" xfId="0" applyNumberFormat="1" applyFill="1" applyBorder="1" applyAlignment="1">
      <alignment horizontal="center"/>
    </xf>
    <xf numFmtId="167" fontId="0" fillId="0" borderId="0" xfId="0" applyNumberFormat="1" applyFill="1" applyAlignment="1">
      <alignment horizontal="center"/>
    </xf>
    <xf numFmtId="0" fontId="12" fillId="0" borderId="0" xfId="0" applyFont="1"/>
    <xf numFmtId="0" fontId="0" fillId="0" borderId="0" xfId="0" applyAlignment="1">
      <alignment horizontal="right"/>
    </xf>
    <xf numFmtId="0" fontId="19" fillId="0" borderId="0" xfId="0" applyFont="1" applyFill="1"/>
    <xf numFmtId="0" fontId="0" fillId="0" borderId="2" xfId="0" applyBorder="1"/>
    <xf numFmtId="0" fontId="20" fillId="0" borderId="0" xfId="0" applyFont="1" applyFill="1"/>
    <xf numFmtId="0" fontId="21" fillId="0" borderId="0" xfId="0" applyFont="1" applyFill="1"/>
    <xf numFmtId="168" fontId="1" fillId="0" borderId="0" xfId="0" applyNumberFormat="1" applyFont="1" applyFill="1" applyAlignment="1">
      <alignment horizontal="center"/>
    </xf>
    <xf numFmtId="0" fontId="10" fillId="0" borderId="0" xfId="0" applyFont="1" applyBorder="1"/>
    <xf numFmtId="0" fontId="13" fillId="0" borderId="0" xfId="0" applyFont="1"/>
    <xf numFmtId="170" fontId="1" fillId="0" borderId="0" xfId="0" applyNumberFormat="1" applyFont="1" applyFill="1" applyBorder="1" applyAlignment="1">
      <alignment horizontal="center"/>
    </xf>
    <xf numFmtId="169" fontId="1" fillId="0" borderId="0" xfId="0" applyNumberFormat="1" applyFont="1" applyFill="1" applyBorder="1" applyAlignment="1">
      <alignment horizontal="center"/>
    </xf>
    <xf numFmtId="167" fontId="1" fillId="0" borderId="0" xfId="0" applyNumberFormat="1" applyFont="1" applyFill="1" applyBorder="1" applyAlignment="1">
      <alignment horizontal="center"/>
    </xf>
    <xf numFmtId="9" fontId="4" fillId="0" borderId="0" xfId="2" applyFont="1" applyFill="1" applyBorder="1" applyAlignment="1">
      <alignment horizontal="center"/>
    </xf>
    <xf numFmtId="170" fontId="0" fillId="0" borderId="0" xfId="0" applyNumberFormat="1" applyFill="1" applyAlignment="1">
      <alignment horizontal="center"/>
    </xf>
    <xf numFmtId="9" fontId="0" fillId="0" borderId="0" xfId="2" applyFont="1" applyFill="1" applyBorder="1" applyAlignment="1">
      <alignment horizontal="center"/>
    </xf>
    <xf numFmtId="3" fontId="1" fillId="0" borderId="0" xfId="0" applyNumberFormat="1" applyFont="1" applyFill="1" applyAlignment="1">
      <alignment horizontal="center"/>
    </xf>
    <xf numFmtId="0" fontId="20" fillId="0" borderId="0" xfId="0" applyFont="1"/>
    <xf numFmtId="3" fontId="22" fillId="0" borderId="0" xfId="0" applyNumberFormat="1" applyFont="1" applyFill="1"/>
    <xf numFmtId="3" fontId="20" fillId="0" borderId="0" xfId="0" applyNumberFormat="1" applyFont="1" applyFill="1"/>
    <xf numFmtId="0" fontId="0" fillId="0" borderId="1" xfId="0" applyFill="1" applyBorder="1" applyAlignment="1">
      <alignment horizontal="center"/>
    </xf>
    <xf numFmtId="0" fontId="13" fillId="0" borderId="0" xfId="0" applyFont="1" applyFill="1"/>
    <xf numFmtId="0" fontId="9" fillId="0" borderId="0" xfId="0" applyFont="1" applyBorder="1"/>
    <xf numFmtId="0" fontId="13" fillId="0" borderId="0" xfId="0" applyFont="1" applyBorder="1"/>
    <xf numFmtId="0" fontId="12" fillId="0" borderId="0" xfId="0" applyFont="1" applyBorder="1"/>
    <xf numFmtId="0" fontId="18" fillId="0" borderId="0" xfId="0" applyFont="1" applyFill="1"/>
    <xf numFmtId="167" fontId="18" fillId="0" borderId="0" xfId="0" applyNumberFormat="1" applyFont="1" applyFill="1" applyAlignment="1">
      <alignment horizontal="center"/>
    </xf>
    <xf numFmtId="0" fontId="12" fillId="0" borderId="0" xfId="0" applyFont="1" applyFill="1"/>
    <xf numFmtId="9" fontId="0" fillId="0" borderId="0" xfId="2" applyFont="1" applyFill="1" applyAlignment="1">
      <alignment horizontal="center"/>
    </xf>
    <xf numFmtId="0" fontId="29" fillId="0" borderId="0" xfId="0" applyFont="1"/>
    <xf numFmtId="167" fontId="1" fillId="0" borderId="0" xfId="0" applyNumberFormat="1" applyFont="1" applyFill="1" applyAlignment="1">
      <alignment horizontal="center"/>
    </xf>
    <xf numFmtId="174" fontId="1" fillId="0" borderId="0" xfId="0" applyNumberFormat="1" applyFont="1" applyFill="1" applyAlignment="1">
      <alignment horizontal="center"/>
    </xf>
    <xf numFmtId="0" fontId="12" fillId="2" borderId="0" xfId="0" applyFont="1" applyFill="1" applyAlignment="1">
      <alignment horizontal="center"/>
    </xf>
    <xf numFmtId="166" fontId="0" fillId="0" borderId="0" xfId="0" applyNumberFormat="1" applyFill="1" applyBorder="1"/>
    <xf numFmtId="2" fontId="0" fillId="0" borderId="0" xfId="0" applyNumberFormat="1" applyFill="1" applyBorder="1" applyAlignment="1">
      <alignment horizontal="center"/>
    </xf>
    <xf numFmtId="168" fontId="1" fillId="0" borderId="0" xfId="0" applyNumberFormat="1" applyFont="1" applyFill="1" applyBorder="1" applyAlignment="1">
      <alignment horizontal="center"/>
    </xf>
    <xf numFmtId="168" fontId="13" fillId="0" borderId="0" xfId="0" applyNumberFormat="1" applyFont="1" applyFill="1" applyAlignment="1">
      <alignment horizontal="center"/>
    </xf>
    <xf numFmtId="168" fontId="12" fillId="0" borderId="0" xfId="0" applyNumberFormat="1" applyFont="1" applyFill="1" applyBorder="1" applyAlignment="1">
      <alignment horizontal="center"/>
    </xf>
    <xf numFmtId="0" fontId="13" fillId="2" borderId="0" xfId="0" applyFont="1" applyFill="1" applyBorder="1" applyAlignment="1">
      <alignment horizontal="center"/>
    </xf>
    <xf numFmtId="0" fontId="12" fillId="0" borderId="0" xfId="0" applyFont="1" applyFill="1" applyBorder="1"/>
    <xf numFmtId="0" fontId="0" fillId="0" borderId="2" xfId="0" applyFill="1" applyBorder="1"/>
    <xf numFmtId="166" fontId="1" fillId="2" borderId="0" xfId="0" applyNumberFormat="1" applyFont="1" applyFill="1" applyAlignment="1">
      <alignment horizontal="center"/>
    </xf>
    <xf numFmtId="9" fontId="1" fillId="0" borderId="0" xfId="2" applyFont="1" applyFill="1" applyAlignment="1">
      <alignment horizontal="center"/>
    </xf>
    <xf numFmtId="9" fontId="4" fillId="0" borderId="0" xfId="2" applyFill="1" applyAlignment="1">
      <alignment horizontal="center"/>
    </xf>
    <xf numFmtId="179" fontId="0" fillId="0" borderId="0" xfId="0" applyNumberFormat="1" applyBorder="1" applyAlignment="1">
      <alignment horizontal="center"/>
    </xf>
    <xf numFmtId="179" fontId="0" fillId="0" borderId="0" xfId="0" applyNumberFormat="1" applyAlignment="1">
      <alignment horizontal="center"/>
    </xf>
    <xf numFmtId="0" fontId="0" fillId="2" borderId="0" xfId="0" applyFill="1" applyBorder="1" applyAlignment="1">
      <alignment horizontal="center"/>
    </xf>
    <xf numFmtId="179" fontId="0" fillId="0" borderId="0" xfId="0" applyNumberFormat="1" applyFill="1" applyAlignment="1">
      <alignment horizontal="center"/>
    </xf>
    <xf numFmtId="1" fontId="0" fillId="0" borderId="0" xfId="0" applyNumberFormat="1" applyFill="1" applyAlignment="1">
      <alignment horizontal="center"/>
    </xf>
    <xf numFmtId="179" fontId="0" fillId="0" borderId="0" xfId="0" applyNumberFormat="1" applyFill="1" applyBorder="1" applyAlignment="1">
      <alignment horizontal="center"/>
    </xf>
    <xf numFmtId="0" fontId="32" fillId="0" borderId="0" xfId="0" applyFont="1" applyFill="1"/>
    <xf numFmtId="0" fontId="33" fillId="0" borderId="0" xfId="0" applyFont="1" applyFill="1"/>
    <xf numFmtId="166" fontId="33" fillId="0" borderId="0" xfId="0" applyNumberFormat="1" applyFont="1" applyFill="1" applyAlignment="1">
      <alignment horizontal="center"/>
    </xf>
    <xf numFmtId="167" fontId="33" fillId="0" borderId="0" xfId="0" applyNumberFormat="1" applyFont="1" applyFill="1" applyAlignment="1">
      <alignment horizontal="center"/>
    </xf>
    <xf numFmtId="168" fontId="32" fillId="0" borderId="0" xfId="0" applyNumberFormat="1" applyFont="1" applyFill="1" applyBorder="1" applyAlignment="1">
      <alignment horizontal="center"/>
    </xf>
    <xf numFmtId="0" fontId="10" fillId="0" borderId="0" xfId="0" applyFont="1" applyFill="1" applyBorder="1"/>
    <xf numFmtId="0" fontId="10" fillId="0" borderId="0" xfId="0" applyFont="1" applyFill="1"/>
    <xf numFmtId="0" fontId="0" fillId="0" borderId="0" xfId="0" applyAlignment="1">
      <alignment horizontal="left"/>
    </xf>
    <xf numFmtId="180" fontId="0" fillId="0" borderId="0" xfId="0" applyNumberFormat="1" applyAlignment="1">
      <alignment horizontal="center"/>
    </xf>
    <xf numFmtId="3" fontId="0" fillId="0" borderId="0" xfId="0" applyNumberFormat="1" applyBorder="1" applyAlignment="1">
      <alignment horizontal="center"/>
    </xf>
    <xf numFmtId="167" fontId="0" fillId="0" borderId="0" xfId="0" applyNumberFormat="1" applyBorder="1" applyAlignment="1">
      <alignment horizontal="center"/>
    </xf>
    <xf numFmtId="0" fontId="4" fillId="0" borderId="0" xfId="0" applyFont="1" applyBorder="1" applyAlignment="1">
      <alignment horizontal="center"/>
    </xf>
    <xf numFmtId="0" fontId="0" fillId="0" borderId="0" xfId="0" applyBorder="1" applyAlignment="1">
      <alignment horizontal="left"/>
    </xf>
    <xf numFmtId="0" fontId="13" fillId="0" borderId="0" xfId="0" applyFont="1" applyFill="1" applyAlignment="1">
      <alignment horizontal="right"/>
    </xf>
    <xf numFmtId="168" fontId="1" fillId="0" borderId="0" xfId="0" applyNumberFormat="1" applyFont="1" applyBorder="1" applyAlignment="1">
      <alignment horizontal="center"/>
    </xf>
    <xf numFmtId="0" fontId="9" fillId="0" borderId="0" xfId="0" applyFont="1" applyFill="1" applyBorder="1"/>
    <xf numFmtId="0" fontId="12" fillId="0" borderId="0" xfId="0" applyFont="1" applyBorder="1" applyAlignment="1">
      <alignment horizontal="center"/>
    </xf>
    <xf numFmtId="191" fontId="0" fillId="0" borderId="0" xfId="0" applyNumberFormat="1" applyAlignment="1">
      <alignment horizontal="center"/>
    </xf>
    <xf numFmtId="191" fontId="0" fillId="0" borderId="0" xfId="0" applyNumberFormat="1" applyFill="1" applyAlignment="1">
      <alignment horizontal="center"/>
    </xf>
    <xf numFmtId="0" fontId="18" fillId="0" borderId="0" xfId="0" applyFont="1" applyFill="1" applyBorder="1"/>
    <xf numFmtId="49" fontId="6" fillId="0" borderId="0" xfId="0" applyNumberFormat="1" applyFont="1" applyBorder="1" applyAlignment="1">
      <alignment horizontal="center"/>
    </xf>
    <xf numFmtId="4" fontId="0" fillId="0" borderId="0" xfId="0" applyNumberFormat="1" applyAlignment="1">
      <alignment horizontal="center"/>
    </xf>
    <xf numFmtId="166" fontId="0" fillId="2" borderId="0" xfId="0" applyNumberFormat="1" applyFill="1" applyBorder="1" applyAlignment="1">
      <alignment horizontal="center"/>
    </xf>
    <xf numFmtId="0" fontId="20" fillId="0" borderId="0" xfId="0" applyFont="1" applyFill="1" applyAlignment="1">
      <alignment horizontal="center"/>
    </xf>
    <xf numFmtId="0" fontId="19" fillId="0" borderId="0" xfId="0" applyFont="1" applyFill="1" applyAlignment="1">
      <alignment horizontal="center"/>
    </xf>
    <xf numFmtId="0" fontId="9" fillId="0" borderId="0" xfId="0" applyFont="1" applyAlignment="1">
      <alignment horizontal="center"/>
    </xf>
    <xf numFmtId="3" fontId="0" fillId="0" borderId="0" xfId="0" applyNumberFormat="1" applyFill="1" applyAlignment="1">
      <alignment horizontal="center"/>
    </xf>
    <xf numFmtId="3" fontId="20" fillId="0" borderId="0" xfId="0" applyNumberFormat="1" applyFont="1" applyFill="1" applyAlignment="1">
      <alignment horizontal="center"/>
    </xf>
    <xf numFmtId="3" fontId="19" fillId="0" borderId="0" xfId="0" applyNumberFormat="1" applyFont="1" applyFill="1" applyAlignment="1">
      <alignment horizontal="center"/>
    </xf>
    <xf numFmtId="3" fontId="9" fillId="0" borderId="0" xfId="0" applyNumberFormat="1" applyFont="1" applyAlignment="1">
      <alignment horizontal="center"/>
    </xf>
    <xf numFmtId="4" fontId="0" fillId="0" borderId="0" xfId="0" applyNumberFormat="1" applyBorder="1" applyAlignment="1">
      <alignment horizontal="center"/>
    </xf>
    <xf numFmtId="0" fontId="0" fillId="0" borderId="0" xfId="0" applyFill="1" applyAlignment="1">
      <alignment horizontal="left"/>
    </xf>
    <xf numFmtId="0" fontId="0" fillId="0" borderId="0" xfId="0" applyFill="1" applyBorder="1" applyAlignment="1">
      <alignment horizontal="right"/>
    </xf>
    <xf numFmtId="3" fontId="0" fillId="0" borderId="0" xfId="0" applyNumberFormat="1" applyFill="1" applyBorder="1" applyAlignment="1">
      <alignment horizontal="center"/>
    </xf>
    <xf numFmtId="9" fontId="0" fillId="0" borderId="0" xfId="0" applyNumberFormat="1" applyFill="1" applyBorder="1" applyAlignment="1">
      <alignment horizontal="center"/>
    </xf>
    <xf numFmtId="1" fontId="1" fillId="0" borderId="0" xfId="0" applyNumberFormat="1" applyFont="1" applyFill="1" applyBorder="1" applyAlignment="1">
      <alignment horizontal="center"/>
    </xf>
    <xf numFmtId="168" fontId="4" fillId="0" borderId="0" xfId="0" applyNumberFormat="1" applyFont="1" applyFill="1" applyAlignment="1">
      <alignment horizontal="center"/>
    </xf>
    <xf numFmtId="168" fontId="12" fillId="0" borderId="0" xfId="0" applyNumberFormat="1" applyFont="1" applyFill="1" applyAlignment="1">
      <alignment horizontal="center"/>
    </xf>
    <xf numFmtId="9" fontId="4" fillId="0" borderId="0" xfId="2" applyFill="1" applyBorder="1" applyAlignment="1">
      <alignment horizontal="center"/>
    </xf>
    <xf numFmtId="0" fontId="0" fillId="0" borderId="3" xfId="0" applyFill="1" applyBorder="1"/>
    <xf numFmtId="0" fontId="0" fillId="0" borderId="4" xfId="0" applyFill="1" applyBorder="1"/>
    <xf numFmtId="0" fontId="0" fillId="0" borderId="3" xfId="0" applyBorder="1" applyAlignment="1">
      <alignment horizontal="center"/>
    </xf>
    <xf numFmtId="0" fontId="9" fillId="0" borderId="5" xfId="0" applyFont="1" applyBorder="1"/>
    <xf numFmtId="1" fontId="1" fillId="0" borderId="0" xfId="0" applyNumberFormat="1" applyFont="1" applyFill="1" applyAlignment="1">
      <alignment horizontal="center"/>
    </xf>
    <xf numFmtId="167" fontId="13" fillId="0" borderId="0" xfId="0" applyNumberFormat="1" applyFont="1" applyFill="1" applyAlignment="1">
      <alignment horizontal="center"/>
    </xf>
    <xf numFmtId="0" fontId="0" fillId="0" borderId="6" xfId="0" applyFill="1" applyBorder="1" applyAlignment="1">
      <alignment horizontal="center"/>
    </xf>
    <xf numFmtId="1" fontId="12" fillId="0" borderId="0" xfId="0" applyNumberFormat="1" applyFont="1" applyFill="1" applyAlignment="1">
      <alignment horizontal="center"/>
    </xf>
    <xf numFmtId="0" fontId="12" fillId="0" borderId="0" xfId="0" applyFont="1" applyFill="1" applyAlignment="1">
      <alignment horizontal="center"/>
    </xf>
    <xf numFmtId="3" fontId="12" fillId="0" borderId="0" xfId="0" applyNumberFormat="1" applyFont="1" applyFill="1" applyAlignment="1">
      <alignment horizontal="center"/>
    </xf>
    <xf numFmtId="0" fontId="13" fillId="0" borderId="0" xfId="0" applyFont="1" applyFill="1" applyBorder="1"/>
    <xf numFmtId="191" fontId="26" fillId="0" borderId="0" xfId="0" applyNumberFormat="1" applyFont="1" applyAlignment="1">
      <alignment horizontal="center"/>
    </xf>
    <xf numFmtId="9" fontId="12" fillId="0" borderId="0" xfId="2" applyFont="1" applyFill="1" applyAlignment="1">
      <alignment horizontal="left"/>
    </xf>
    <xf numFmtId="9" fontId="13" fillId="0" borderId="0" xfId="2" applyFont="1" applyFill="1" applyAlignment="1">
      <alignment horizontal="center"/>
    </xf>
    <xf numFmtId="168" fontId="13" fillId="0" borderId="0" xfId="0" applyNumberFormat="1" applyFont="1" applyFill="1" applyBorder="1" applyAlignment="1">
      <alignment horizontal="center"/>
    </xf>
    <xf numFmtId="0" fontId="0" fillId="0" borderId="0" xfId="0" applyFill="1" applyBorder="1" applyAlignment="1">
      <alignment horizontal="left"/>
    </xf>
    <xf numFmtId="0" fontId="0" fillId="0" borderId="0" xfId="0" applyFill="1" applyAlignment="1">
      <alignment horizontal="center" vertical="center"/>
    </xf>
    <xf numFmtId="0" fontId="32" fillId="3" borderId="0" xfId="0" applyFont="1" applyFill="1" applyBorder="1" applyAlignment="1">
      <alignment horizontal="left" vertical="center"/>
    </xf>
    <xf numFmtId="0" fontId="6" fillId="0" borderId="0" xfId="0" applyFont="1" applyFill="1" applyBorder="1"/>
    <xf numFmtId="0" fontId="0" fillId="0" borderId="7" xfId="0" applyFill="1" applyBorder="1" applyAlignment="1">
      <alignment horizontal="center"/>
    </xf>
    <xf numFmtId="0" fontId="1" fillId="0" borderId="3" xfId="0" applyFont="1" applyFill="1" applyBorder="1"/>
    <xf numFmtId="191" fontId="13" fillId="0" borderId="0" xfId="0" applyNumberFormat="1" applyFont="1" applyFill="1" applyAlignment="1">
      <alignment horizontal="center"/>
    </xf>
    <xf numFmtId="191" fontId="12" fillId="0" borderId="0" xfId="0" applyNumberFormat="1" applyFont="1" applyFill="1" applyAlignment="1">
      <alignment horizontal="center"/>
    </xf>
    <xf numFmtId="0" fontId="44" fillId="0" borderId="0" xfId="0" applyFont="1" applyFill="1" applyBorder="1" applyAlignment="1">
      <alignment horizontal="left"/>
    </xf>
    <xf numFmtId="49" fontId="4" fillId="0" borderId="0" xfId="0" applyNumberFormat="1" applyFont="1" applyFill="1" applyAlignment="1">
      <alignment vertical="center" wrapText="1"/>
    </xf>
    <xf numFmtId="177" fontId="12" fillId="0" borderId="0" xfId="0" applyNumberFormat="1" applyFont="1" applyFill="1" applyAlignment="1">
      <alignment horizontal="center"/>
    </xf>
    <xf numFmtId="0" fontId="0" fillId="0" borderId="8" xfId="0" applyFill="1" applyBorder="1" applyAlignment="1">
      <alignment horizontal="center"/>
    </xf>
    <xf numFmtId="0" fontId="0" fillId="0" borderId="9" xfId="0" applyBorder="1"/>
    <xf numFmtId="0" fontId="0" fillId="0" borderId="10" xfId="0" applyBorder="1" applyAlignment="1">
      <alignment horizontal="right"/>
    </xf>
    <xf numFmtId="0" fontId="0" fillId="0" borderId="11" xfId="0" applyFill="1" applyBorder="1" applyAlignment="1">
      <alignment horizontal="right"/>
    </xf>
    <xf numFmtId="0" fontId="1" fillId="0" borderId="10" xfId="0" applyFont="1" applyFill="1" applyBorder="1"/>
    <xf numFmtId="0" fontId="12" fillId="0" borderId="11" xfId="0" applyFont="1" applyBorder="1"/>
    <xf numFmtId="179" fontId="0" fillId="2" borderId="0" xfId="0" applyNumberFormat="1" applyFill="1" applyAlignment="1">
      <alignment horizontal="center"/>
    </xf>
    <xf numFmtId="49" fontId="0" fillId="0" borderId="0" xfId="0" applyNumberFormat="1" applyAlignment="1">
      <alignment wrapText="1"/>
    </xf>
    <xf numFmtId="168" fontId="13" fillId="0" borderId="0" xfId="0" applyNumberFormat="1" applyFont="1" applyFill="1" applyAlignment="1">
      <alignment horizontal="center" vertical="center"/>
    </xf>
    <xf numFmtId="0" fontId="12" fillId="0" borderId="0" xfId="0" applyFont="1" applyAlignment="1">
      <alignment vertical="center"/>
    </xf>
    <xf numFmtId="0" fontId="0" fillId="0" borderId="0" xfId="0" applyAlignment="1">
      <alignment vertical="center"/>
    </xf>
    <xf numFmtId="0" fontId="0" fillId="0" borderId="0" xfId="0" applyAlignment="1">
      <alignment horizontal="center" vertical="center"/>
    </xf>
    <xf numFmtId="3" fontId="0" fillId="0" borderId="0" xfId="0" applyNumberFormat="1" applyAlignment="1">
      <alignment horizontal="center" vertical="center"/>
    </xf>
    <xf numFmtId="0" fontId="0" fillId="0" borderId="0" xfId="0" applyFill="1" applyAlignment="1">
      <alignment vertical="center"/>
    </xf>
    <xf numFmtId="0" fontId="12" fillId="0" borderId="0" xfId="0" applyFont="1" applyFill="1" applyAlignment="1">
      <alignment horizontal="right"/>
    </xf>
    <xf numFmtId="9" fontId="0" fillId="0" borderId="0" xfId="0" applyNumberFormat="1" applyFill="1" applyAlignment="1">
      <alignment horizontal="center"/>
    </xf>
    <xf numFmtId="168" fontId="12" fillId="0" borderId="0" xfId="0" applyNumberFormat="1" applyFont="1" applyFill="1" applyAlignment="1">
      <alignment horizontal="center" vertical="center"/>
    </xf>
    <xf numFmtId="168" fontId="21" fillId="0" borderId="0" xfId="0" applyNumberFormat="1" applyFont="1" applyFill="1" applyAlignment="1">
      <alignment horizontal="center"/>
    </xf>
    <xf numFmtId="179" fontId="13" fillId="2" borderId="0" xfId="0" applyNumberFormat="1" applyFont="1" applyFill="1" applyAlignment="1">
      <alignment horizontal="center"/>
    </xf>
    <xf numFmtId="0" fontId="12" fillId="0" borderId="0" xfId="0" applyFont="1" applyAlignment="1"/>
    <xf numFmtId="167" fontId="13" fillId="0" borderId="0" xfId="0" applyNumberFormat="1" applyFont="1"/>
    <xf numFmtId="167" fontId="13" fillId="0" borderId="0" xfId="0" applyNumberFormat="1" applyFont="1" applyFill="1"/>
    <xf numFmtId="167" fontId="12" fillId="0" borderId="0" xfId="0" applyNumberFormat="1" applyFont="1"/>
    <xf numFmtId="167" fontId="12" fillId="0" borderId="0" xfId="0" applyNumberFormat="1" applyFont="1" applyFill="1"/>
    <xf numFmtId="4" fontId="0" fillId="0" borderId="0" xfId="0" applyNumberFormat="1"/>
    <xf numFmtId="168" fontId="0" fillId="0" borderId="0" xfId="2" applyNumberFormat="1" applyFont="1" applyFill="1"/>
    <xf numFmtId="0" fontId="4" fillId="2" borderId="0" xfId="0" applyFont="1" applyFill="1" applyBorder="1" applyAlignment="1">
      <alignment horizontal="center"/>
    </xf>
    <xf numFmtId="173" fontId="13" fillId="0" borderId="0" xfId="2" applyNumberFormat="1" applyFont="1" applyFill="1" applyBorder="1" applyAlignment="1" applyProtection="1">
      <alignment horizontal="center" vertical="center"/>
    </xf>
    <xf numFmtId="173" fontId="12" fillId="0" borderId="0" xfId="2" applyNumberFormat="1" applyFont="1" applyFill="1" applyBorder="1" applyAlignment="1" applyProtection="1">
      <alignment horizontal="center" vertical="center"/>
    </xf>
    <xf numFmtId="0" fontId="23" fillId="0" borderId="0" xfId="0" applyFont="1" applyFill="1" applyBorder="1" applyAlignment="1">
      <alignment horizontal="center"/>
    </xf>
    <xf numFmtId="49" fontId="8" fillId="0" borderId="0" xfId="0" applyNumberFormat="1" applyFont="1" applyFill="1" applyBorder="1" applyAlignment="1">
      <alignment horizontal="center" vertical="center"/>
    </xf>
    <xf numFmtId="49" fontId="23" fillId="4" borderId="0" xfId="0" applyNumberFormat="1" applyFont="1" applyFill="1" applyBorder="1" applyAlignment="1">
      <alignment horizontal="center" vertical="center"/>
    </xf>
    <xf numFmtId="194" fontId="9" fillId="0" borderId="0" xfId="0" applyNumberFormat="1" applyFont="1" applyFill="1" applyBorder="1" applyAlignment="1">
      <alignment horizontal="center" vertical="center"/>
    </xf>
    <xf numFmtId="9" fontId="0" fillId="0" borderId="0" xfId="2" applyFont="1" applyAlignment="1">
      <alignment horizontal="center"/>
    </xf>
    <xf numFmtId="173" fontId="13" fillId="0" borderId="0" xfId="2" applyNumberFormat="1" applyFont="1" applyFill="1" applyBorder="1" applyAlignment="1" applyProtection="1">
      <alignment horizontal="center" vertical="center" wrapText="1"/>
    </xf>
    <xf numFmtId="191" fontId="12" fillId="0" borderId="6" xfId="0" applyNumberFormat="1" applyFont="1" applyFill="1" applyBorder="1" applyAlignment="1">
      <alignment horizontal="center" vertical="center" wrapText="1"/>
    </xf>
    <xf numFmtId="9" fontId="18" fillId="0" borderId="0" xfId="2" applyFont="1" applyFill="1" applyBorder="1" applyAlignment="1" applyProtection="1">
      <alignment horizontal="center" vertical="center" wrapText="1"/>
    </xf>
    <xf numFmtId="0" fontId="13" fillId="0" borderId="0" xfId="0" applyFont="1" applyFill="1" applyAlignment="1">
      <alignment vertical="center"/>
    </xf>
    <xf numFmtId="0" fontId="13" fillId="0" borderId="0" xfId="0" applyFont="1" applyFill="1" applyBorder="1" applyAlignment="1">
      <alignment vertical="center"/>
    </xf>
    <xf numFmtId="9" fontId="0" fillId="0" borderId="0" xfId="0" applyNumberFormat="1" applyAlignment="1">
      <alignment horizontal="center"/>
    </xf>
    <xf numFmtId="191" fontId="12" fillId="0" borderId="0" xfId="0" applyNumberFormat="1" applyFont="1" applyFill="1" applyBorder="1" applyAlignment="1">
      <alignment horizontal="center" vertical="center" wrapText="1"/>
    </xf>
    <xf numFmtId="191" fontId="12" fillId="0" borderId="6" xfId="0" applyNumberFormat="1" applyFont="1" applyBorder="1" applyAlignment="1">
      <alignment horizontal="center"/>
    </xf>
    <xf numFmtId="191" fontId="12" fillId="0" borderId="0" xfId="0" applyNumberFormat="1" applyFont="1" applyBorder="1" applyAlignment="1">
      <alignment horizontal="center"/>
    </xf>
    <xf numFmtId="173" fontId="18" fillId="0" borderId="0" xfId="2" applyNumberFormat="1" applyFont="1" applyFill="1" applyBorder="1" applyAlignment="1" applyProtection="1">
      <alignment horizontal="center" vertical="center" wrapText="1"/>
    </xf>
    <xf numFmtId="191" fontId="12" fillId="0" borderId="6" xfId="0" applyNumberFormat="1" applyFont="1" applyBorder="1" applyAlignment="1">
      <alignment horizontal="center" vertical="center"/>
    </xf>
    <xf numFmtId="168" fontId="13" fillId="0" borderId="0" xfId="2" applyNumberFormat="1" applyFont="1" applyBorder="1" applyAlignment="1">
      <alignment horizontal="center" vertical="center"/>
    </xf>
    <xf numFmtId="191" fontId="13" fillId="0" borderId="6" xfId="0" applyNumberFormat="1" applyFont="1" applyBorder="1" applyAlignment="1">
      <alignment horizontal="center" vertical="center"/>
    </xf>
    <xf numFmtId="191" fontId="13" fillId="0" borderId="0" xfId="0" applyNumberFormat="1" applyFont="1" applyBorder="1" applyAlignment="1">
      <alignment horizontal="center" vertical="center"/>
    </xf>
    <xf numFmtId="191" fontId="0" fillId="0" borderId="0" xfId="0" applyNumberFormat="1" applyAlignment="1">
      <alignment horizontal="center" vertical="center"/>
    </xf>
    <xf numFmtId="0" fontId="0" fillId="0" borderId="12" xfId="0" applyBorder="1"/>
    <xf numFmtId="0" fontId="0" fillId="0" borderId="13" xfId="0" applyBorder="1"/>
    <xf numFmtId="0" fontId="0" fillId="0" borderId="14" xfId="0" applyBorder="1"/>
    <xf numFmtId="1" fontId="0" fillId="0" borderId="0" xfId="0" applyNumberFormat="1" applyBorder="1" applyAlignment="1">
      <alignment horizontal="center"/>
    </xf>
    <xf numFmtId="167" fontId="13" fillId="0" borderId="0" xfId="0" applyNumberFormat="1" applyFont="1" applyFill="1" applyBorder="1" applyAlignment="1">
      <alignment horizontal="center"/>
    </xf>
    <xf numFmtId="9" fontId="13" fillId="0" borderId="0" xfId="2" applyFont="1" applyFill="1" applyBorder="1" applyAlignment="1">
      <alignment horizontal="center"/>
    </xf>
    <xf numFmtId="0" fontId="13" fillId="0" borderId="0" xfId="0" applyFont="1" applyFill="1" applyBorder="1" applyAlignment="1">
      <alignment horizontal="center"/>
    </xf>
    <xf numFmtId="3" fontId="13" fillId="0" borderId="0" xfId="0" applyNumberFormat="1" applyFont="1" applyFill="1" applyBorder="1" applyAlignment="1">
      <alignment horizontal="center"/>
    </xf>
    <xf numFmtId="191" fontId="13" fillId="0" borderId="0" xfId="0" applyNumberFormat="1" applyFont="1" applyFill="1" applyBorder="1" applyAlignment="1">
      <alignment horizontal="center"/>
    </xf>
    <xf numFmtId="0" fontId="1" fillId="0" borderId="14" xfId="0" applyFont="1" applyBorder="1"/>
    <xf numFmtId="167" fontId="4" fillId="2" borderId="0" xfId="0" applyNumberFormat="1" applyFont="1" applyFill="1" applyBorder="1" applyAlignment="1">
      <alignment horizontal="center"/>
    </xf>
    <xf numFmtId="9" fontId="18" fillId="0" borderId="0" xfId="2" applyFont="1" applyFill="1" applyAlignment="1">
      <alignment horizontal="left"/>
    </xf>
    <xf numFmtId="0" fontId="18" fillId="0" borderId="0" xfId="0" applyFont="1" applyFill="1" applyAlignment="1">
      <alignment horizontal="right"/>
    </xf>
    <xf numFmtId="191" fontId="18" fillId="0" borderId="0" xfId="2" applyNumberFormat="1" applyFont="1" applyFill="1" applyAlignment="1">
      <alignment horizontal="center"/>
    </xf>
    <xf numFmtId="0" fontId="47" fillId="0" borderId="0" xfId="0" applyFont="1"/>
    <xf numFmtId="209" fontId="0" fillId="0" borderId="0" xfId="0" applyNumberFormat="1" applyFill="1" applyAlignment="1">
      <alignment horizontal="center"/>
    </xf>
    <xf numFmtId="0" fontId="30" fillId="0" borderId="0" xfId="0" applyFont="1" applyFill="1"/>
    <xf numFmtId="169" fontId="0" fillId="0" borderId="0" xfId="0" applyNumberFormat="1" applyFill="1" applyAlignment="1">
      <alignment horizontal="center"/>
    </xf>
    <xf numFmtId="164" fontId="0" fillId="0" borderId="0" xfId="0" applyNumberFormat="1" applyFill="1" applyAlignment="1">
      <alignment horizontal="center"/>
    </xf>
    <xf numFmtId="216" fontId="0" fillId="0" borderId="0" xfId="2" applyNumberFormat="1" applyFont="1"/>
    <xf numFmtId="0" fontId="12" fillId="0" borderId="0" xfId="0" applyFont="1" applyFill="1" applyBorder="1" applyAlignment="1">
      <alignment horizontal="left"/>
    </xf>
    <xf numFmtId="173" fontId="0" fillId="0" borderId="0" xfId="0" applyNumberFormat="1" applyFill="1" applyAlignment="1">
      <alignment horizontal="center" vertical="center"/>
    </xf>
    <xf numFmtId="173" fontId="13" fillId="0" borderId="0" xfId="2" applyNumberFormat="1" applyFont="1" applyFill="1" applyAlignment="1">
      <alignment horizontal="center" vertical="center"/>
    </xf>
    <xf numFmtId="0" fontId="13" fillId="0" borderId="0" xfId="0" applyFont="1" applyFill="1" applyAlignment="1">
      <alignment horizontal="center" vertical="center"/>
    </xf>
    <xf numFmtId="0" fontId="12" fillId="0" borderId="0" xfId="0" applyFont="1" applyAlignment="1">
      <alignment horizontal="center" vertical="center" wrapText="1"/>
    </xf>
    <xf numFmtId="0" fontId="41" fillId="0" borderId="0" xfId="0" applyFont="1" applyFill="1" applyBorder="1" applyAlignment="1">
      <alignment horizontal="center" vertical="center" wrapText="1"/>
    </xf>
    <xf numFmtId="0" fontId="0" fillId="0" borderId="14" xfId="0" applyFill="1" applyBorder="1"/>
    <xf numFmtId="9" fontId="13" fillId="0" borderId="0" xfId="2" applyFont="1" applyFill="1" applyBorder="1" applyAlignment="1" applyProtection="1">
      <alignment horizontal="center" vertical="center" wrapText="1"/>
    </xf>
    <xf numFmtId="9" fontId="13" fillId="0" borderId="6" xfId="2" applyFont="1" applyFill="1" applyBorder="1" applyAlignment="1" applyProtection="1">
      <alignment horizontal="center" vertical="center" wrapText="1"/>
    </xf>
    <xf numFmtId="9" fontId="13" fillId="0" borderId="16" xfId="2" applyFont="1" applyFill="1" applyBorder="1" applyAlignment="1" applyProtection="1">
      <alignment horizontal="center" vertical="center" wrapText="1"/>
    </xf>
    <xf numFmtId="173" fontId="13" fillId="0" borderId="6" xfId="2" applyNumberFormat="1" applyFont="1" applyFill="1" applyBorder="1" applyAlignment="1" applyProtection="1">
      <alignment horizontal="center" vertical="center" wrapText="1"/>
    </xf>
    <xf numFmtId="173" fontId="12" fillId="0" borderId="0" xfId="2" applyNumberFormat="1" applyFont="1" applyFill="1" applyBorder="1" applyAlignment="1" applyProtection="1">
      <alignment horizontal="center" vertical="center" wrapText="1"/>
    </xf>
    <xf numFmtId="0" fontId="6" fillId="0" borderId="0" xfId="0" applyFont="1" applyFill="1" applyAlignment="1">
      <alignment horizontal="left"/>
    </xf>
    <xf numFmtId="3" fontId="6" fillId="0" borderId="0" xfId="0" applyNumberFormat="1" applyFont="1" applyFill="1" applyAlignment="1">
      <alignment horizontal="left"/>
    </xf>
    <xf numFmtId="182" fontId="12" fillId="0" borderId="0" xfId="0" applyNumberFormat="1" applyFont="1" applyFill="1" applyAlignment="1">
      <alignment horizontal="center"/>
    </xf>
    <xf numFmtId="0" fontId="12" fillId="0" borderId="17" xfId="0" applyFont="1" applyFill="1" applyBorder="1"/>
    <xf numFmtId="0" fontId="1" fillId="0" borderId="14" xfId="0" applyFont="1" applyFill="1" applyBorder="1"/>
    <xf numFmtId="179" fontId="0" fillId="0" borderId="0" xfId="0" applyNumberFormat="1" applyFill="1" applyBorder="1"/>
    <xf numFmtId="179" fontId="0" fillId="0" borderId="0" xfId="0" applyNumberFormat="1" applyFill="1" applyBorder="1" applyAlignment="1">
      <alignment horizontal="left"/>
    </xf>
    <xf numFmtId="179" fontId="12" fillId="0" borderId="0" xfId="0" applyNumberFormat="1" applyFont="1" applyFill="1" applyBorder="1" applyAlignment="1">
      <alignment horizontal="center"/>
    </xf>
    <xf numFmtId="201" fontId="0" fillId="0" borderId="0" xfId="0" applyNumberFormat="1" applyFill="1" applyBorder="1"/>
    <xf numFmtId="204" fontId="0" fillId="0" borderId="0" xfId="0" applyNumberFormat="1" applyFill="1" applyBorder="1" applyAlignment="1">
      <alignment horizontal="center"/>
    </xf>
    <xf numFmtId="0" fontId="12" fillId="0" borderId="14" xfId="0" applyFont="1" applyBorder="1" applyAlignment="1">
      <alignment horizontal="right"/>
    </xf>
    <xf numFmtId="0" fontId="12" fillId="0" borderId="14" xfId="0" applyFont="1" applyBorder="1"/>
    <xf numFmtId="0" fontId="0" fillId="0" borderId="18" xfId="0" applyBorder="1" applyAlignment="1">
      <alignment horizontal="right"/>
    </xf>
    <xf numFmtId="174" fontId="13" fillId="0" borderId="0" xfId="0" applyNumberFormat="1" applyFont="1" applyFill="1" applyBorder="1" applyAlignment="1">
      <alignment horizontal="center"/>
    </xf>
    <xf numFmtId="0" fontId="10" fillId="0" borderId="0" xfId="0" applyFont="1" applyFill="1" applyAlignment="1">
      <alignment horizontal="center"/>
    </xf>
    <xf numFmtId="170" fontId="0" fillId="0" borderId="0" xfId="0" applyNumberFormat="1" applyFill="1" applyBorder="1" applyAlignment="1">
      <alignment horizontal="center"/>
    </xf>
    <xf numFmtId="1" fontId="0" fillId="0" borderId="6" xfId="0" applyNumberFormat="1" applyFill="1" applyBorder="1" applyAlignment="1">
      <alignment horizontal="center"/>
    </xf>
    <xf numFmtId="166" fontId="0" fillId="0" borderId="0" xfId="0" applyNumberFormat="1" applyBorder="1" applyAlignment="1">
      <alignment horizontal="center"/>
    </xf>
    <xf numFmtId="4" fontId="0" fillId="0" borderId="0" xfId="0" applyNumberFormat="1" applyFill="1" applyBorder="1" applyAlignment="1">
      <alignment horizontal="center"/>
    </xf>
    <xf numFmtId="0" fontId="0" fillId="0" borderId="0" xfId="0" applyFill="1" applyBorder="1" applyAlignment="1">
      <alignment horizontal="left" wrapText="1"/>
    </xf>
    <xf numFmtId="200" fontId="0" fillId="0" borderId="0" xfId="0" applyNumberFormat="1" applyBorder="1" applyAlignment="1">
      <alignment horizontal="center"/>
    </xf>
    <xf numFmtId="198" fontId="0" fillId="0" borderId="0" xfId="0" applyNumberFormat="1" applyBorder="1" applyAlignment="1">
      <alignment horizontal="center"/>
    </xf>
    <xf numFmtId="1" fontId="13" fillId="0" borderId="0" xfId="0" applyNumberFormat="1" applyFont="1" applyFill="1" applyAlignment="1">
      <alignment horizontal="center"/>
    </xf>
    <xf numFmtId="0" fontId="13" fillId="0" borderId="0" xfId="0" applyFont="1" applyFill="1" applyAlignment="1">
      <alignment horizontal="center"/>
    </xf>
    <xf numFmtId="167" fontId="14" fillId="0" borderId="0" xfId="0" applyNumberFormat="1" applyFont="1" applyFill="1" applyBorder="1" applyAlignment="1">
      <alignment horizontal="center"/>
    </xf>
    <xf numFmtId="174" fontId="14" fillId="0" borderId="0" xfId="0" applyNumberFormat="1" applyFont="1" applyFill="1" applyBorder="1" applyAlignment="1">
      <alignment horizontal="center"/>
    </xf>
    <xf numFmtId="169" fontId="0" fillId="0" borderId="0" xfId="0" applyNumberFormat="1" applyFill="1" applyBorder="1" applyAlignment="1">
      <alignment horizontal="center"/>
    </xf>
    <xf numFmtId="1" fontId="0" fillId="0" borderId="0" xfId="0" applyNumberFormat="1" applyFill="1" applyBorder="1"/>
    <xf numFmtId="4" fontId="0" fillId="5" borderId="0" xfId="0" applyNumberFormat="1" applyFill="1" applyBorder="1" applyAlignment="1">
      <alignment horizontal="center"/>
    </xf>
    <xf numFmtId="173" fontId="8" fillId="0" borderId="0" xfId="2" applyNumberFormat="1" applyFont="1" applyFill="1" applyBorder="1" applyAlignment="1" applyProtection="1">
      <alignment horizontal="center" vertical="center"/>
    </xf>
    <xf numFmtId="0" fontId="31" fillId="0" borderId="0" xfId="0" applyFont="1" applyFill="1"/>
    <xf numFmtId="0" fontId="12" fillId="0" borderId="0" xfId="0" applyFont="1" applyFill="1" applyAlignment="1">
      <alignment horizontal="left"/>
    </xf>
    <xf numFmtId="197" fontId="0" fillId="0" borderId="0" xfId="0" applyNumberFormat="1" applyBorder="1" applyAlignment="1">
      <alignment horizontal="center"/>
    </xf>
    <xf numFmtId="49" fontId="6" fillId="0" borderId="0" xfId="0" applyNumberFormat="1" applyFont="1" applyFill="1" applyAlignment="1">
      <alignment horizontal="left" vertical="center" wrapText="1"/>
    </xf>
    <xf numFmtId="209" fontId="0" fillId="0" borderId="0" xfId="0" applyNumberFormat="1" applyAlignment="1">
      <alignment horizontal="center"/>
    </xf>
    <xf numFmtId="9" fontId="13" fillId="0" borderId="0" xfId="2" applyFont="1" applyFill="1" applyAlignment="1">
      <alignment horizontal="left"/>
    </xf>
    <xf numFmtId="191" fontId="13" fillId="0" borderId="0" xfId="2" applyNumberFormat="1" applyFont="1" applyFill="1" applyAlignment="1">
      <alignment horizontal="center"/>
    </xf>
    <xf numFmtId="0" fontId="9" fillId="0" borderId="0" xfId="0" applyFont="1" applyFill="1" applyAlignment="1">
      <alignment horizontal="center"/>
    </xf>
    <xf numFmtId="167" fontId="12" fillId="0" borderId="0" xfId="0" applyNumberFormat="1" applyFont="1" applyFill="1" applyAlignment="1">
      <alignment horizontal="left"/>
    </xf>
    <xf numFmtId="166" fontId="7" fillId="2" borderId="0" xfId="0" applyNumberFormat="1" applyFont="1" applyFill="1" applyAlignment="1">
      <alignment horizontal="center" wrapText="1"/>
    </xf>
    <xf numFmtId="0" fontId="13" fillId="0" borderId="0" xfId="0" applyFont="1" applyFill="1" applyBorder="1" applyAlignment="1">
      <alignment wrapText="1"/>
    </xf>
    <xf numFmtId="166" fontId="1" fillId="0" borderId="0" xfId="0" applyNumberFormat="1" applyFont="1" applyFill="1"/>
    <xf numFmtId="168" fontId="6" fillId="0" borderId="0" xfId="0" applyNumberFormat="1" applyFont="1" applyFill="1" applyBorder="1" applyAlignment="1">
      <alignment horizontal="center"/>
    </xf>
    <xf numFmtId="166" fontId="12" fillId="2" borderId="0" xfId="0" applyNumberFormat="1" applyFont="1" applyFill="1" applyBorder="1" applyAlignment="1">
      <alignment horizontal="center"/>
    </xf>
    <xf numFmtId="167" fontId="12" fillId="2" borderId="0" xfId="0" applyNumberFormat="1" applyFont="1" applyFill="1" applyBorder="1" applyAlignment="1">
      <alignment horizontal="center"/>
    </xf>
    <xf numFmtId="168" fontId="12" fillId="2" borderId="0" xfId="0" applyNumberFormat="1" applyFont="1" applyFill="1" applyBorder="1" applyAlignment="1">
      <alignment horizontal="center"/>
    </xf>
    <xf numFmtId="0" fontId="8" fillId="0" borderId="0" xfId="0" applyFont="1" applyFill="1"/>
    <xf numFmtId="168" fontId="8" fillId="0" borderId="0" xfId="0" applyNumberFormat="1" applyFont="1" applyFill="1" applyBorder="1" applyAlignment="1">
      <alignment horizontal="center"/>
    </xf>
    <xf numFmtId="167" fontId="12" fillId="0" borderId="0" xfId="0" applyNumberFormat="1" applyFont="1" applyFill="1" applyBorder="1" applyAlignment="1">
      <alignment horizontal="center"/>
    </xf>
    <xf numFmtId="168" fontId="2" fillId="0" borderId="0" xfId="0" applyNumberFormat="1" applyFont="1" applyFill="1" applyBorder="1" applyAlignment="1">
      <alignment horizontal="center"/>
    </xf>
    <xf numFmtId="170" fontId="0" fillId="0" borderId="0" xfId="0" applyNumberFormat="1" applyBorder="1" applyAlignment="1">
      <alignment horizontal="center"/>
    </xf>
    <xf numFmtId="188" fontId="0" fillId="0" borderId="0" xfId="0" applyNumberFormat="1" applyFill="1" applyAlignment="1">
      <alignment horizontal="center"/>
    </xf>
    <xf numFmtId="186" fontId="13" fillId="0" borderId="0" xfId="0" applyNumberFormat="1" applyFont="1" applyFill="1" applyBorder="1" applyAlignment="1">
      <alignment horizontal="right"/>
    </xf>
    <xf numFmtId="49" fontId="4" fillId="0" borderId="0" xfId="0" applyNumberFormat="1" applyFont="1" applyFill="1"/>
    <xf numFmtId="9" fontId="4" fillId="0" borderId="0" xfId="2" applyBorder="1" applyAlignment="1">
      <alignment horizontal="center"/>
    </xf>
    <xf numFmtId="1" fontId="4" fillId="0" borderId="0" xfId="0" applyNumberFormat="1" applyFont="1" applyFill="1" applyBorder="1" applyAlignment="1">
      <alignment horizontal="left"/>
    </xf>
    <xf numFmtId="167" fontId="0" fillId="2" borderId="0" xfId="0" applyNumberFormat="1" applyFill="1" applyBorder="1"/>
    <xf numFmtId="168" fontId="0" fillId="2" borderId="0" xfId="0" applyNumberFormat="1" applyFill="1" applyBorder="1" applyAlignment="1">
      <alignment horizontal="center"/>
    </xf>
    <xf numFmtId="168" fontId="0" fillId="0" borderId="2" xfId="0" applyNumberFormat="1" applyFill="1" applyBorder="1" applyAlignment="1">
      <alignment horizontal="center"/>
    </xf>
    <xf numFmtId="167" fontId="0" fillId="2" borderId="0" xfId="0" applyNumberFormat="1" applyFill="1" applyBorder="1" applyAlignment="1">
      <alignment horizontal="center"/>
    </xf>
    <xf numFmtId="49" fontId="13" fillId="0" borderId="0" xfId="0" applyNumberFormat="1" applyFont="1" applyFill="1" applyBorder="1" applyAlignment="1">
      <alignment horizontal="right"/>
    </xf>
    <xf numFmtId="0" fontId="53" fillId="0" borderId="0" xfId="0" applyFont="1"/>
    <xf numFmtId="0" fontId="6" fillId="0" borderId="0" xfId="0" applyFont="1" applyBorder="1"/>
    <xf numFmtId="168" fontId="9" fillId="0" borderId="0" xfId="0" applyNumberFormat="1" applyFont="1" applyBorder="1" applyAlignment="1">
      <alignment horizontal="center"/>
    </xf>
    <xf numFmtId="0" fontId="9" fillId="0" borderId="0" xfId="0" applyFont="1" applyBorder="1" applyAlignment="1">
      <alignment horizontal="center"/>
    </xf>
    <xf numFmtId="170" fontId="12" fillId="0" borderId="0" xfId="0" applyNumberFormat="1" applyFont="1" applyFill="1" applyBorder="1" applyAlignment="1">
      <alignment horizontal="center"/>
    </xf>
    <xf numFmtId="169" fontId="12" fillId="0" borderId="0" xfId="0" applyNumberFormat="1" applyFont="1" applyFill="1" applyBorder="1" applyAlignment="1">
      <alignment horizontal="center"/>
    </xf>
    <xf numFmtId="0" fontId="53" fillId="0" borderId="0" xfId="0" applyFont="1" applyFill="1" applyBorder="1" applyAlignment="1">
      <alignment horizontal="center"/>
    </xf>
    <xf numFmtId="0" fontId="15" fillId="0" borderId="0" xfId="0" applyFont="1" applyFill="1" applyBorder="1"/>
    <xf numFmtId="0" fontId="53" fillId="0" borderId="0" xfId="0" applyFont="1" applyFill="1" applyBorder="1"/>
    <xf numFmtId="0" fontId="53" fillId="0" borderId="0" xfId="0" applyFont="1" applyFill="1" applyAlignment="1">
      <alignment horizontal="center"/>
    </xf>
    <xf numFmtId="0" fontId="15" fillId="0" borderId="0" xfId="0" applyFont="1" applyFill="1"/>
    <xf numFmtId="0" fontId="53" fillId="0" borderId="0" xfId="0" applyFont="1" applyFill="1"/>
    <xf numFmtId="183" fontId="13" fillId="0" borderId="0" xfId="0" applyNumberFormat="1" applyFont="1" applyFill="1" applyBorder="1" applyAlignment="1">
      <alignment horizontal="center"/>
    </xf>
    <xf numFmtId="49" fontId="4" fillId="0" borderId="0" xfId="0" applyNumberFormat="1" applyFont="1" applyFill="1" applyBorder="1"/>
    <xf numFmtId="0" fontId="15" fillId="6" borderId="0" xfId="0" applyFont="1" applyFill="1"/>
    <xf numFmtId="0" fontId="53" fillId="6" borderId="0" xfId="0" applyFont="1" applyFill="1"/>
    <xf numFmtId="191" fontId="15" fillId="6" borderId="0" xfId="0" applyNumberFormat="1" applyFont="1" applyFill="1" applyAlignment="1">
      <alignment horizontal="center"/>
    </xf>
    <xf numFmtId="191" fontId="9" fillId="0" borderId="1" xfId="0" applyNumberFormat="1" applyFont="1" applyBorder="1"/>
    <xf numFmtId="191" fontId="9" fillId="0" borderId="1" xfId="0" applyNumberFormat="1" applyFont="1" applyBorder="1" applyAlignment="1">
      <alignment horizontal="center"/>
    </xf>
    <xf numFmtId="191" fontId="9" fillId="0" borderId="0" xfId="0" applyNumberFormat="1" applyFont="1"/>
    <xf numFmtId="9" fontId="9" fillId="0" borderId="0" xfId="2" applyFont="1" applyBorder="1" applyAlignment="1">
      <alignment horizontal="center"/>
    </xf>
    <xf numFmtId="0" fontId="53" fillId="0" borderId="0" xfId="0" applyFont="1" applyBorder="1" applyAlignment="1">
      <alignment horizontal="center"/>
    </xf>
    <xf numFmtId="0" fontId="12" fillId="0" borderId="14" xfId="0" applyFont="1" applyFill="1" applyBorder="1"/>
    <xf numFmtId="0" fontId="6" fillId="0" borderId="14" xfId="0" applyFont="1" applyFill="1" applyBorder="1"/>
    <xf numFmtId="0" fontId="0" fillId="0" borderId="14" xfId="0" applyBorder="1" applyAlignment="1">
      <alignment horizontal="center"/>
    </xf>
    <xf numFmtId="0" fontId="10" fillId="0" borderId="0" xfId="0" applyFont="1" applyFill="1" applyBorder="1" applyAlignment="1">
      <alignment horizontal="center"/>
    </xf>
    <xf numFmtId="0" fontId="26" fillId="0" borderId="14" xfId="0" applyFont="1" applyBorder="1"/>
    <xf numFmtId="197" fontId="0" fillId="0" borderId="0" xfId="0" applyNumberFormat="1" applyFill="1" applyBorder="1" applyAlignment="1">
      <alignment horizontal="center"/>
    </xf>
    <xf numFmtId="0" fontId="47" fillId="0" borderId="0" xfId="0" applyFont="1" applyFill="1"/>
    <xf numFmtId="172" fontId="0" fillId="0" borderId="0" xfId="0" applyNumberFormat="1" applyFill="1" applyAlignment="1">
      <alignment horizontal="center" vertical="center"/>
    </xf>
    <xf numFmtId="210" fontId="20" fillId="0" borderId="0" xfId="0" applyNumberFormat="1" applyFont="1" applyFill="1" applyAlignment="1">
      <alignment horizontal="left"/>
    </xf>
    <xf numFmtId="4" fontId="0" fillId="0" borderId="0" xfId="0" applyNumberFormat="1" applyBorder="1"/>
    <xf numFmtId="3" fontId="26" fillId="0" borderId="0" xfId="0" applyNumberFormat="1" applyFont="1" applyFill="1" applyBorder="1" applyAlignment="1">
      <alignment horizontal="center"/>
    </xf>
    <xf numFmtId="4" fontId="0" fillId="0" borderId="0" xfId="0" applyNumberFormat="1" applyFill="1"/>
    <xf numFmtId="166" fontId="12" fillId="0" borderId="0" xfId="0" applyNumberFormat="1" applyFont="1" applyFill="1" applyBorder="1" applyAlignment="1">
      <alignment horizontal="center"/>
    </xf>
    <xf numFmtId="166" fontId="53" fillId="0" borderId="0" xfId="0" applyNumberFormat="1" applyFont="1" applyFill="1" applyAlignment="1">
      <alignment horizontal="center"/>
    </xf>
    <xf numFmtId="167" fontId="53" fillId="0" borderId="0" xfId="0" applyNumberFormat="1" applyFont="1" applyFill="1" applyAlignment="1">
      <alignment horizontal="center"/>
    </xf>
    <xf numFmtId="3" fontId="55" fillId="0" borderId="0" xfId="0" applyNumberFormat="1" applyFont="1" applyFill="1"/>
    <xf numFmtId="0" fontId="52" fillId="0" borderId="0" xfId="0" applyFont="1" applyFill="1" applyAlignment="1">
      <alignment horizontal="center"/>
    </xf>
    <xf numFmtId="3" fontId="52" fillId="0" borderId="0" xfId="0" applyNumberFormat="1" applyFont="1" applyFill="1" applyAlignment="1">
      <alignment horizontal="center"/>
    </xf>
    <xf numFmtId="0" fontId="52" fillId="0" borderId="0" xfId="0" applyFont="1" applyFill="1"/>
    <xf numFmtId="3" fontId="56" fillId="0" borderId="0" xfId="0" applyNumberFormat="1" applyFont="1" applyFill="1"/>
    <xf numFmtId="0" fontId="33" fillId="0" borderId="0" xfId="0" applyFont="1" applyFill="1" applyAlignment="1">
      <alignment horizontal="center"/>
    </xf>
    <xf numFmtId="3" fontId="33" fillId="0" borderId="0" xfId="0" applyNumberFormat="1" applyFont="1" applyFill="1" applyAlignment="1">
      <alignment horizontal="center"/>
    </xf>
    <xf numFmtId="0" fontId="53" fillId="0" borderId="0" xfId="0" applyFont="1" applyAlignment="1">
      <alignment horizontal="center"/>
    </xf>
    <xf numFmtId="3" fontId="53" fillId="0" borderId="0" xfId="0" applyNumberFormat="1" applyFont="1" applyAlignment="1">
      <alignment horizontal="center"/>
    </xf>
    <xf numFmtId="193" fontId="31" fillId="0" borderId="0" xfId="0" applyNumberFormat="1" applyFont="1" applyFill="1" applyBorder="1" applyAlignment="1">
      <alignment horizontal="center"/>
    </xf>
    <xf numFmtId="3" fontId="53" fillId="0" borderId="0" xfId="0" applyNumberFormat="1" applyFont="1" applyFill="1" applyAlignment="1">
      <alignment horizontal="center"/>
    </xf>
    <xf numFmtId="0" fontId="41" fillId="0" borderId="0" xfId="0" applyFont="1" applyFill="1"/>
    <xf numFmtId="0" fontId="48" fillId="0" borderId="0" xfId="0" applyFont="1" applyFill="1"/>
    <xf numFmtId="167" fontId="10" fillId="0" borderId="0" xfId="0" applyNumberFormat="1" applyFont="1" applyFill="1" applyAlignment="1">
      <alignment horizontal="center"/>
    </xf>
    <xf numFmtId="0" fontId="36" fillId="0" borderId="0" xfId="0" applyFont="1" applyFill="1"/>
    <xf numFmtId="168" fontId="57" fillId="0" borderId="0" xfId="2" applyNumberFormat="1" applyFont="1" applyFill="1" applyBorder="1" applyAlignment="1">
      <alignment horizontal="center"/>
    </xf>
    <xf numFmtId="0" fontId="8" fillId="0" borderId="14" xfId="0" applyFont="1" applyFill="1" applyBorder="1"/>
    <xf numFmtId="166" fontId="10" fillId="0" borderId="0" xfId="0" applyNumberFormat="1" applyFont="1" applyFill="1" applyBorder="1" applyAlignment="1">
      <alignment horizontal="center"/>
    </xf>
    <xf numFmtId="167" fontId="10" fillId="0" borderId="0" xfId="0" applyNumberFormat="1" applyFont="1" applyFill="1" applyBorder="1" applyAlignment="1">
      <alignment horizontal="center"/>
    </xf>
    <xf numFmtId="166" fontId="53" fillId="0" borderId="0" xfId="0" applyNumberFormat="1" applyFont="1" applyFill="1" applyBorder="1" applyAlignment="1">
      <alignment horizontal="center"/>
    </xf>
    <xf numFmtId="167" fontId="53" fillId="0" borderId="0" xfId="0" applyNumberFormat="1" applyFont="1" applyFill="1" applyBorder="1" applyAlignment="1">
      <alignment horizontal="center"/>
    </xf>
    <xf numFmtId="166" fontId="13" fillId="0" borderId="0" xfId="0" applyNumberFormat="1" applyFont="1" applyFill="1" applyBorder="1" applyAlignment="1">
      <alignment horizontal="center"/>
    </xf>
    <xf numFmtId="167" fontId="8" fillId="0" borderId="0" xfId="0" applyNumberFormat="1" applyFont="1" applyFill="1" applyBorder="1" applyAlignment="1">
      <alignment horizontal="center"/>
    </xf>
    <xf numFmtId="2" fontId="10" fillId="0" borderId="0" xfId="0" applyNumberFormat="1" applyFont="1" applyFill="1" applyAlignment="1">
      <alignment horizontal="center"/>
    </xf>
    <xf numFmtId="0" fontId="41" fillId="0" borderId="14" xfId="0" applyFont="1" applyFill="1" applyBorder="1"/>
    <xf numFmtId="0" fontId="8" fillId="0" borderId="0" xfId="0" applyFont="1" applyFill="1" applyBorder="1" applyAlignment="1">
      <alignment wrapText="1"/>
    </xf>
    <xf numFmtId="0" fontId="9" fillId="0" borderId="0" xfId="0" applyFont="1" applyFill="1" applyBorder="1" applyAlignment="1">
      <alignment wrapText="1"/>
    </xf>
    <xf numFmtId="0" fontId="48" fillId="0" borderId="0" xfId="0" applyFont="1" applyFill="1" applyBorder="1" applyAlignment="1">
      <alignment horizontal="right"/>
    </xf>
    <xf numFmtId="211" fontId="12" fillId="0" borderId="0" xfId="0" applyNumberFormat="1" applyFont="1" applyFill="1" applyBorder="1" applyAlignment="1">
      <alignment horizontal="center"/>
    </xf>
    <xf numFmtId="168" fontId="0" fillId="0" borderId="0" xfId="0" applyNumberFormat="1" applyBorder="1"/>
    <xf numFmtId="166" fontId="9" fillId="0" borderId="0" xfId="0" applyNumberFormat="1" applyFont="1" applyFill="1" applyBorder="1" applyAlignment="1">
      <alignment horizontal="center" vertical="center" wrapText="1"/>
    </xf>
    <xf numFmtId="167" fontId="9" fillId="0" borderId="0" xfId="0" applyNumberFormat="1" applyFont="1" applyFill="1" applyBorder="1" applyAlignment="1">
      <alignment horizontal="center" vertical="center"/>
    </xf>
    <xf numFmtId="0" fontId="0" fillId="0" borderId="19" xfId="0" applyBorder="1"/>
    <xf numFmtId="0" fontId="13" fillId="0" borderId="19" xfId="0" applyFont="1" applyFill="1" applyBorder="1" applyAlignment="1">
      <alignment vertical="center"/>
    </xf>
    <xf numFmtId="168" fontId="15" fillId="0" borderId="0" xfId="2" applyNumberFormat="1" applyFont="1" applyFill="1"/>
    <xf numFmtId="168" fontId="53" fillId="0" borderId="0" xfId="2" applyNumberFormat="1" applyFont="1" applyFill="1"/>
    <xf numFmtId="0" fontId="6" fillId="0" borderId="0" xfId="0" applyFont="1"/>
    <xf numFmtId="0" fontId="0" fillId="0" borderId="19" xfId="0" applyFill="1" applyBorder="1"/>
    <xf numFmtId="191" fontId="0" fillId="0" borderId="0" xfId="0" applyNumberFormat="1" applyFill="1" applyBorder="1" applyAlignment="1">
      <alignment horizontal="center"/>
    </xf>
    <xf numFmtId="0" fontId="8" fillId="0" borderId="0" xfId="0" applyFont="1" applyFill="1" applyAlignment="1">
      <alignment horizontal="left"/>
    </xf>
    <xf numFmtId="0" fontId="17" fillId="0" borderId="0" xfId="0" applyFont="1" applyFill="1" applyAlignment="1">
      <alignment horizontal="left"/>
    </xf>
    <xf numFmtId="0" fontId="36" fillId="0" borderId="0" xfId="0" applyFont="1"/>
    <xf numFmtId="3" fontId="11" fillId="0" borderId="0" xfId="0" applyNumberFormat="1" applyFont="1" applyFill="1" applyAlignment="1">
      <alignment horizontal="center"/>
    </xf>
    <xf numFmtId="0" fontId="30" fillId="3" borderId="0" xfId="0" applyFont="1" applyFill="1" applyBorder="1"/>
    <xf numFmtId="0" fontId="18" fillId="3" borderId="0" xfId="0" applyFont="1" applyFill="1" applyBorder="1"/>
    <xf numFmtId="0" fontId="30" fillId="4" borderId="0" xfId="0" applyFont="1" applyFill="1" applyBorder="1"/>
    <xf numFmtId="0" fontId="18" fillId="4" borderId="0" xfId="0" applyFont="1" applyFill="1" applyBorder="1"/>
    <xf numFmtId="0" fontId="32" fillId="4" borderId="0" xfId="0" applyFont="1" applyFill="1" applyBorder="1" applyAlignment="1">
      <alignment horizontal="left" vertical="center"/>
    </xf>
    <xf numFmtId="167" fontId="0" fillId="0" borderId="6" xfId="0" applyNumberFormat="1" applyFill="1" applyBorder="1" applyAlignment="1">
      <alignment horizontal="center"/>
    </xf>
    <xf numFmtId="0" fontId="0" fillId="0" borderId="20" xfId="0" applyFill="1" applyBorder="1"/>
    <xf numFmtId="0" fontId="32" fillId="3" borderId="21" xfId="0" applyFont="1" applyFill="1" applyBorder="1" applyAlignment="1">
      <alignment horizontal="center" vertical="center"/>
    </xf>
    <xf numFmtId="49" fontId="6" fillId="0" borderId="16" xfId="0" applyNumberFormat="1" applyFont="1" applyFill="1" applyBorder="1" applyAlignment="1">
      <alignment horizontal="center"/>
    </xf>
    <xf numFmtId="49" fontId="23" fillId="4" borderId="4" xfId="0" applyNumberFormat="1" applyFont="1" applyFill="1" applyBorder="1" applyAlignment="1">
      <alignment horizontal="center" vertical="center"/>
    </xf>
    <xf numFmtId="191" fontId="12" fillId="0" borderId="3" xfId="0" applyNumberFormat="1" applyFont="1" applyFill="1" applyBorder="1" applyAlignment="1">
      <alignment horizontal="center" vertical="center" wrapText="1"/>
    </xf>
    <xf numFmtId="0" fontId="13" fillId="0" borderId="22" xfId="0" applyFont="1" applyFill="1" applyBorder="1" applyAlignment="1">
      <alignment vertical="center"/>
    </xf>
    <xf numFmtId="191" fontId="12" fillId="0" borderId="5" xfId="0" applyNumberFormat="1" applyFont="1" applyFill="1" applyBorder="1" applyAlignment="1">
      <alignment horizontal="center" vertical="center" wrapText="1"/>
    </xf>
    <xf numFmtId="49" fontId="9" fillId="0" borderId="19" xfId="0" applyNumberFormat="1" applyFont="1" applyFill="1" applyBorder="1" applyAlignment="1">
      <alignment horizontal="left" vertical="center" wrapText="1"/>
    </xf>
    <xf numFmtId="9" fontId="0" fillId="0" borderId="3" xfId="0" applyNumberFormat="1" applyFill="1" applyBorder="1" applyAlignment="1">
      <alignment horizontal="center"/>
    </xf>
    <xf numFmtId="9" fontId="0" fillId="0" borderId="6" xfId="0" applyNumberFormat="1" applyFill="1" applyBorder="1" applyAlignment="1">
      <alignment horizontal="center"/>
    </xf>
    <xf numFmtId="9" fontId="18" fillId="0" borderId="6" xfId="2" applyFont="1" applyFill="1" applyBorder="1" applyAlignment="1" applyProtection="1">
      <alignment horizontal="center" vertical="center" wrapText="1"/>
    </xf>
    <xf numFmtId="9" fontId="0" fillId="0" borderId="5" xfId="0" applyNumberFormat="1" applyFill="1" applyBorder="1" applyAlignment="1">
      <alignment horizontal="center"/>
    </xf>
    <xf numFmtId="0" fontId="37" fillId="0" borderId="0" xfId="0" applyFont="1" applyFill="1" applyAlignment="1">
      <alignment horizontal="left"/>
    </xf>
    <xf numFmtId="49" fontId="32" fillId="4" borderId="4" xfId="0" applyNumberFormat="1" applyFont="1" applyFill="1" applyBorder="1" applyAlignment="1">
      <alignment horizontal="center" vertical="center"/>
    </xf>
    <xf numFmtId="2" fontId="9" fillId="0" borderId="19" xfId="0" applyNumberFormat="1" applyFont="1" applyFill="1" applyBorder="1" applyAlignment="1">
      <alignment horizontal="left" vertical="center"/>
    </xf>
    <xf numFmtId="0" fontId="0" fillId="0" borderId="3" xfId="0" applyBorder="1"/>
    <xf numFmtId="9" fontId="0" fillId="0" borderId="0" xfId="0" applyNumberFormat="1" applyBorder="1" applyAlignment="1">
      <alignment horizontal="center"/>
    </xf>
    <xf numFmtId="9" fontId="0" fillId="0" borderId="3" xfId="0" applyNumberFormat="1" applyBorder="1" applyAlignment="1">
      <alignment horizontal="center"/>
    </xf>
    <xf numFmtId="0" fontId="0" fillId="0" borderId="22" xfId="0" applyBorder="1" applyAlignment="1">
      <alignment vertical="center"/>
    </xf>
    <xf numFmtId="9" fontId="0" fillId="0" borderId="6" xfId="0" applyNumberFormat="1" applyBorder="1" applyAlignment="1">
      <alignment horizontal="center"/>
    </xf>
    <xf numFmtId="9" fontId="0" fillId="0" borderId="5" xfId="0" applyNumberFormat="1" applyBorder="1" applyAlignment="1">
      <alignment horizontal="center"/>
    </xf>
    <xf numFmtId="191" fontId="6" fillId="0" borderId="0" xfId="0" applyNumberFormat="1" applyFont="1" applyFill="1" applyBorder="1" applyAlignment="1">
      <alignment horizontal="center" vertical="center" wrapText="1"/>
    </xf>
    <xf numFmtId="191" fontId="6" fillId="0" borderId="3" xfId="0" applyNumberFormat="1" applyFont="1" applyFill="1" applyBorder="1" applyAlignment="1">
      <alignment horizontal="center" vertical="center" wrapText="1"/>
    </xf>
    <xf numFmtId="0" fontId="13" fillId="0" borderId="19" xfId="0" applyNumberFormat="1" applyFont="1" applyFill="1" applyBorder="1" applyAlignment="1">
      <alignment horizontal="left" vertical="center" wrapText="1"/>
    </xf>
    <xf numFmtId="0" fontId="0" fillId="0" borderId="22" xfId="0" applyBorder="1"/>
    <xf numFmtId="2" fontId="9" fillId="0" borderId="19" xfId="0" applyNumberFormat="1" applyFont="1" applyBorder="1"/>
    <xf numFmtId="191" fontId="6" fillId="0" borderId="16" xfId="0" applyNumberFormat="1" applyFont="1" applyFill="1" applyBorder="1" applyAlignment="1">
      <alignment horizontal="center" vertical="center" wrapText="1"/>
    </xf>
    <xf numFmtId="191" fontId="6" fillId="0" borderId="4" xfId="0" applyNumberFormat="1" applyFont="1" applyFill="1" applyBorder="1" applyAlignment="1">
      <alignment horizontal="center" vertical="center" wrapText="1"/>
    </xf>
    <xf numFmtId="168" fontId="6" fillId="0" borderId="3" xfId="0" applyNumberFormat="1" applyFont="1" applyFill="1" applyBorder="1" applyAlignment="1">
      <alignment horizontal="center" vertical="center"/>
    </xf>
    <xf numFmtId="168" fontId="6" fillId="0" borderId="5" xfId="0" applyNumberFormat="1" applyFont="1" applyFill="1" applyBorder="1" applyAlignment="1">
      <alignment horizontal="center" vertical="center"/>
    </xf>
    <xf numFmtId="0" fontId="0" fillId="0" borderId="20" xfId="0" applyBorder="1"/>
    <xf numFmtId="0" fontId="12" fillId="0" borderId="19" xfId="0" applyFont="1" applyBorder="1"/>
    <xf numFmtId="0" fontId="13" fillId="0" borderId="19" xfId="0" applyFont="1" applyBorder="1"/>
    <xf numFmtId="0" fontId="13" fillId="0" borderId="22" xfId="0" applyFont="1" applyBorder="1"/>
    <xf numFmtId="0" fontId="13" fillId="0" borderId="6" xfId="0" applyFont="1" applyFill="1" applyBorder="1"/>
    <xf numFmtId="0" fontId="12" fillId="0" borderId="22" xfId="0" applyFont="1" applyBorder="1"/>
    <xf numFmtId="0" fontId="12" fillId="0" borderId="19" xfId="0" applyFont="1" applyBorder="1" applyAlignment="1">
      <alignment vertical="center" wrapText="1"/>
    </xf>
    <xf numFmtId="191" fontId="12" fillId="0" borderId="0" xfId="0" applyNumberFormat="1" applyFont="1" applyBorder="1" applyAlignment="1">
      <alignment horizontal="center" vertical="center"/>
    </xf>
    <xf numFmtId="191" fontId="12" fillId="0" borderId="3" xfId="0" applyNumberFormat="1" applyFont="1" applyBorder="1" applyAlignment="1">
      <alignment horizontal="center"/>
    </xf>
    <xf numFmtId="191" fontId="13" fillId="0" borderId="5" xfId="0" applyNumberFormat="1" applyFont="1" applyBorder="1" applyAlignment="1">
      <alignment horizontal="center" vertical="center"/>
    </xf>
    <xf numFmtId="0" fontId="0" fillId="0" borderId="19" xfId="0" applyBorder="1" applyAlignment="1">
      <alignment vertical="center" wrapText="1"/>
    </xf>
    <xf numFmtId="0" fontId="0" fillId="0" borderId="22" xfId="0" applyBorder="1" applyAlignment="1">
      <alignment vertical="center" wrapText="1"/>
    </xf>
    <xf numFmtId="9" fontId="13" fillId="0" borderId="6" xfId="0" applyNumberFormat="1" applyFont="1" applyBorder="1" applyAlignment="1">
      <alignment horizontal="center" vertical="center"/>
    </xf>
    <xf numFmtId="9" fontId="13" fillId="0" borderId="5" xfId="0" applyNumberFormat="1" applyFont="1" applyFill="1" applyBorder="1" applyAlignment="1">
      <alignment horizontal="center" vertical="center"/>
    </xf>
    <xf numFmtId="191" fontId="13" fillId="0" borderId="3" xfId="0" applyNumberFormat="1" applyFont="1" applyBorder="1" applyAlignment="1">
      <alignment horizontal="center" vertical="center"/>
    </xf>
    <xf numFmtId="0" fontId="0" fillId="0" borderId="14" xfId="0" applyFill="1" applyBorder="1" applyAlignment="1">
      <alignment horizontal="right"/>
    </xf>
    <xf numFmtId="0" fontId="9" fillId="0" borderId="19" xfId="0" applyFont="1" applyBorder="1" applyAlignment="1">
      <alignment vertical="center" wrapText="1"/>
    </xf>
    <xf numFmtId="9" fontId="13" fillId="0" borderId="0" xfId="0" applyNumberFormat="1" applyFont="1" applyBorder="1" applyAlignment="1">
      <alignment horizontal="center" vertical="center"/>
    </xf>
    <xf numFmtId="9" fontId="13" fillId="0" borderId="3" xfId="0" applyNumberFormat="1" applyFont="1" applyBorder="1" applyAlignment="1">
      <alignment horizontal="center"/>
    </xf>
    <xf numFmtId="173" fontId="18" fillId="0" borderId="6" xfId="2" applyNumberFormat="1" applyFont="1" applyFill="1" applyBorder="1" applyAlignment="1" applyProtection="1">
      <alignment horizontal="center" vertical="center" wrapText="1"/>
    </xf>
    <xf numFmtId="9" fontId="13" fillId="0" borderId="5" xfId="0" applyNumberFormat="1" applyFont="1" applyBorder="1" applyAlignment="1">
      <alignment horizontal="center"/>
    </xf>
    <xf numFmtId="191" fontId="12" fillId="0" borderId="5" xfId="0" applyNumberFormat="1" applyFont="1" applyBorder="1" applyAlignment="1">
      <alignment horizontal="center"/>
    </xf>
    <xf numFmtId="0" fontId="13" fillId="0" borderId="22" xfId="0" applyFont="1" applyBorder="1" applyAlignment="1">
      <alignment vertical="center"/>
    </xf>
    <xf numFmtId="168" fontId="13" fillId="0" borderId="0" xfId="0" applyNumberFormat="1" applyFont="1" applyBorder="1" applyAlignment="1">
      <alignment horizontal="center" vertical="center"/>
    </xf>
    <xf numFmtId="0" fontId="12" fillId="0" borderId="22" xfId="0" applyFont="1" applyBorder="1" applyAlignment="1">
      <alignment vertical="center"/>
    </xf>
    <xf numFmtId="0" fontId="9" fillId="0" borderId="19" xfId="0" applyFont="1" applyBorder="1" applyAlignment="1">
      <alignment vertical="center"/>
    </xf>
    <xf numFmtId="191" fontId="6" fillId="0" borderId="0" xfId="0" applyNumberFormat="1" applyFont="1" applyBorder="1" applyAlignment="1">
      <alignment horizontal="center" vertical="center"/>
    </xf>
    <xf numFmtId="191" fontId="6" fillId="0" borderId="3" xfId="0" applyNumberFormat="1" applyFont="1" applyBorder="1" applyAlignment="1">
      <alignment horizontal="center"/>
    </xf>
    <xf numFmtId="9" fontId="12" fillId="0" borderId="0" xfId="0" applyNumberFormat="1" applyFont="1" applyFill="1" applyBorder="1" applyAlignment="1">
      <alignment horizontal="center" vertical="center"/>
    </xf>
    <xf numFmtId="9" fontId="12" fillId="0" borderId="3" xfId="0" applyNumberFormat="1" applyFont="1" applyFill="1" applyBorder="1" applyAlignment="1">
      <alignment horizontal="center" vertical="center"/>
    </xf>
    <xf numFmtId="0" fontId="12" fillId="0" borderId="0" xfId="0" applyFont="1" applyAlignment="1">
      <alignment horizontal="right"/>
    </xf>
    <xf numFmtId="209" fontId="13" fillId="0" borderId="0" xfId="0" applyNumberFormat="1" applyFont="1" applyBorder="1" applyAlignment="1">
      <alignment horizontal="center"/>
    </xf>
    <xf numFmtId="1" fontId="13" fillId="0" borderId="0" xfId="0" applyNumberFormat="1" applyFont="1" applyFill="1" applyBorder="1" applyAlignment="1">
      <alignment horizontal="center"/>
    </xf>
    <xf numFmtId="179" fontId="13" fillId="0" borderId="0" xfId="0" applyNumberFormat="1" applyFont="1" applyFill="1" applyBorder="1" applyAlignment="1">
      <alignment horizontal="center"/>
    </xf>
    <xf numFmtId="0" fontId="13" fillId="0" borderId="23" xfId="0" applyFont="1" applyFill="1" applyBorder="1"/>
    <xf numFmtId="1" fontId="13" fillId="0" borderId="0" xfId="0" applyNumberFormat="1" applyFont="1" applyFill="1" applyBorder="1"/>
    <xf numFmtId="179" fontId="13" fillId="0" borderId="0" xfId="0" applyNumberFormat="1" applyFont="1" applyFill="1" applyAlignment="1">
      <alignment horizontal="center"/>
    </xf>
    <xf numFmtId="9" fontId="13" fillId="0" borderId="0" xfId="2" applyFont="1" applyFill="1" applyAlignment="1">
      <alignment horizontal="center" vertical="center"/>
    </xf>
    <xf numFmtId="0" fontId="59" fillId="0" borderId="0" xfId="0" applyFont="1"/>
    <xf numFmtId="0" fontId="60" fillId="0" borderId="0" xfId="0" applyFont="1" applyFill="1"/>
    <xf numFmtId="179" fontId="12" fillId="0" borderId="6" xfId="0" applyNumberFormat="1" applyFont="1" applyFill="1" applyBorder="1" applyAlignment="1">
      <alignment horizontal="center"/>
    </xf>
    <xf numFmtId="0" fontId="38" fillId="0" borderId="0" xfId="0" applyFont="1" applyFill="1" applyAlignment="1">
      <alignment horizontal="center"/>
    </xf>
    <xf numFmtId="1" fontId="0" fillId="7" borderId="0" xfId="0" applyNumberFormat="1" applyFill="1" applyAlignment="1">
      <alignment horizontal="center"/>
    </xf>
    <xf numFmtId="217" fontId="0" fillId="0" borderId="0" xfId="0" applyNumberFormat="1" applyFill="1" applyAlignment="1">
      <alignment horizontal="center"/>
    </xf>
    <xf numFmtId="184" fontId="0" fillId="0" borderId="0" xfId="0" applyNumberFormat="1" applyFill="1" applyAlignment="1">
      <alignment horizontal="center"/>
    </xf>
    <xf numFmtId="0" fontId="38" fillId="0" borderId="0" xfId="0" applyFont="1"/>
    <xf numFmtId="168" fontId="0" fillId="0" borderId="6" xfId="0" applyNumberFormat="1" applyFill="1" applyBorder="1" applyAlignment="1">
      <alignment horizontal="center"/>
    </xf>
    <xf numFmtId="168" fontId="4" fillId="0" borderId="0" xfId="0" applyNumberFormat="1" applyFont="1" applyFill="1" applyBorder="1" applyAlignment="1">
      <alignment horizontal="center"/>
    </xf>
    <xf numFmtId="213" fontId="6" fillId="0" borderId="0" xfId="0" applyNumberFormat="1" applyFont="1" applyFill="1" applyBorder="1" applyAlignment="1">
      <alignment horizontal="center" vertical="center"/>
    </xf>
    <xf numFmtId="213" fontId="9" fillId="0" borderId="0" xfId="0" applyNumberFormat="1" applyFont="1" applyFill="1" applyBorder="1" applyAlignment="1">
      <alignment horizontal="center" vertical="center"/>
    </xf>
    <xf numFmtId="177" fontId="6" fillId="0" borderId="0" xfId="0" applyNumberFormat="1" applyFont="1" applyFill="1" applyBorder="1" applyAlignment="1">
      <alignment horizontal="center" vertical="center"/>
    </xf>
    <xf numFmtId="177" fontId="9" fillId="0" borderId="0" xfId="0" applyNumberFormat="1" applyFont="1" applyFill="1" applyBorder="1" applyAlignment="1">
      <alignment horizontal="center" vertical="center"/>
    </xf>
    <xf numFmtId="173" fontId="12" fillId="0" borderId="0" xfId="0" applyNumberFormat="1" applyFont="1" applyFill="1" applyBorder="1" applyAlignment="1">
      <alignment horizontal="center" vertical="center"/>
    </xf>
    <xf numFmtId="173" fontId="13" fillId="0" borderId="0" xfId="0" applyNumberFormat="1" applyFont="1" applyFill="1" applyBorder="1" applyAlignment="1">
      <alignment horizontal="center" vertical="center"/>
    </xf>
    <xf numFmtId="173" fontId="12" fillId="0" borderId="0" xfId="2" applyNumberFormat="1" applyFont="1" applyFill="1" applyBorder="1" applyAlignment="1">
      <alignment horizontal="center" vertical="center"/>
    </xf>
    <xf numFmtId="173" fontId="13" fillId="0" borderId="0" xfId="2" applyNumberFormat="1" applyFont="1" applyFill="1" applyBorder="1" applyAlignment="1">
      <alignment horizontal="center" vertical="center"/>
    </xf>
    <xf numFmtId="177" fontId="8" fillId="7" borderId="0" xfId="0" applyNumberFormat="1" applyFont="1" applyFill="1" applyAlignment="1" applyProtection="1">
      <alignment horizontal="center" vertical="center"/>
      <protection locked="0"/>
    </xf>
    <xf numFmtId="177" fontId="13" fillId="7" borderId="0" xfId="0" applyNumberFormat="1" applyFont="1" applyFill="1" applyAlignment="1" applyProtection="1">
      <alignment horizontal="center" vertical="center"/>
      <protection locked="0"/>
    </xf>
    <xf numFmtId="9" fontId="12" fillId="7" borderId="0" xfId="2" applyFont="1" applyFill="1" applyAlignment="1" applyProtection="1">
      <alignment horizontal="center" vertical="center"/>
      <protection locked="0"/>
    </xf>
    <xf numFmtId="9" fontId="13" fillId="7" borderId="0" xfId="2" applyFont="1" applyFill="1" applyAlignment="1" applyProtection="1">
      <alignment horizontal="center" vertical="center"/>
      <protection locked="0"/>
    </xf>
    <xf numFmtId="9" fontId="13" fillId="7" borderId="0" xfId="2" applyFont="1" applyFill="1" applyAlignment="1" applyProtection="1">
      <alignment horizontal="center" vertical="center"/>
    </xf>
    <xf numFmtId="178" fontId="12" fillId="7" borderId="0" xfId="0" applyNumberFormat="1" applyFont="1" applyFill="1" applyAlignment="1" applyProtection="1">
      <alignment horizontal="center" vertical="center"/>
      <protection locked="0"/>
    </xf>
    <xf numFmtId="0" fontId="12" fillId="7" borderId="0" xfId="0" applyFont="1" applyFill="1" applyAlignment="1" applyProtection="1">
      <alignment vertical="center"/>
      <protection locked="0"/>
    </xf>
    <xf numFmtId="204" fontId="12" fillId="7" borderId="0" xfId="0" applyNumberFormat="1" applyFont="1" applyFill="1" applyAlignment="1" applyProtection="1">
      <alignment horizontal="center" vertical="center"/>
      <protection locked="0"/>
    </xf>
    <xf numFmtId="204" fontId="13" fillId="7" borderId="0" xfId="0" applyNumberFormat="1" applyFont="1" applyFill="1" applyAlignment="1" applyProtection="1">
      <alignment horizontal="center" vertical="center"/>
      <protection locked="0"/>
    </xf>
    <xf numFmtId="167" fontId="12" fillId="7" borderId="0" xfId="0" applyNumberFormat="1" applyFont="1" applyFill="1" applyAlignment="1" applyProtection="1">
      <alignment horizontal="center" vertical="center"/>
      <protection locked="0"/>
    </xf>
    <xf numFmtId="187" fontId="13" fillId="7" borderId="0" xfId="2" applyNumberFormat="1" applyFont="1" applyFill="1" applyAlignment="1" applyProtection="1">
      <alignment horizontal="center" vertical="center"/>
      <protection locked="0"/>
    </xf>
    <xf numFmtId="3" fontId="13" fillId="7" borderId="0" xfId="0" applyNumberFormat="1" applyFont="1" applyFill="1" applyAlignment="1" applyProtection="1">
      <alignment horizontal="center" vertical="center"/>
      <protection locked="0"/>
    </xf>
    <xf numFmtId="167" fontId="13" fillId="7" borderId="0" xfId="0" applyNumberFormat="1" applyFont="1" applyFill="1" applyAlignment="1" applyProtection="1">
      <alignment horizontal="center" vertical="center"/>
      <protection locked="0"/>
    </xf>
    <xf numFmtId="191" fontId="13" fillId="7" borderId="0" xfId="0" applyNumberFormat="1" applyFont="1" applyFill="1" applyAlignment="1" applyProtection="1">
      <alignment horizontal="center" vertical="center"/>
      <protection locked="0"/>
    </xf>
    <xf numFmtId="173" fontId="13" fillId="7" borderId="0" xfId="2" applyNumberFormat="1" applyFont="1" applyFill="1" applyAlignment="1" applyProtection="1">
      <alignment horizontal="center" vertical="center"/>
      <protection locked="0"/>
    </xf>
    <xf numFmtId="177" fontId="8" fillId="0" borderId="0" xfId="0" applyNumberFormat="1" applyFont="1" applyFill="1" applyAlignment="1">
      <alignment horizontal="center" vertical="center"/>
    </xf>
    <xf numFmtId="177" fontId="13" fillId="0" borderId="0" xfId="0" applyNumberFormat="1" applyFont="1" applyFill="1" applyAlignment="1">
      <alignment horizontal="center" vertical="center"/>
    </xf>
    <xf numFmtId="167" fontId="13" fillId="0" borderId="0" xfId="0" applyNumberFormat="1" applyFont="1" applyFill="1" applyAlignment="1">
      <alignment horizontal="center" vertical="center"/>
    </xf>
    <xf numFmtId="9" fontId="12" fillId="0" borderId="0" xfId="2" applyFont="1" applyFill="1" applyAlignment="1">
      <alignment horizontal="center" vertical="center"/>
    </xf>
    <xf numFmtId="9" fontId="12" fillId="0" borderId="0" xfId="0" applyNumberFormat="1" applyFont="1" applyFill="1" applyAlignment="1">
      <alignment horizontal="center" vertical="center"/>
    </xf>
    <xf numFmtId="178" fontId="12" fillId="0" borderId="0" xfId="0" applyNumberFormat="1" applyFont="1" applyFill="1" applyAlignment="1">
      <alignment horizontal="center" vertical="center"/>
    </xf>
    <xf numFmtId="204" fontId="12" fillId="0" borderId="0" xfId="0" applyNumberFormat="1" applyFont="1" applyFill="1" applyAlignment="1">
      <alignment horizontal="center" vertical="center"/>
    </xf>
    <xf numFmtId="204" fontId="13" fillId="0" borderId="0" xfId="0" applyNumberFormat="1" applyFont="1" applyFill="1" applyAlignment="1">
      <alignment horizontal="center" vertical="center"/>
    </xf>
    <xf numFmtId="167" fontId="12" fillId="0" borderId="0" xfId="0" applyNumberFormat="1" applyFont="1" applyFill="1" applyAlignment="1">
      <alignment horizontal="center" vertical="center"/>
    </xf>
    <xf numFmtId="9" fontId="13" fillId="0" borderId="0" xfId="0" applyNumberFormat="1" applyFont="1" applyFill="1" applyAlignment="1">
      <alignment horizontal="center" vertical="center"/>
    </xf>
    <xf numFmtId="203" fontId="13" fillId="0" borderId="0" xfId="0" applyNumberFormat="1" applyFont="1" applyFill="1" applyAlignment="1">
      <alignment horizontal="center" vertical="center"/>
    </xf>
    <xf numFmtId="3" fontId="13" fillId="0" borderId="0" xfId="0" applyNumberFormat="1" applyFont="1" applyFill="1" applyAlignment="1">
      <alignment horizontal="center" vertical="center"/>
    </xf>
    <xf numFmtId="191" fontId="13" fillId="0" borderId="0" xfId="0" applyNumberFormat="1" applyFont="1" applyFill="1" applyAlignment="1">
      <alignment horizontal="center" vertical="center"/>
    </xf>
    <xf numFmtId="0" fontId="8"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1" xfId="0" applyFont="1" applyFill="1" applyBorder="1" applyAlignment="1">
      <alignment horizontal="right" vertical="center" wrapText="1"/>
    </xf>
    <xf numFmtId="0" fontId="6" fillId="0" borderId="0" xfId="0" applyFont="1" applyFill="1" applyAlignment="1">
      <alignment horizontal="right" vertical="center" wrapText="1"/>
    </xf>
    <xf numFmtId="0" fontId="13" fillId="0" borderId="0" xfId="0" applyFont="1" applyFill="1" applyAlignment="1">
      <alignment horizontal="right" vertical="center" wrapText="1"/>
    </xf>
    <xf numFmtId="9" fontId="13" fillId="0" borderId="1" xfId="0" applyNumberFormat="1" applyFont="1" applyFill="1" applyBorder="1" applyAlignment="1">
      <alignment horizontal="right" vertical="center" wrapText="1"/>
    </xf>
    <xf numFmtId="0" fontId="12" fillId="0" borderId="24" xfId="0" applyFont="1" applyFill="1" applyBorder="1" applyAlignment="1">
      <alignment vertical="center" wrapText="1"/>
    </xf>
    <xf numFmtId="0" fontId="13" fillId="0" borderId="0" xfId="0" applyFont="1" applyFill="1" applyAlignment="1">
      <alignment vertical="center" wrapText="1"/>
    </xf>
    <xf numFmtId="0" fontId="12" fillId="0" borderId="0" xfId="0" applyFont="1" applyFill="1" applyAlignment="1">
      <alignment horizontal="center" vertical="center" wrapText="1"/>
    </xf>
    <xf numFmtId="0" fontId="13" fillId="0" borderId="0" xfId="0" applyFont="1" applyFill="1" applyAlignment="1">
      <alignment horizontal="center" vertical="center" wrapText="1"/>
    </xf>
    <xf numFmtId="49" fontId="23" fillId="4" borderId="23" xfId="0" applyNumberFormat="1" applyFont="1" applyFill="1" applyBorder="1" applyAlignment="1">
      <alignment horizontal="center" vertical="center"/>
    </xf>
    <xf numFmtId="0" fontId="18" fillId="0" borderId="0" xfId="0" applyFont="1" applyFill="1" applyBorder="1" applyAlignment="1">
      <alignment vertical="center"/>
    </xf>
    <xf numFmtId="9" fontId="9" fillId="0" borderId="0" xfId="2" applyFont="1" applyFill="1" applyBorder="1" applyAlignment="1">
      <alignment horizontal="center" vertical="center"/>
    </xf>
    <xf numFmtId="0" fontId="13" fillId="0" borderId="23" xfId="0" applyFont="1" applyFill="1" applyBorder="1" applyAlignment="1">
      <alignment vertical="center"/>
    </xf>
    <xf numFmtId="191" fontId="12" fillId="0" borderId="23" xfId="0" applyNumberFormat="1" applyFont="1" applyFill="1" applyBorder="1" applyAlignment="1">
      <alignment horizontal="center" vertical="center"/>
    </xf>
    <xf numFmtId="0" fontId="13" fillId="0" borderId="23" xfId="0" applyFont="1" applyFill="1" applyBorder="1" applyAlignment="1">
      <alignment horizontal="center" vertical="center"/>
    </xf>
    <xf numFmtId="204" fontId="6" fillId="0" borderId="23" xfId="0" applyNumberFormat="1" applyFont="1" applyFill="1" applyBorder="1" applyAlignment="1">
      <alignment horizontal="center" vertical="center"/>
    </xf>
    <xf numFmtId="0" fontId="18" fillId="8" borderId="0" xfId="0" applyFont="1" applyFill="1"/>
    <xf numFmtId="0" fontId="13" fillId="8" borderId="0" xfId="0" applyFont="1" applyFill="1" applyAlignment="1">
      <alignment horizontal="center"/>
    </xf>
    <xf numFmtId="0" fontId="12" fillId="8" borderId="0" xfId="0" applyFont="1" applyFill="1"/>
    <xf numFmtId="0" fontId="13" fillId="8" borderId="0" xfId="0" applyFont="1" applyFill="1"/>
    <xf numFmtId="0" fontId="41" fillId="8" borderId="0" xfId="0" applyFont="1" applyFill="1"/>
    <xf numFmtId="0" fontId="0" fillId="8" borderId="0" xfId="0" applyFill="1"/>
    <xf numFmtId="0" fontId="0" fillId="8" borderId="0" xfId="0" applyFill="1" applyAlignment="1">
      <alignment horizontal="center"/>
    </xf>
    <xf numFmtId="168" fontId="13" fillId="8" borderId="0" xfId="2" applyNumberFormat="1" applyFont="1" applyFill="1"/>
    <xf numFmtId="0" fontId="0" fillId="7" borderId="0" xfId="0" applyFill="1" applyAlignment="1">
      <alignment horizontal="center"/>
    </xf>
    <xf numFmtId="0" fontId="6" fillId="7" borderId="0" xfId="0" applyFont="1" applyFill="1" applyAlignment="1">
      <alignment horizontal="left"/>
    </xf>
    <xf numFmtId="0" fontId="0" fillId="7" borderId="0" xfId="0" applyFill="1"/>
    <xf numFmtId="0" fontId="12" fillId="7" borderId="0" xfId="0" applyFont="1" applyFill="1"/>
    <xf numFmtId="9" fontId="0" fillId="7" borderId="0" xfId="2" applyFont="1" applyFill="1"/>
    <xf numFmtId="0" fontId="1" fillId="7" borderId="0" xfId="0" applyFont="1" applyFill="1" applyBorder="1"/>
    <xf numFmtId="0" fontId="0" fillId="7" borderId="0" xfId="0" applyFill="1" applyBorder="1"/>
    <xf numFmtId="9" fontId="0" fillId="7" borderId="0" xfId="0" applyNumberFormat="1" applyFill="1" applyBorder="1" applyAlignment="1">
      <alignment horizontal="center"/>
    </xf>
    <xf numFmtId="0" fontId="0" fillId="7" borderId="0" xfId="0" applyFill="1" applyBorder="1" applyAlignment="1">
      <alignment wrapText="1"/>
    </xf>
    <xf numFmtId="9" fontId="0" fillId="7" borderId="0" xfId="0" applyNumberFormat="1" applyFill="1" applyBorder="1" applyAlignment="1">
      <alignment wrapText="1"/>
    </xf>
    <xf numFmtId="184" fontId="4" fillId="7" borderId="2" xfId="0" applyNumberFormat="1" applyFont="1" applyFill="1" applyBorder="1" applyAlignment="1">
      <alignment horizontal="center"/>
    </xf>
    <xf numFmtId="184" fontId="0" fillId="7" borderId="2" xfId="0" applyNumberFormat="1" applyFill="1" applyBorder="1" applyAlignment="1">
      <alignment horizontal="center"/>
    </xf>
    <xf numFmtId="184" fontId="4" fillId="7" borderId="23" xfId="0" applyNumberFormat="1" applyFont="1" applyFill="1" applyBorder="1" applyAlignment="1">
      <alignment horizontal="center"/>
    </xf>
    <xf numFmtId="184" fontId="0" fillId="7" borderId="23" xfId="0" applyNumberFormat="1" applyFill="1" applyBorder="1" applyAlignment="1">
      <alignment horizontal="center"/>
    </xf>
    <xf numFmtId="9" fontId="1" fillId="0" borderId="3" xfId="2" applyFont="1" applyFill="1" applyBorder="1" applyAlignment="1">
      <alignment horizontal="center"/>
    </xf>
    <xf numFmtId="202" fontId="0" fillId="0" borderId="5" xfId="0" applyNumberFormat="1" applyFill="1" applyBorder="1" applyAlignment="1">
      <alignment horizontal="center"/>
    </xf>
    <xf numFmtId="202" fontId="1" fillId="0" borderId="25" xfId="0" applyNumberFormat="1" applyFont="1" applyFill="1" applyBorder="1" applyAlignment="1">
      <alignment horizontal="center"/>
    </xf>
    <xf numFmtId="202" fontId="1" fillId="0" borderId="26" xfId="0" applyNumberFormat="1" applyFont="1" applyFill="1" applyBorder="1" applyAlignment="1">
      <alignment horizontal="center"/>
    </xf>
    <xf numFmtId="1" fontId="1" fillId="0" borderId="23" xfId="0" applyNumberFormat="1" applyFont="1" applyFill="1" applyBorder="1" applyAlignment="1">
      <alignment horizontal="center"/>
    </xf>
    <xf numFmtId="3" fontId="6" fillId="0" borderId="26" xfId="0" applyNumberFormat="1" applyFont="1" applyFill="1" applyBorder="1" applyAlignment="1">
      <alignment horizontal="center"/>
    </xf>
    <xf numFmtId="195" fontId="1" fillId="7" borderId="23" xfId="0" applyNumberFormat="1" applyFont="1" applyFill="1" applyBorder="1" applyAlignment="1">
      <alignment horizontal="center"/>
    </xf>
    <xf numFmtId="179" fontId="54" fillId="0" borderId="0" xfId="0" applyNumberFormat="1" applyFont="1" applyFill="1" applyAlignment="1">
      <alignment horizontal="center"/>
    </xf>
    <xf numFmtId="179" fontId="12" fillId="7" borderId="0" xfId="0" applyNumberFormat="1" applyFont="1" applyFill="1" applyBorder="1" applyAlignment="1">
      <alignment horizontal="center"/>
    </xf>
    <xf numFmtId="179" fontId="12" fillId="7" borderId="6" xfId="0" applyNumberFormat="1" applyFont="1" applyFill="1" applyBorder="1" applyAlignment="1">
      <alignment horizontal="center"/>
    </xf>
    <xf numFmtId="167" fontId="0" fillId="7" borderId="0" xfId="0" applyNumberFormat="1" applyFill="1" applyBorder="1" applyAlignment="1">
      <alignment horizontal="center"/>
    </xf>
    <xf numFmtId="197" fontId="1" fillId="0" borderId="0" xfId="0" applyNumberFormat="1" applyFont="1" applyFill="1" applyAlignment="1">
      <alignment horizontal="center"/>
    </xf>
    <xf numFmtId="9" fontId="12" fillId="0" borderId="0" xfId="2" applyFont="1" applyFill="1" applyBorder="1" applyAlignment="1">
      <alignment horizontal="center"/>
    </xf>
    <xf numFmtId="9" fontId="1" fillId="0" borderId="0" xfId="2" applyFont="1" applyFill="1" applyBorder="1" applyAlignment="1">
      <alignment horizontal="center"/>
    </xf>
    <xf numFmtId="204" fontId="1" fillId="0" borderId="0" xfId="0" applyNumberFormat="1" applyFont="1" applyFill="1" applyBorder="1" applyAlignment="1">
      <alignment horizontal="center"/>
    </xf>
    <xf numFmtId="9" fontId="1" fillId="0" borderId="1" xfId="2" applyFont="1" applyFill="1" applyBorder="1" applyAlignment="1">
      <alignment horizontal="center"/>
    </xf>
    <xf numFmtId="204" fontId="1" fillId="0" borderId="1" xfId="0" applyNumberFormat="1" applyFont="1" applyFill="1" applyBorder="1" applyAlignment="1">
      <alignment horizontal="center"/>
    </xf>
    <xf numFmtId="9" fontId="0" fillId="7" borderId="0" xfId="2" applyFont="1" applyFill="1" applyBorder="1" applyAlignment="1">
      <alignment horizontal="center"/>
    </xf>
    <xf numFmtId="204" fontId="0" fillId="7" borderId="0" xfId="0" applyNumberFormat="1" applyFill="1" applyBorder="1" applyAlignment="1">
      <alignment horizontal="center"/>
    </xf>
    <xf numFmtId="0" fontId="8" fillId="0" borderId="0" xfId="0" applyFont="1" applyFill="1" applyBorder="1"/>
    <xf numFmtId="166" fontId="0" fillId="7" borderId="0" xfId="0" applyNumberFormat="1" applyFill="1" applyBorder="1" applyAlignment="1">
      <alignment horizontal="center"/>
    </xf>
    <xf numFmtId="0" fontId="0" fillId="7" borderId="0" xfId="0" applyFill="1" applyBorder="1" applyAlignment="1">
      <alignment horizontal="center"/>
    </xf>
    <xf numFmtId="4" fontId="0" fillId="7" borderId="0" xfId="0" applyNumberFormat="1" applyFill="1" applyBorder="1" applyAlignment="1">
      <alignment horizontal="center"/>
    </xf>
    <xf numFmtId="2" fontId="0" fillId="7" borderId="0" xfId="0" applyNumberFormat="1" applyFill="1" applyBorder="1" applyAlignment="1">
      <alignment horizontal="center"/>
    </xf>
    <xf numFmtId="198" fontId="0" fillId="7" borderId="0" xfId="0" applyNumberFormat="1" applyFill="1" applyBorder="1" applyAlignment="1">
      <alignment horizontal="center"/>
    </xf>
    <xf numFmtId="166" fontId="6" fillId="0" borderId="0" xfId="0" applyNumberFormat="1" applyFont="1" applyFill="1" applyBorder="1" applyAlignment="1">
      <alignment horizontal="center"/>
    </xf>
    <xf numFmtId="0" fontId="6" fillId="0" borderId="0" xfId="0" applyFont="1" applyFill="1" applyBorder="1" applyAlignment="1">
      <alignment horizontal="center"/>
    </xf>
    <xf numFmtId="3" fontId="0" fillId="7" borderId="0" xfId="0" applyNumberFormat="1" applyFill="1" applyBorder="1" applyAlignment="1">
      <alignment horizontal="center"/>
    </xf>
    <xf numFmtId="189" fontId="0" fillId="7" borderId="0" xfId="0" applyNumberFormat="1" applyFill="1" applyBorder="1" applyAlignment="1">
      <alignment horizontal="center"/>
    </xf>
    <xf numFmtId="169" fontId="0" fillId="7" borderId="0" xfId="0" applyNumberFormat="1" applyFill="1" applyBorder="1" applyAlignment="1">
      <alignment horizontal="center"/>
    </xf>
    <xf numFmtId="209" fontId="13" fillId="7" borderId="0" xfId="0" applyNumberFormat="1" applyFont="1" applyFill="1" applyBorder="1" applyAlignment="1">
      <alignment horizontal="center"/>
    </xf>
    <xf numFmtId="1" fontId="0" fillId="7" borderId="1" xfId="0" applyNumberFormat="1" applyFill="1" applyBorder="1" applyAlignment="1">
      <alignment horizontal="center"/>
    </xf>
    <xf numFmtId="0" fontId="0" fillId="7" borderId="1" xfId="0" applyFill="1" applyBorder="1" applyAlignment="1">
      <alignment horizontal="center"/>
    </xf>
    <xf numFmtId="209" fontId="0" fillId="7" borderId="0" xfId="0" applyNumberFormat="1" applyFill="1" applyAlignment="1">
      <alignment horizontal="center"/>
    </xf>
    <xf numFmtId="179" fontId="0" fillId="8" borderId="0" xfId="0" applyNumberFormat="1" applyFill="1" applyAlignment="1">
      <alignment horizontal="center"/>
    </xf>
    <xf numFmtId="1" fontId="0" fillId="8" borderId="0" xfId="0" applyNumberFormat="1" applyFill="1" applyAlignment="1">
      <alignment horizontal="center"/>
    </xf>
    <xf numFmtId="1" fontId="0" fillId="7" borderId="0" xfId="0" applyNumberFormat="1" applyFill="1" applyBorder="1" applyAlignment="1">
      <alignment horizontal="center"/>
    </xf>
    <xf numFmtId="0" fontId="6" fillId="8" borderId="0" xfId="0" applyFont="1" applyFill="1" applyBorder="1"/>
    <xf numFmtId="0" fontId="9" fillId="0" borderId="0" xfId="0" applyFont="1" applyFill="1" applyBorder="1" applyAlignment="1">
      <alignment horizontal="right"/>
    </xf>
    <xf numFmtId="191" fontId="13" fillId="0" borderId="6" xfId="0" applyNumberFormat="1" applyFont="1" applyFill="1" applyBorder="1" applyAlignment="1">
      <alignment horizontal="center"/>
    </xf>
    <xf numFmtId="191" fontId="1" fillId="0" borderId="0" xfId="0" applyNumberFormat="1" applyFont="1" applyFill="1" applyBorder="1" applyAlignment="1">
      <alignment horizontal="center"/>
    </xf>
    <xf numFmtId="168" fontId="13" fillId="0" borderId="6" xfId="0" applyNumberFormat="1" applyFont="1" applyFill="1" applyBorder="1" applyAlignment="1">
      <alignment horizontal="center"/>
    </xf>
    <xf numFmtId="0" fontId="8" fillId="8" borderId="0" xfId="0" applyFont="1" applyFill="1"/>
    <xf numFmtId="0" fontId="10" fillId="8" borderId="0" xfId="0" applyFont="1" applyFill="1"/>
    <xf numFmtId="1" fontId="10" fillId="8" borderId="0" xfId="0" applyNumberFormat="1" applyFont="1" applyFill="1"/>
    <xf numFmtId="167" fontId="10" fillId="8" borderId="0" xfId="0" applyNumberFormat="1" applyFont="1" applyFill="1" applyAlignment="1">
      <alignment horizontal="center"/>
    </xf>
    <xf numFmtId="168" fontId="8" fillId="8" borderId="0" xfId="0" applyNumberFormat="1" applyFont="1" applyFill="1" applyBorder="1" applyAlignment="1">
      <alignment horizontal="center"/>
    </xf>
    <xf numFmtId="9" fontId="4" fillId="2" borderId="0" xfId="2" applyFill="1" applyAlignment="1">
      <alignment horizontal="center"/>
    </xf>
    <xf numFmtId="0" fontId="31" fillId="8" borderId="0" xfId="0" applyFont="1" applyFill="1"/>
    <xf numFmtId="168" fontId="31" fillId="8" borderId="0" xfId="0" applyNumberFormat="1" applyFont="1" applyFill="1" applyBorder="1" applyAlignment="1">
      <alignment horizontal="center"/>
    </xf>
    <xf numFmtId="9" fontId="23" fillId="8" borderId="0" xfId="2" applyFont="1" applyFill="1" applyAlignment="1">
      <alignment horizontal="center"/>
    </xf>
    <xf numFmtId="0" fontId="6" fillId="8" borderId="0" xfId="0" applyFont="1" applyFill="1"/>
    <xf numFmtId="0" fontId="9" fillId="8" borderId="0" xfId="0" applyFont="1" applyFill="1" applyBorder="1"/>
    <xf numFmtId="0" fontId="9" fillId="8" borderId="0" xfId="0" applyFont="1" applyFill="1" applyBorder="1" applyAlignment="1">
      <alignment horizontal="center"/>
    </xf>
    <xf numFmtId="0" fontId="32" fillId="8" borderId="0" xfId="0" applyFont="1" applyFill="1"/>
    <xf numFmtId="167" fontId="0" fillId="8" borderId="0" xfId="0" applyNumberFormat="1" applyFill="1" applyAlignment="1">
      <alignment horizontal="center"/>
    </xf>
    <xf numFmtId="168" fontId="1" fillId="8" borderId="0" xfId="0" applyNumberFormat="1" applyFont="1" applyFill="1" applyAlignment="1">
      <alignment horizontal="center"/>
    </xf>
    <xf numFmtId="9" fontId="4" fillId="8" borderId="0" xfId="2" applyFill="1" applyAlignment="1">
      <alignment horizontal="center"/>
    </xf>
    <xf numFmtId="166" fontId="12" fillId="0" borderId="0" xfId="0" applyNumberFormat="1" applyFont="1" applyFill="1" applyAlignment="1">
      <alignment horizontal="center"/>
    </xf>
    <xf numFmtId="0" fontId="9" fillId="8" borderId="0" xfId="0" applyFont="1" applyFill="1"/>
    <xf numFmtId="166" fontId="9" fillId="8" borderId="0" xfId="0" applyNumberFormat="1" applyFont="1" applyFill="1" applyAlignment="1">
      <alignment horizontal="center"/>
    </xf>
    <xf numFmtId="167" fontId="9" fillId="8" borderId="0" xfId="0" applyNumberFormat="1" applyFont="1" applyFill="1" applyAlignment="1">
      <alignment horizontal="center"/>
    </xf>
    <xf numFmtId="0" fontId="23" fillId="8" borderId="0" xfId="0" applyFont="1" applyFill="1"/>
    <xf numFmtId="0" fontId="33" fillId="8" borderId="0" xfId="0" applyFont="1" applyFill="1"/>
    <xf numFmtId="166" fontId="33" fillId="8" borderId="0" xfId="0" applyNumberFormat="1" applyFont="1" applyFill="1" applyAlignment="1">
      <alignment horizontal="center"/>
    </xf>
    <xf numFmtId="167" fontId="33" fillId="8" borderId="0" xfId="0" applyNumberFormat="1" applyFont="1" applyFill="1" applyAlignment="1">
      <alignment horizontal="center"/>
    </xf>
    <xf numFmtId="168" fontId="23" fillId="8" borderId="0" xfId="0" applyNumberFormat="1" applyFont="1" applyFill="1" applyBorder="1" applyAlignment="1">
      <alignment horizontal="center"/>
    </xf>
    <xf numFmtId="168" fontId="32" fillId="8" borderId="0" xfId="0" applyNumberFormat="1" applyFont="1" applyFill="1" applyBorder="1" applyAlignment="1">
      <alignment horizontal="center"/>
    </xf>
    <xf numFmtId="9" fontId="18" fillId="8" borderId="0" xfId="2" applyFont="1" applyFill="1" applyAlignment="1">
      <alignment horizontal="center"/>
    </xf>
    <xf numFmtId="0" fontId="39" fillId="0" borderId="0" xfId="0" applyFont="1" applyFill="1" applyBorder="1"/>
    <xf numFmtId="177" fontId="0" fillId="0" borderId="0" xfId="0" applyNumberFormat="1" applyFill="1" applyBorder="1" applyAlignment="1">
      <alignment horizontal="center"/>
    </xf>
    <xf numFmtId="0" fontId="29" fillId="0" borderId="0" xfId="0" applyFont="1" applyFill="1" applyBorder="1" applyAlignment="1">
      <alignment horizontal="right"/>
    </xf>
    <xf numFmtId="0" fontId="12" fillId="0" borderId="0" xfId="0" applyFont="1" applyFill="1" applyBorder="1" applyAlignment="1">
      <alignment horizontal="center"/>
    </xf>
    <xf numFmtId="183" fontId="12" fillId="0" borderId="0" xfId="0" applyNumberFormat="1" applyFont="1" applyFill="1" applyBorder="1" applyAlignment="1">
      <alignment horizontal="center"/>
    </xf>
    <xf numFmtId="0" fontId="1" fillId="0" borderId="14" xfId="0" applyFont="1" applyFill="1" applyBorder="1" applyAlignment="1">
      <alignment horizontal="right"/>
    </xf>
    <xf numFmtId="0" fontId="29" fillId="0" borderId="0" xfId="0" applyFont="1" applyFill="1"/>
    <xf numFmtId="0" fontId="9" fillId="8" borderId="0" xfId="0" applyFont="1" applyFill="1" applyAlignment="1">
      <alignment horizontal="center"/>
    </xf>
    <xf numFmtId="0" fontId="19" fillId="8" borderId="0" xfId="0" applyFont="1" applyFill="1"/>
    <xf numFmtId="0" fontId="19" fillId="8" borderId="0" xfId="0" applyFont="1" applyFill="1" applyAlignment="1">
      <alignment horizontal="center"/>
    </xf>
    <xf numFmtId="166" fontId="19" fillId="8" borderId="0" xfId="0" applyNumberFormat="1" applyFont="1" applyFill="1" applyAlignment="1">
      <alignment horizontal="center"/>
    </xf>
    <xf numFmtId="167" fontId="19" fillId="8" borderId="0" xfId="0" applyNumberFormat="1" applyFont="1" applyFill="1" applyAlignment="1">
      <alignment horizontal="center"/>
    </xf>
    <xf numFmtId="167" fontId="4" fillId="0" borderId="0" xfId="0" applyNumberFormat="1" applyFont="1" applyFill="1" applyBorder="1" applyAlignment="1">
      <alignment horizontal="center"/>
    </xf>
    <xf numFmtId="0" fontId="8" fillId="8" borderId="0" xfId="0" applyFont="1" applyFill="1" applyAlignment="1">
      <alignment horizontal="center"/>
    </xf>
    <xf numFmtId="167" fontId="8" fillId="8" borderId="0" xfId="0" applyNumberFormat="1" applyFont="1" applyFill="1" applyAlignment="1">
      <alignment horizontal="center"/>
    </xf>
    <xf numFmtId="168" fontId="12" fillId="0" borderId="6" xfId="0" applyNumberFormat="1" applyFont="1" applyFill="1" applyBorder="1" applyAlignment="1">
      <alignment horizontal="center"/>
    </xf>
    <xf numFmtId="210" fontId="13" fillId="0" borderId="0" xfId="0" applyNumberFormat="1" applyFont="1" applyFill="1" applyAlignment="1">
      <alignment horizontal="left"/>
    </xf>
    <xf numFmtId="0" fontId="15" fillId="8" borderId="0" xfId="0" applyFont="1" applyFill="1"/>
    <xf numFmtId="0" fontId="53" fillId="8" borderId="0" xfId="0" applyFont="1" applyFill="1"/>
    <xf numFmtId="168" fontId="6" fillId="0" borderId="0" xfId="0" applyNumberFormat="1" applyFont="1" applyFill="1" applyAlignment="1">
      <alignment horizontal="center"/>
    </xf>
    <xf numFmtId="187" fontId="0" fillId="0" borderId="0" xfId="0" applyNumberFormat="1" applyFill="1"/>
    <xf numFmtId="168" fontId="53" fillId="8" borderId="0" xfId="2" applyNumberFormat="1" applyFont="1" applyFill="1"/>
    <xf numFmtId="168" fontId="0" fillId="0" borderId="0" xfId="0" applyNumberFormat="1" applyFill="1" applyBorder="1" applyAlignment="1">
      <alignment horizontal="center" vertical="center"/>
    </xf>
    <xf numFmtId="168" fontId="15" fillId="8" borderId="0" xfId="2" applyNumberFormat="1" applyFont="1" applyFill="1"/>
    <xf numFmtId="9" fontId="54" fillId="0" borderId="0" xfId="2" applyFont="1" applyFill="1" applyBorder="1" applyAlignment="1">
      <alignment horizontal="center"/>
    </xf>
    <xf numFmtId="168" fontId="9" fillId="0" borderId="0" xfId="0" applyNumberFormat="1" applyFont="1" applyFill="1" applyBorder="1" applyAlignment="1">
      <alignment horizontal="center"/>
    </xf>
    <xf numFmtId="0" fontId="15" fillId="8" borderId="0" xfId="0" applyFont="1" applyFill="1" applyBorder="1"/>
    <xf numFmtId="193" fontId="32" fillId="8" borderId="0" xfId="0" applyNumberFormat="1" applyFont="1" applyFill="1" applyBorder="1" applyAlignment="1">
      <alignment horizontal="center"/>
    </xf>
    <xf numFmtId="193" fontId="31" fillId="8" borderId="0" xfId="0" applyNumberFormat="1" applyFont="1" applyFill="1" applyBorder="1" applyAlignment="1">
      <alignment horizontal="center"/>
    </xf>
    <xf numFmtId="168" fontId="15" fillId="8" borderId="0" xfId="0" applyNumberFormat="1" applyFont="1" applyFill="1" applyBorder="1" applyAlignment="1">
      <alignment horizontal="center"/>
    </xf>
    <xf numFmtId="168" fontId="37" fillId="8" borderId="0" xfId="0" applyNumberFormat="1" applyFont="1" applyFill="1" applyBorder="1" applyAlignment="1">
      <alignment horizontal="center"/>
    </xf>
    <xf numFmtId="0" fontId="53" fillId="8" borderId="0" xfId="0" applyFont="1" applyFill="1" applyBorder="1"/>
    <xf numFmtId="0" fontId="53" fillId="8" borderId="0" xfId="0" applyFont="1" applyFill="1" applyBorder="1" applyAlignment="1">
      <alignment horizontal="center"/>
    </xf>
    <xf numFmtId="166" fontId="53" fillId="8" borderId="0" xfId="0" applyNumberFormat="1" applyFont="1" applyFill="1" applyBorder="1" applyAlignment="1">
      <alignment horizontal="center"/>
    </xf>
    <xf numFmtId="167" fontId="53" fillId="8" borderId="0" xfId="0" applyNumberFormat="1" applyFont="1" applyFill="1" applyBorder="1" applyAlignment="1">
      <alignment horizontal="center"/>
    </xf>
    <xf numFmtId="0" fontId="41" fillId="8" borderId="0" xfId="0" applyFont="1" applyFill="1" applyBorder="1"/>
    <xf numFmtId="0" fontId="48" fillId="8" borderId="0" xfId="0" applyFont="1" applyFill="1" applyBorder="1"/>
    <xf numFmtId="0" fontId="48" fillId="8" borderId="0" xfId="0" applyFont="1" applyFill="1" applyBorder="1" applyAlignment="1">
      <alignment horizontal="center"/>
    </xf>
    <xf numFmtId="166" fontId="48" fillId="8" borderId="0" xfId="0" applyNumberFormat="1" applyFont="1" applyFill="1" applyBorder="1" applyAlignment="1">
      <alignment horizontal="center"/>
    </xf>
    <xf numFmtId="167" fontId="48" fillId="8" borderId="0" xfId="0" applyNumberFormat="1" applyFont="1" applyFill="1" applyBorder="1" applyAlignment="1">
      <alignment horizontal="center"/>
    </xf>
    <xf numFmtId="167" fontId="10" fillId="8" borderId="0" xfId="0" applyNumberFormat="1" applyFont="1" applyFill="1" applyBorder="1" applyAlignment="1">
      <alignment horizontal="center"/>
    </xf>
    <xf numFmtId="167" fontId="32" fillId="8" borderId="0" xfId="0" applyNumberFormat="1" applyFont="1" applyFill="1" applyBorder="1" applyAlignment="1">
      <alignment horizontal="center"/>
    </xf>
    <xf numFmtId="194" fontId="8" fillId="0" borderId="0" xfId="0" applyNumberFormat="1" applyFont="1" applyFill="1" applyBorder="1" applyAlignment="1">
      <alignment horizontal="center"/>
    </xf>
    <xf numFmtId="213" fontId="6" fillId="0" borderId="0" xfId="0" applyNumberFormat="1" applyFont="1" applyFill="1" applyBorder="1" applyAlignment="1">
      <alignment horizontal="center"/>
    </xf>
    <xf numFmtId="173" fontId="15" fillId="0" borderId="0" xfId="2" applyNumberFormat="1" applyFont="1" applyFill="1" applyBorder="1" applyAlignment="1">
      <alignment horizontal="center"/>
    </xf>
    <xf numFmtId="40" fontId="6" fillId="0" borderId="0" xfId="0" applyNumberFormat="1" applyFont="1" applyFill="1" applyBorder="1"/>
    <xf numFmtId="191" fontId="12" fillId="0" borderId="0" xfId="0" applyNumberFormat="1" applyFont="1" applyFill="1" applyBorder="1" applyAlignment="1">
      <alignment horizontal="center"/>
    </xf>
    <xf numFmtId="169" fontId="13" fillId="0" borderId="0" xfId="0" applyNumberFormat="1" applyFont="1" applyFill="1" applyBorder="1" applyAlignment="1">
      <alignment horizontal="center"/>
    </xf>
    <xf numFmtId="170" fontId="13" fillId="0" borderId="0" xfId="0" applyNumberFormat="1" applyFont="1" applyFill="1" applyBorder="1" applyAlignment="1">
      <alignment horizontal="center"/>
    </xf>
    <xf numFmtId="191" fontId="0" fillId="0" borderId="0" xfId="0" applyNumberFormat="1" applyBorder="1" applyAlignment="1">
      <alignment horizontal="center"/>
    </xf>
    <xf numFmtId="191" fontId="13" fillId="0" borderId="0" xfId="0" applyNumberFormat="1" applyFont="1" applyBorder="1" applyAlignment="1">
      <alignment horizontal="center"/>
    </xf>
    <xf numFmtId="168" fontId="8" fillId="8" borderId="0" xfId="0" applyNumberFormat="1" applyFont="1" applyFill="1" applyAlignment="1">
      <alignment horizontal="center"/>
    </xf>
    <xf numFmtId="208" fontId="23" fillId="8" borderId="0" xfId="0" applyNumberFormat="1" applyFont="1" applyFill="1" applyAlignment="1">
      <alignment horizontal="center"/>
    </xf>
    <xf numFmtId="3" fontId="6" fillId="8" borderId="0" xfId="0" applyNumberFormat="1" applyFont="1" applyFill="1" applyAlignment="1">
      <alignment horizontal="center"/>
    </xf>
    <xf numFmtId="176" fontId="6" fillId="8" borderId="0" xfId="0" applyNumberFormat="1" applyFont="1" applyFill="1" applyAlignment="1">
      <alignment horizontal="center"/>
    </xf>
    <xf numFmtId="0" fontId="43" fillId="0" borderId="0" xfId="0" applyFont="1" applyFill="1" applyAlignment="1">
      <alignment horizontal="left"/>
    </xf>
    <xf numFmtId="0" fontId="0" fillId="0" borderId="3" xfId="0" applyFill="1" applyBorder="1" applyAlignment="1">
      <alignment horizontal="center"/>
    </xf>
    <xf numFmtId="0" fontId="9" fillId="0" borderId="5" xfId="0" applyFont="1" applyFill="1" applyBorder="1"/>
    <xf numFmtId="1" fontId="12" fillId="7" borderId="0" xfId="0" applyNumberFormat="1" applyFont="1" applyFill="1" applyAlignment="1">
      <alignment horizontal="center"/>
    </xf>
    <xf numFmtId="1" fontId="1" fillId="7" borderId="0" xfId="0" applyNumberFormat="1" applyFont="1" applyFill="1" applyAlignment="1">
      <alignment horizontal="center"/>
    </xf>
    <xf numFmtId="3" fontId="12" fillId="7" borderId="0" xfId="0" applyNumberFormat="1" applyFont="1" applyFill="1" applyAlignment="1">
      <alignment horizontal="center"/>
    </xf>
    <xf numFmtId="0" fontId="12" fillId="7" borderId="0" xfId="0" applyFont="1" applyFill="1" applyAlignment="1">
      <alignment horizontal="center"/>
    </xf>
    <xf numFmtId="167" fontId="13" fillId="0" borderId="6" xfId="0" applyNumberFormat="1" applyFont="1" applyFill="1" applyBorder="1" applyAlignment="1">
      <alignment horizontal="center"/>
    </xf>
    <xf numFmtId="166" fontId="13" fillId="7" borderId="0" xfId="0" applyNumberFormat="1" applyFont="1" applyFill="1" applyBorder="1" applyAlignment="1">
      <alignment horizontal="center"/>
    </xf>
    <xf numFmtId="0" fontId="9" fillId="0" borderId="0" xfId="0" applyFont="1" applyFill="1" applyAlignment="1">
      <alignment horizontal="right"/>
    </xf>
    <xf numFmtId="1" fontId="0" fillId="8" borderId="0" xfId="0" applyNumberFormat="1" applyFill="1"/>
    <xf numFmtId="168" fontId="6" fillId="8" borderId="0" xfId="0" applyNumberFormat="1" applyFont="1" applyFill="1" applyBorder="1" applyAlignment="1">
      <alignment horizontal="center"/>
    </xf>
    <xf numFmtId="9" fontId="1" fillId="8" borderId="0" xfId="2" applyFont="1" applyFill="1" applyAlignment="1">
      <alignment horizontal="center"/>
    </xf>
    <xf numFmtId="9" fontId="6" fillId="8" borderId="0" xfId="2" applyFont="1" applyFill="1" applyAlignment="1">
      <alignment horizontal="center"/>
    </xf>
    <xf numFmtId="0" fontId="0" fillId="0" borderId="0" xfId="0" applyNumberFormat="1" applyFill="1" applyAlignment="1">
      <alignment horizontal="center"/>
    </xf>
    <xf numFmtId="0" fontId="8" fillId="8" borderId="19" xfId="0" applyFont="1" applyFill="1" applyBorder="1" applyAlignment="1">
      <alignment horizontal="left"/>
    </xf>
    <xf numFmtId="0" fontId="8" fillId="8" borderId="0" xfId="0" applyFont="1" applyFill="1" applyBorder="1" applyAlignment="1">
      <alignment horizontal="left"/>
    </xf>
    <xf numFmtId="0" fontId="9" fillId="0" borderId="0" xfId="0" applyFont="1" applyFill="1" applyAlignment="1">
      <alignment wrapText="1"/>
    </xf>
    <xf numFmtId="4" fontId="0" fillId="7" borderId="0" xfId="0" applyNumberFormat="1" applyFill="1" applyAlignment="1">
      <alignment horizontal="center"/>
    </xf>
    <xf numFmtId="4" fontId="0" fillId="0" borderId="0" xfId="0" applyNumberFormat="1" applyFill="1" applyAlignment="1">
      <alignment horizontal="center"/>
    </xf>
    <xf numFmtId="0" fontId="19" fillId="0" borderId="0" xfId="0" applyFont="1" applyFill="1" applyBorder="1"/>
    <xf numFmtId="0" fontId="4" fillId="0" borderId="0" xfId="0" applyFont="1" applyFill="1" applyBorder="1" applyAlignment="1">
      <alignment horizontal="left"/>
    </xf>
    <xf numFmtId="3" fontId="13" fillId="0" borderId="0" xfId="0" applyNumberFormat="1" applyFont="1" applyFill="1" applyAlignment="1">
      <alignment horizontal="center"/>
    </xf>
    <xf numFmtId="0" fontId="13" fillId="0" borderId="0" xfId="0" applyFont="1" applyFill="1" applyBorder="1" applyAlignment="1">
      <alignment horizontal="left"/>
    </xf>
    <xf numFmtId="177" fontId="13" fillId="0" borderId="0" xfId="0" applyNumberFormat="1" applyFont="1" applyFill="1" applyBorder="1" applyAlignment="1">
      <alignment horizontal="center"/>
    </xf>
    <xf numFmtId="0" fontId="31" fillId="8" borderId="0" xfId="0" applyFont="1" applyFill="1" applyAlignment="1">
      <alignment horizontal="center"/>
    </xf>
    <xf numFmtId="167" fontId="31" fillId="8" borderId="0" xfId="0" applyNumberFormat="1" applyFont="1" applyFill="1" applyAlignment="1">
      <alignment horizontal="center"/>
    </xf>
    <xf numFmtId="4" fontId="0" fillId="0" borderId="0" xfId="0" applyNumberFormat="1" applyFill="1" applyBorder="1"/>
    <xf numFmtId="0" fontId="41" fillId="0" borderId="0" xfId="0" applyFont="1" applyFill="1" applyBorder="1"/>
    <xf numFmtId="0" fontId="8" fillId="0" borderId="0" xfId="0" applyFont="1" applyFill="1" applyBorder="1" applyAlignment="1">
      <alignment horizontal="left"/>
    </xf>
    <xf numFmtId="9" fontId="8" fillId="0" borderId="0" xfId="2" applyFont="1" applyFill="1" applyBorder="1" applyAlignment="1">
      <alignment horizontal="center"/>
    </xf>
    <xf numFmtId="0" fontId="6" fillId="0" borderId="0" xfId="0" applyFont="1" applyFill="1" applyBorder="1" applyAlignment="1">
      <alignment vertical="center"/>
    </xf>
    <xf numFmtId="168" fontId="53" fillId="0" borderId="0" xfId="0" applyNumberFormat="1" applyFont="1" applyFill="1" applyBorder="1" applyAlignment="1">
      <alignment horizontal="center"/>
    </xf>
    <xf numFmtId="168" fontId="8" fillId="0" borderId="0" xfId="2" applyNumberFormat="1" applyFont="1" applyFill="1" applyBorder="1" applyAlignment="1">
      <alignment horizontal="center"/>
    </xf>
    <xf numFmtId="0" fontId="23" fillId="3" borderId="0" xfId="0" applyFont="1" applyFill="1" applyBorder="1" applyAlignment="1">
      <alignment horizontal="left" vertical="center"/>
    </xf>
    <xf numFmtId="0" fontId="37" fillId="3" borderId="0" xfId="0" applyFont="1" applyFill="1" applyAlignment="1"/>
    <xf numFmtId="0" fontId="62" fillId="3" borderId="0" xfId="0" applyFont="1" applyFill="1" applyAlignment="1">
      <alignment horizontal="left"/>
    </xf>
    <xf numFmtId="0" fontId="36" fillId="3" borderId="0" xfId="0" applyFont="1" applyFill="1" applyAlignment="1">
      <alignment horizontal="left"/>
    </xf>
    <xf numFmtId="0" fontId="9" fillId="3" borderId="0" xfId="0" applyFont="1" applyFill="1" applyBorder="1" applyAlignment="1">
      <alignment horizontal="center"/>
    </xf>
    <xf numFmtId="0" fontId="0" fillId="3" borderId="0" xfId="0" applyFill="1"/>
    <xf numFmtId="0" fontId="23" fillId="0" borderId="0" xfId="0" applyFont="1" applyFill="1" applyBorder="1" applyAlignment="1">
      <alignment horizontal="left" vertical="center"/>
    </xf>
    <xf numFmtId="0" fontId="23" fillId="4" borderId="0" xfId="0" applyFont="1" applyFill="1"/>
    <xf numFmtId="0" fontId="37" fillId="4" borderId="0" xfId="0" applyFont="1" applyFill="1" applyAlignment="1"/>
    <xf numFmtId="0" fontId="36" fillId="4" borderId="0" xfId="0" applyFont="1" applyFill="1" applyAlignment="1">
      <alignment horizontal="left"/>
    </xf>
    <xf numFmtId="0" fontId="0" fillId="4" borderId="0" xfId="0" applyFill="1" applyBorder="1" applyAlignment="1">
      <alignment horizontal="center"/>
    </xf>
    <xf numFmtId="0" fontId="0" fillId="4" borderId="0" xfId="0" applyFill="1"/>
    <xf numFmtId="0" fontId="37" fillId="0" borderId="0" xfId="0" applyFont="1" applyFill="1" applyAlignment="1"/>
    <xf numFmtId="0" fontId="36" fillId="0" borderId="0" xfId="0" applyFont="1" applyFill="1" applyAlignment="1">
      <alignment horizontal="left"/>
    </xf>
    <xf numFmtId="168" fontId="13" fillId="8" borderId="0" xfId="0" applyNumberFormat="1" applyFont="1" applyFill="1"/>
    <xf numFmtId="168" fontId="12" fillId="8" borderId="0" xfId="0" applyNumberFormat="1" applyFont="1" applyFill="1"/>
    <xf numFmtId="168" fontId="6" fillId="8" borderId="0" xfId="0" applyNumberFormat="1" applyFont="1" applyFill="1" applyAlignment="1">
      <alignment horizontal="center"/>
    </xf>
    <xf numFmtId="168" fontId="0" fillId="8" borderId="0" xfId="0" applyNumberFormat="1" applyFill="1"/>
    <xf numFmtId="168" fontId="1" fillId="8" borderId="0" xfId="0" applyNumberFormat="1" applyFont="1" applyFill="1"/>
    <xf numFmtId="3" fontId="6" fillId="7" borderId="0" xfId="0" applyNumberFormat="1" applyFont="1" applyFill="1" applyAlignment="1">
      <alignment horizontal="center"/>
    </xf>
    <xf numFmtId="177" fontId="12" fillId="7" borderId="0" xfId="0" applyNumberFormat="1" applyFont="1" applyFill="1" applyAlignment="1">
      <alignment horizontal="center"/>
    </xf>
    <xf numFmtId="177" fontId="0" fillId="7" borderId="0" xfId="0" applyNumberFormat="1" applyFill="1" applyAlignment="1">
      <alignment horizontal="center"/>
    </xf>
    <xf numFmtId="178" fontId="0" fillId="7" borderId="0" xfId="0" applyNumberFormat="1" applyFill="1" applyAlignment="1">
      <alignment horizontal="center"/>
    </xf>
    <xf numFmtId="179" fontId="0" fillId="7" borderId="0" xfId="0" applyNumberFormat="1" applyFill="1" applyAlignment="1">
      <alignment horizontal="center"/>
    </xf>
    <xf numFmtId="0" fontId="13" fillId="0" borderId="0" xfId="0" applyFont="1" applyFill="1" applyBorder="1" applyAlignment="1">
      <alignment horizontal="center" vertical="center"/>
    </xf>
    <xf numFmtId="209" fontId="13" fillId="0" borderId="0" xfId="0" applyNumberFormat="1" applyFont="1" applyFill="1" applyBorder="1" applyAlignment="1">
      <alignment horizontal="center"/>
    </xf>
    <xf numFmtId="9" fontId="7" fillId="0" borderId="0" xfId="2" applyFont="1" applyFill="1" applyBorder="1" applyAlignment="1">
      <alignment horizontal="center"/>
    </xf>
    <xf numFmtId="9" fontId="24" fillId="0" borderId="0" xfId="2" applyFont="1" applyFill="1" applyAlignment="1">
      <alignment horizontal="center"/>
    </xf>
    <xf numFmtId="9" fontId="12" fillId="8" borderId="0" xfId="2" applyFont="1" applyFill="1" applyAlignment="1">
      <alignment horizontal="center"/>
    </xf>
    <xf numFmtId="166" fontId="0" fillId="0" borderId="6" xfId="0" applyNumberFormat="1" applyFill="1" applyBorder="1" applyAlignment="1">
      <alignment horizontal="center"/>
    </xf>
    <xf numFmtId="9" fontId="65" fillId="0" borderId="0" xfId="2" applyFont="1" applyFill="1" applyAlignment="1">
      <alignment horizontal="center"/>
    </xf>
    <xf numFmtId="9" fontId="65" fillId="0" borderId="0" xfId="2" applyFont="1" applyFill="1" applyBorder="1" applyAlignment="1">
      <alignment horizontal="center"/>
    </xf>
    <xf numFmtId="168" fontId="4" fillId="0" borderId="6" xfId="0" applyNumberFormat="1" applyFont="1" applyFill="1" applyBorder="1" applyAlignment="1">
      <alignment horizontal="center"/>
    </xf>
    <xf numFmtId="0" fontId="24" fillId="0" borderId="0" xfId="0" applyFont="1" applyFill="1" applyBorder="1" applyAlignment="1">
      <alignment horizontal="center"/>
    </xf>
    <xf numFmtId="9" fontId="24" fillId="0" borderId="0" xfId="2" applyFont="1" applyFill="1" applyBorder="1" applyAlignment="1">
      <alignment horizontal="center"/>
    </xf>
    <xf numFmtId="9" fontId="24" fillId="0" borderId="0" xfId="2" applyFont="1" applyBorder="1" applyAlignment="1">
      <alignment horizontal="center"/>
    </xf>
    <xf numFmtId="9" fontId="4" fillId="0" borderId="0" xfId="2" applyFont="1" applyBorder="1" applyAlignment="1">
      <alignment horizontal="center"/>
    </xf>
    <xf numFmtId="0" fontId="13" fillId="0" borderId="6" xfId="0" applyFont="1" applyBorder="1" applyAlignment="1">
      <alignment horizontal="center"/>
    </xf>
    <xf numFmtId="0" fontId="31" fillId="8" borderId="0" xfId="0" applyFont="1" applyFill="1" applyBorder="1"/>
    <xf numFmtId="0" fontId="19" fillId="8" borderId="0" xfId="0" applyFont="1" applyFill="1" applyBorder="1"/>
    <xf numFmtId="2" fontId="13" fillId="0" borderId="0" xfId="0" applyNumberFormat="1" applyFont="1" applyFill="1" applyBorder="1" applyAlignment="1">
      <alignment horizontal="center"/>
    </xf>
    <xf numFmtId="168" fontId="1" fillId="2" borderId="0" xfId="0" applyNumberFormat="1" applyFont="1" applyFill="1" applyBorder="1" applyAlignment="1">
      <alignment horizontal="center"/>
    </xf>
    <xf numFmtId="2" fontId="13" fillId="0" borderId="6" xfId="0" applyNumberFormat="1" applyFont="1" applyFill="1" applyBorder="1" applyAlignment="1">
      <alignment horizontal="center"/>
    </xf>
    <xf numFmtId="1" fontId="13" fillId="0" borderId="6" xfId="0" applyNumberFormat="1" applyFont="1" applyFill="1" applyBorder="1" applyAlignment="1">
      <alignment horizontal="center"/>
    </xf>
    <xf numFmtId="0" fontId="53" fillId="9" borderId="0" xfId="0" applyFont="1" applyFill="1" applyBorder="1" applyAlignment="1">
      <alignment horizontal="center"/>
    </xf>
    <xf numFmtId="0" fontId="15" fillId="9" borderId="0" xfId="0" applyFont="1" applyFill="1" applyBorder="1"/>
    <xf numFmtId="0" fontId="53" fillId="9" borderId="0" xfId="0" applyFont="1" applyFill="1" applyBorder="1"/>
    <xf numFmtId="0" fontId="15" fillId="9" borderId="0" xfId="0" applyFont="1" applyFill="1" applyBorder="1" applyAlignment="1">
      <alignment horizontal="center"/>
    </xf>
    <xf numFmtId="0" fontId="0" fillId="0" borderId="0" xfId="0" applyFill="1" applyBorder="1" applyAlignment="1"/>
    <xf numFmtId="0" fontId="13" fillId="0" borderId="0" xfId="0" applyFont="1" applyBorder="1" applyAlignment="1">
      <alignment horizontal="center"/>
    </xf>
    <xf numFmtId="0" fontId="13" fillId="0" borderId="0" xfId="0" applyFont="1" applyBorder="1" applyAlignment="1">
      <alignment horizontal="right"/>
    </xf>
    <xf numFmtId="0" fontId="0" fillId="0" borderId="0" xfId="0" applyBorder="1" applyAlignment="1">
      <alignment horizontal="right"/>
    </xf>
    <xf numFmtId="0" fontId="13" fillId="0" borderId="0" xfId="0" applyFont="1" applyFill="1" applyBorder="1" applyAlignment="1">
      <alignment horizontal="right"/>
    </xf>
    <xf numFmtId="0" fontId="4" fillId="0" borderId="0" xfId="0" applyFont="1" applyFill="1" applyBorder="1" applyAlignment="1">
      <alignment horizontal="right"/>
    </xf>
    <xf numFmtId="177" fontId="4" fillId="0" borderId="0" xfId="0" applyNumberFormat="1" applyFont="1" applyFill="1" applyBorder="1" applyAlignment="1">
      <alignment horizontal="left"/>
    </xf>
    <xf numFmtId="210" fontId="34" fillId="0" borderId="0" xfId="0" applyNumberFormat="1" applyFont="1" applyFill="1" applyBorder="1" applyAlignment="1">
      <alignment horizontal="left"/>
    </xf>
    <xf numFmtId="9" fontId="13" fillId="0" borderId="0" xfId="2" applyFont="1" applyFill="1" applyBorder="1" applyAlignment="1">
      <alignment horizontal="left"/>
    </xf>
    <xf numFmtId="191" fontId="13" fillId="0" borderId="0" xfId="2" applyNumberFormat="1" applyFont="1" applyFill="1" applyBorder="1" applyAlignment="1">
      <alignment horizontal="center"/>
    </xf>
    <xf numFmtId="188" fontId="0" fillId="0" borderId="0" xfId="0" applyNumberFormat="1" applyFill="1" applyBorder="1" applyAlignment="1">
      <alignment horizontal="center"/>
    </xf>
    <xf numFmtId="168" fontId="0" fillId="0" borderId="6" xfId="0" applyNumberFormat="1" applyBorder="1" applyAlignment="1">
      <alignment horizontal="center"/>
    </xf>
    <xf numFmtId="204" fontId="12" fillId="0" borderId="0" xfId="0" applyNumberFormat="1" applyFont="1" applyFill="1" applyBorder="1" applyAlignment="1">
      <alignment horizontal="center"/>
    </xf>
    <xf numFmtId="181" fontId="4" fillId="0" borderId="0" xfId="0" applyNumberFormat="1" applyFont="1" applyFill="1" applyBorder="1" applyAlignment="1">
      <alignment horizontal="left"/>
    </xf>
    <xf numFmtId="181" fontId="12" fillId="0" borderId="0" xfId="0" applyNumberFormat="1" applyFont="1" applyFill="1" applyBorder="1" applyAlignment="1">
      <alignment horizontal="center"/>
    </xf>
    <xf numFmtId="185" fontId="0" fillId="0" borderId="0" xfId="0" applyNumberFormat="1" applyFill="1" applyBorder="1" applyAlignment="1">
      <alignment horizontal="center"/>
    </xf>
    <xf numFmtId="10" fontId="0" fillId="0" borderId="0" xfId="2" applyNumberFormat="1" applyFont="1" applyFill="1" applyBorder="1" applyAlignment="1">
      <alignment horizontal="center"/>
    </xf>
    <xf numFmtId="168" fontId="8" fillId="0" borderId="6" xfId="0" applyNumberFormat="1" applyFont="1" applyFill="1" applyBorder="1" applyAlignment="1">
      <alignment horizontal="center"/>
    </xf>
    <xf numFmtId="0" fontId="0" fillId="9" borderId="0" xfId="0" applyFill="1"/>
    <xf numFmtId="0" fontId="13" fillId="9" borderId="0" xfId="0" applyFont="1" applyFill="1"/>
    <xf numFmtId="0" fontId="12" fillId="9" borderId="0" xfId="0" applyFont="1" applyFill="1"/>
    <xf numFmtId="205" fontId="6" fillId="9" borderId="0" xfId="0" applyNumberFormat="1" applyFont="1" applyFill="1" applyAlignment="1">
      <alignment horizontal="center"/>
    </xf>
    <xf numFmtId="0" fontId="6" fillId="9" borderId="0" xfId="0" applyFont="1" applyFill="1"/>
    <xf numFmtId="0" fontId="18" fillId="9" borderId="0" xfId="0" applyFont="1" applyFill="1"/>
    <xf numFmtId="0" fontId="53" fillId="0" borderId="0" xfId="0" applyFont="1" applyBorder="1"/>
    <xf numFmtId="165" fontId="1" fillId="7" borderId="0" xfId="0" applyNumberFormat="1" applyFont="1" applyFill="1" applyBorder="1" applyAlignment="1">
      <alignment horizontal="center"/>
    </xf>
    <xf numFmtId="9" fontId="12" fillId="7" borderId="0" xfId="2" applyFont="1" applyFill="1" applyBorder="1" applyAlignment="1">
      <alignment horizontal="center"/>
    </xf>
    <xf numFmtId="179" fontId="54" fillId="0" borderId="0" xfId="0" applyNumberFormat="1" applyFont="1" applyFill="1" applyBorder="1" applyAlignment="1">
      <alignment horizontal="center"/>
    </xf>
    <xf numFmtId="191" fontId="12" fillId="7" borderId="0" xfId="0" applyNumberFormat="1" applyFont="1" applyFill="1" applyBorder="1" applyAlignment="1">
      <alignment horizontal="center"/>
    </xf>
    <xf numFmtId="173" fontId="1" fillId="7" borderId="0" xfId="2" applyNumberFormat="1" applyFont="1" applyFill="1" applyBorder="1" applyAlignment="1">
      <alignment horizontal="center"/>
    </xf>
    <xf numFmtId="201" fontId="0" fillId="7" borderId="0" xfId="0" applyNumberFormat="1" applyFill="1" applyBorder="1" applyAlignment="1">
      <alignment horizontal="center"/>
    </xf>
    <xf numFmtId="168" fontId="1" fillId="7" borderId="0" xfId="0" applyNumberFormat="1" applyFont="1" applyFill="1" applyBorder="1" applyAlignment="1">
      <alignment horizontal="center"/>
    </xf>
    <xf numFmtId="206" fontId="12" fillId="7" borderId="0" xfId="0" applyNumberFormat="1" applyFont="1" applyFill="1" applyBorder="1" applyAlignment="1">
      <alignment horizontal="center"/>
    </xf>
    <xf numFmtId="165" fontId="1" fillId="0" borderId="0" xfId="0" applyNumberFormat="1" applyFont="1" applyFill="1" applyBorder="1" applyAlignment="1">
      <alignment horizontal="center"/>
    </xf>
    <xf numFmtId="173" fontId="1" fillId="0" borderId="0" xfId="2" applyNumberFormat="1" applyFont="1" applyFill="1" applyBorder="1" applyAlignment="1">
      <alignment horizontal="center"/>
    </xf>
    <xf numFmtId="182" fontId="12" fillId="0" borderId="0" xfId="0" applyNumberFormat="1" applyFont="1" applyFill="1" applyBorder="1" applyAlignment="1">
      <alignment horizontal="center"/>
    </xf>
    <xf numFmtId="0" fontId="0" fillId="2" borderId="0" xfId="0" applyFill="1"/>
    <xf numFmtId="0" fontId="0" fillId="2" borderId="0" xfId="0" applyFill="1" applyBorder="1" applyAlignment="1">
      <alignment horizontal="right"/>
    </xf>
    <xf numFmtId="0" fontId="12" fillId="2" borderId="0" xfId="0" applyFont="1" applyFill="1" applyBorder="1" applyAlignment="1">
      <alignment horizontal="center"/>
    </xf>
    <xf numFmtId="0" fontId="0" fillId="2" borderId="0" xfId="0" applyFill="1" applyBorder="1"/>
    <xf numFmtId="0" fontId="12" fillId="2" borderId="0" xfId="0" applyFont="1" applyFill="1" applyBorder="1" applyAlignment="1">
      <alignment horizontal="right"/>
    </xf>
    <xf numFmtId="179" fontId="12" fillId="2" borderId="0" xfId="0" applyNumberFormat="1" applyFont="1" applyFill="1" applyBorder="1" applyAlignment="1">
      <alignment horizontal="center"/>
    </xf>
    <xf numFmtId="0" fontId="12" fillId="2" borderId="0" xfId="0" applyFont="1" applyFill="1" applyBorder="1" applyAlignment="1">
      <alignment horizontal="center" wrapText="1"/>
    </xf>
    <xf numFmtId="0" fontId="30" fillId="0" borderId="0" xfId="0" applyFont="1" applyFill="1" applyBorder="1"/>
    <xf numFmtId="0" fontId="12" fillId="0" borderId="0" xfId="0" applyFont="1" applyBorder="1" applyAlignment="1">
      <alignment horizontal="left"/>
    </xf>
    <xf numFmtId="191" fontId="0" fillId="7" borderId="0" xfId="0" applyNumberFormat="1" applyFill="1" applyBorder="1" applyAlignment="1">
      <alignment horizontal="center"/>
    </xf>
    <xf numFmtId="0" fontId="54" fillId="8" borderId="0" xfId="0" applyFont="1" applyFill="1" applyBorder="1"/>
    <xf numFmtId="0" fontId="5" fillId="0" borderId="0" xfId="0" applyFont="1" applyFill="1" applyBorder="1"/>
    <xf numFmtId="166" fontId="6" fillId="2" borderId="0" xfId="0" applyNumberFormat="1" applyFont="1" applyFill="1" applyBorder="1" applyAlignment="1">
      <alignment horizontal="center"/>
    </xf>
    <xf numFmtId="0" fontId="6" fillId="2" borderId="0" xfId="0" applyFont="1" applyFill="1" applyBorder="1" applyAlignment="1">
      <alignment horizontal="center"/>
    </xf>
    <xf numFmtId="166" fontId="12" fillId="0" borderId="0" xfId="0" applyNumberFormat="1" applyFont="1" applyFill="1" applyBorder="1" applyAlignment="1">
      <alignment horizontal="center" vertical="center"/>
    </xf>
    <xf numFmtId="166" fontId="12" fillId="2" borderId="0" xfId="0" applyNumberFormat="1" applyFont="1" applyFill="1" applyBorder="1" applyAlignment="1">
      <alignment horizontal="center" vertical="center"/>
    </xf>
    <xf numFmtId="184" fontId="0" fillId="0" borderId="0" xfId="0" applyNumberFormat="1" applyFill="1" applyBorder="1" applyAlignment="1">
      <alignment horizontal="center"/>
    </xf>
    <xf numFmtId="217" fontId="0" fillId="0" borderId="0" xfId="0" applyNumberFormat="1" applyFill="1" applyBorder="1" applyAlignment="1">
      <alignment horizontal="center"/>
    </xf>
    <xf numFmtId="9" fontId="4" fillId="7" borderId="0" xfId="2" applyFill="1" applyBorder="1" applyAlignment="1">
      <alignment horizontal="center"/>
    </xf>
    <xf numFmtId="168" fontId="13" fillId="7" borderId="0" xfId="0" applyNumberFormat="1" applyFont="1" applyFill="1" applyBorder="1" applyAlignment="1">
      <alignment horizontal="center"/>
    </xf>
    <xf numFmtId="0" fontId="42" fillId="9" borderId="0" xfId="0" applyFont="1" applyFill="1"/>
    <xf numFmtId="0" fontId="41" fillId="9" borderId="0" xfId="0" applyFont="1" applyFill="1" applyAlignment="1">
      <alignment horizontal="center"/>
    </xf>
    <xf numFmtId="0" fontId="6" fillId="9" borderId="0" xfId="0" applyFont="1" applyFill="1" applyAlignment="1">
      <alignment vertical="center"/>
    </xf>
    <xf numFmtId="0" fontId="9" fillId="2" borderId="0" xfId="0" applyFont="1" applyFill="1" applyBorder="1" applyAlignment="1">
      <alignment horizontal="center"/>
    </xf>
    <xf numFmtId="0" fontId="51" fillId="9" borderId="0" xfId="0" applyFont="1" applyFill="1" applyAlignment="1">
      <alignment horizontal="center" vertical="center"/>
    </xf>
    <xf numFmtId="0" fontId="1" fillId="0" borderId="0" xfId="0" applyFont="1" applyFill="1" applyBorder="1" applyAlignment="1">
      <alignment horizontal="center"/>
    </xf>
    <xf numFmtId="9" fontId="4" fillId="2" borderId="0" xfId="2" applyFill="1" applyBorder="1" applyAlignment="1">
      <alignment horizontal="center"/>
    </xf>
    <xf numFmtId="196" fontId="0" fillId="0" borderId="0" xfId="0" applyNumberFormat="1" applyFill="1" applyBorder="1" applyAlignment="1">
      <alignment horizontal="right"/>
    </xf>
    <xf numFmtId="9" fontId="24" fillId="2" borderId="0" xfId="2" applyFont="1" applyFill="1" applyAlignment="1">
      <alignment horizontal="center"/>
    </xf>
    <xf numFmtId="9" fontId="24" fillId="2" borderId="0" xfId="2" applyFont="1" applyFill="1" applyBorder="1" applyAlignment="1">
      <alignment horizontal="center"/>
    </xf>
    <xf numFmtId="0" fontId="7" fillId="0" borderId="0" xfId="0" applyFont="1" applyFill="1" applyBorder="1" applyAlignment="1">
      <alignment horizontal="right"/>
    </xf>
    <xf numFmtId="1" fontId="12" fillId="0" borderId="0" xfId="0" applyNumberFormat="1" applyFont="1" applyFill="1" applyBorder="1" applyAlignment="1">
      <alignment horizontal="center"/>
    </xf>
    <xf numFmtId="9" fontId="64" fillId="0" borderId="0" xfId="2" applyFont="1" applyFill="1" applyBorder="1" applyAlignment="1">
      <alignment horizontal="center"/>
    </xf>
    <xf numFmtId="0" fontId="0" fillId="8" borderId="0" xfId="0" applyFill="1" applyBorder="1"/>
    <xf numFmtId="0" fontId="0" fillId="8" borderId="0" xfId="0" applyFill="1" applyBorder="1" applyAlignment="1">
      <alignment horizontal="center"/>
    </xf>
    <xf numFmtId="0" fontId="0" fillId="9" borderId="1" xfId="0" applyFill="1" applyBorder="1"/>
    <xf numFmtId="0" fontId="17" fillId="9" borderId="1" xfId="0" applyFont="1" applyFill="1" applyBorder="1" applyAlignment="1">
      <alignment horizontal="center"/>
    </xf>
    <xf numFmtId="0" fontId="0" fillId="9" borderId="0" xfId="0" applyFill="1" applyBorder="1"/>
    <xf numFmtId="0" fontId="0" fillId="9" borderId="0" xfId="0" applyFill="1" applyBorder="1" applyAlignment="1">
      <alignment horizontal="center"/>
    </xf>
    <xf numFmtId="0" fontId="8" fillId="0" borderId="0" xfId="0" applyFont="1" applyBorder="1"/>
    <xf numFmtId="0" fontId="32" fillId="3" borderId="0" xfId="0" applyFont="1" applyFill="1" applyBorder="1" applyAlignment="1">
      <alignment horizontal="center" vertical="center"/>
    </xf>
    <xf numFmtId="49" fontId="32" fillId="4" borderId="0" xfId="0" applyNumberFormat="1" applyFont="1" applyFill="1" applyBorder="1" applyAlignment="1">
      <alignment horizontal="center" vertical="center"/>
    </xf>
    <xf numFmtId="0" fontId="31" fillId="9" borderId="0" xfId="0" applyFont="1" applyFill="1" applyBorder="1"/>
    <xf numFmtId="0" fontId="32" fillId="9" borderId="0" xfId="0" applyFont="1" applyFill="1" applyBorder="1" applyAlignment="1">
      <alignment horizontal="left" vertical="center"/>
    </xf>
    <xf numFmtId="0" fontId="40" fillId="0" borderId="0" xfId="0" applyFont="1" applyFill="1" applyBorder="1" applyAlignment="1">
      <alignment horizontal="right"/>
    </xf>
    <xf numFmtId="0" fontId="40" fillId="0" borderId="0" xfId="0" applyFont="1" applyFill="1" applyBorder="1"/>
    <xf numFmtId="0" fontId="31" fillId="0" borderId="0" xfId="0" applyFont="1" applyFill="1" applyBorder="1" applyAlignment="1">
      <alignment horizontal="center"/>
    </xf>
    <xf numFmtId="0" fontId="0" fillId="2" borderId="0" xfId="0" applyFill="1" applyBorder="1" applyAlignment="1"/>
    <xf numFmtId="168" fontId="13" fillId="2" borderId="0" xfId="0" applyNumberFormat="1" applyFont="1" applyFill="1" applyBorder="1" applyAlignment="1">
      <alignment horizontal="center"/>
    </xf>
    <xf numFmtId="2" fontId="0" fillId="0" borderId="6" xfId="0" applyNumberFormat="1" applyFill="1" applyBorder="1" applyAlignment="1">
      <alignment horizontal="center"/>
    </xf>
    <xf numFmtId="9" fontId="4" fillId="0" borderId="6" xfId="2" applyFont="1" applyFill="1" applyBorder="1" applyAlignment="1">
      <alignment horizontal="center"/>
    </xf>
    <xf numFmtId="0" fontId="37" fillId="8" borderId="0" xfId="0" applyFont="1" applyFill="1" applyBorder="1"/>
    <xf numFmtId="168" fontId="4" fillId="2" borderId="0" xfId="0" applyNumberFormat="1" applyFont="1" applyFill="1" applyBorder="1" applyAlignment="1">
      <alignment horizontal="center"/>
    </xf>
    <xf numFmtId="207" fontId="13" fillId="0" borderId="0" xfId="0" applyNumberFormat="1" applyFont="1" applyFill="1" applyBorder="1" applyAlignment="1">
      <alignment horizontal="center"/>
    </xf>
    <xf numFmtId="4" fontId="13" fillId="0" borderId="0" xfId="0" applyNumberFormat="1" applyFont="1" applyFill="1" applyBorder="1" applyAlignment="1">
      <alignment horizontal="center"/>
    </xf>
    <xf numFmtId="49" fontId="6" fillId="0" borderId="0" xfId="0" applyNumberFormat="1" applyFont="1" applyFill="1" applyBorder="1" applyAlignment="1">
      <alignment horizontal="left" vertical="center" wrapText="1"/>
    </xf>
    <xf numFmtId="49" fontId="13" fillId="0" borderId="0" xfId="0" applyNumberFormat="1" applyFont="1" applyFill="1" applyBorder="1" applyAlignment="1">
      <alignment vertical="center" wrapText="1"/>
    </xf>
    <xf numFmtId="168" fontId="12" fillId="0" borderId="0" xfId="0" applyNumberFormat="1" applyFont="1" applyFill="1" applyBorder="1" applyAlignment="1">
      <alignment horizontal="center" vertical="center"/>
    </xf>
    <xf numFmtId="172" fontId="13" fillId="0" borderId="0" xfId="0" applyNumberFormat="1" applyFont="1" applyFill="1" applyBorder="1" applyAlignment="1">
      <alignment horizontal="center" vertical="center"/>
    </xf>
    <xf numFmtId="168" fontId="13" fillId="0" borderId="0" xfId="0" applyNumberFormat="1" applyFont="1" applyFill="1" applyBorder="1" applyAlignment="1">
      <alignment horizontal="center" vertical="center"/>
    </xf>
    <xf numFmtId="9" fontId="13" fillId="0" borderId="0" xfId="2" applyFont="1" applyFill="1" applyBorder="1" applyAlignment="1">
      <alignment horizontal="center" vertical="center"/>
    </xf>
    <xf numFmtId="210" fontId="13" fillId="0" borderId="0" xfId="0" applyNumberFormat="1" applyFont="1" applyFill="1" applyBorder="1" applyAlignment="1">
      <alignment horizontal="left"/>
    </xf>
    <xf numFmtId="0" fontId="29" fillId="0" borderId="0" xfId="0" applyFont="1" applyBorder="1" applyAlignment="1">
      <alignment horizontal="right"/>
    </xf>
    <xf numFmtId="49" fontId="4" fillId="0" borderId="0" xfId="0" applyNumberFormat="1" applyFont="1" applyFill="1" applyBorder="1" applyAlignment="1">
      <alignment vertical="center" wrapText="1"/>
    </xf>
    <xf numFmtId="0" fontId="1" fillId="0" borderId="0" xfId="0" applyFont="1" applyBorder="1" applyAlignment="1">
      <alignment horizontal="right"/>
    </xf>
    <xf numFmtId="0" fontId="4" fillId="0" borderId="0" xfId="0" applyFont="1" applyBorder="1" applyAlignment="1">
      <alignment horizontal="right"/>
    </xf>
    <xf numFmtId="199" fontId="12" fillId="0" borderId="0" xfId="0" applyNumberFormat="1" applyFont="1" applyFill="1" applyBorder="1" applyAlignment="1">
      <alignment horizontal="center"/>
    </xf>
    <xf numFmtId="10" fontId="13" fillId="0" borderId="0" xfId="2" applyNumberFormat="1" applyFont="1" applyFill="1" applyBorder="1" applyAlignment="1">
      <alignment horizontal="center"/>
    </xf>
    <xf numFmtId="2" fontId="10" fillId="0" borderId="0" xfId="0" applyNumberFormat="1" applyFont="1" applyFill="1" applyBorder="1" applyAlignment="1">
      <alignment horizontal="center"/>
    </xf>
    <xf numFmtId="9" fontId="12" fillId="0" borderId="0" xfId="2" applyFont="1" applyFill="1" applyBorder="1" applyAlignment="1">
      <alignment horizontal="center" vertical="center"/>
    </xf>
    <xf numFmtId="0" fontId="1" fillId="0" borderId="0" xfId="0" applyFont="1" applyFill="1" applyBorder="1" applyAlignment="1">
      <alignment horizontal="right"/>
    </xf>
    <xf numFmtId="0" fontId="0" fillId="2" borderId="0" xfId="0" applyFill="1" applyBorder="1" applyAlignment="1">
      <alignment horizontal="center" vertical="center"/>
    </xf>
    <xf numFmtId="9" fontId="12" fillId="0" borderId="0" xfId="2" applyFont="1" applyBorder="1" applyAlignment="1">
      <alignment horizontal="center"/>
    </xf>
    <xf numFmtId="0" fontId="0" fillId="2" borderId="0" xfId="0" applyFill="1" applyBorder="1" applyAlignment="1">
      <alignment horizontal="center" vertical="center" wrapText="1"/>
    </xf>
    <xf numFmtId="0" fontId="12" fillId="0" borderId="0" xfId="0" applyFont="1" applyBorder="1" applyAlignment="1">
      <alignment vertical="center" wrapText="1"/>
    </xf>
    <xf numFmtId="191" fontId="0" fillId="0" borderId="6" xfId="0" applyNumberFormat="1" applyFill="1" applyBorder="1" applyAlignment="1">
      <alignment horizontal="center"/>
    </xf>
    <xf numFmtId="9" fontId="12" fillId="0" borderId="0" xfId="0" applyNumberFormat="1" applyFont="1" applyFill="1" applyBorder="1" applyAlignment="1">
      <alignment horizontal="center"/>
    </xf>
    <xf numFmtId="0" fontId="6" fillId="0" borderId="0" xfId="0" applyFont="1" applyBorder="1" applyAlignment="1">
      <alignment vertical="center" wrapText="1"/>
    </xf>
    <xf numFmtId="0" fontId="0" fillId="2" borderId="0" xfId="0" applyFill="1" applyBorder="1" applyAlignment="1">
      <alignment vertical="center"/>
    </xf>
    <xf numFmtId="2" fontId="12" fillId="0" borderId="0" xfId="0" applyNumberFormat="1" applyFont="1" applyFill="1" applyBorder="1"/>
    <xf numFmtId="0" fontId="6" fillId="0" borderId="0" xfId="0" applyFont="1" applyFill="1" applyBorder="1" applyAlignment="1">
      <alignment vertical="center" wrapText="1"/>
    </xf>
    <xf numFmtId="164" fontId="0" fillId="0" borderId="0" xfId="0" applyNumberFormat="1" applyFill="1" applyBorder="1" applyAlignment="1">
      <alignment horizontal="center"/>
    </xf>
    <xf numFmtId="0" fontId="1" fillId="0" borderId="0" xfId="0" applyFont="1" applyBorder="1" applyAlignment="1">
      <alignment horizontal="center"/>
    </xf>
    <xf numFmtId="168" fontId="0" fillId="0" borderId="0" xfId="0" applyNumberFormat="1" applyFill="1" applyBorder="1"/>
    <xf numFmtId="0" fontId="0" fillId="0" borderId="17" xfId="0" applyBorder="1"/>
    <xf numFmtId="0" fontId="0" fillId="0" borderId="12" xfId="0" applyBorder="1" applyAlignment="1">
      <alignment horizontal="center"/>
    </xf>
    <xf numFmtId="191" fontId="0" fillId="0" borderId="12" xfId="0" applyNumberFormat="1" applyFill="1" applyBorder="1" applyAlignment="1">
      <alignment horizontal="center"/>
    </xf>
    <xf numFmtId="191" fontId="13" fillId="0" borderId="12" xfId="0" applyNumberFormat="1" applyFont="1" applyFill="1" applyBorder="1" applyAlignment="1">
      <alignment horizontal="center"/>
    </xf>
    <xf numFmtId="40" fontId="6" fillId="0" borderId="12" xfId="0" applyNumberFormat="1" applyFont="1" applyFill="1" applyBorder="1"/>
    <xf numFmtId="9" fontId="0" fillId="0" borderId="12" xfId="2" applyFont="1" applyFill="1" applyBorder="1" applyAlignment="1">
      <alignment horizontal="center"/>
    </xf>
    <xf numFmtId="168" fontId="0" fillId="0" borderId="12" xfId="0" applyNumberFormat="1" applyFill="1" applyBorder="1" applyAlignment="1">
      <alignment horizontal="center"/>
    </xf>
    <xf numFmtId="168" fontId="4" fillId="0" borderId="13" xfId="0" applyNumberFormat="1" applyFont="1" applyFill="1" applyBorder="1" applyAlignment="1">
      <alignment horizontal="center"/>
    </xf>
    <xf numFmtId="164" fontId="0" fillId="0" borderId="2" xfId="0" applyNumberFormat="1" applyFill="1" applyBorder="1" applyAlignment="1">
      <alignment horizontal="center"/>
    </xf>
    <xf numFmtId="164" fontId="12" fillId="0" borderId="2" xfId="0" applyNumberFormat="1" applyFont="1" applyFill="1" applyBorder="1" applyAlignment="1">
      <alignment horizontal="center"/>
    </xf>
    <xf numFmtId="0" fontId="13" fillId="0" borderId="14" xfId="0" applyFont="1" applyBorder="1"/>
    <xf numFmtId="164" fontId="13" fillId="0" borderId="2" xfId="0" applyNumberFormat="1" applyFont="1" applyFill="1" applyBorder="1" applyAlignment="1">
      <alignment horizontal="center"/>
    </xf>
    <xf numFmtId="0" fontId="4" fillId="0" borderId="14" xfId="0" applyFont="1" applyBorder="1"/>
    <xf numFmtId="0" fontId="0" fillId="0" borderId="18" xfId="0" applyBorder="1"/>
    <xf numFmtId="191" fontId="0" fillId="0" borderId="1" xfId="0" applyNumberFormat="1" applyBorder="1" applyAlignment="1">
      <alignment horizontal="center"/>
    </xf>
    <xf numFmtId="191" fontId="13" fillId="0" borderId="1" xfId="0" applyNumberFormat="1" applyFont="1" applyBorder="1" applyAlignment="1">
      <alignment horizontal="center"/>
    </xf>
    <xf numFmtId="40" fontId="6" fillId="0" borderId="1" xfId="0" applyNumberFormat="1" applyFont="1" applyFill="1" applyBorder="1"/>
    <xf numFmtId="9" fontId="0" fillId="0" borderId="1" xfId="2" applyFont="1" applyFill="1" applyBorder="1" applyAlignment="1">
      <alignment horizontal="center"/>
    </xf>
    <xf numFmtId="169" fontId="0" fillId="0" borderId="1" xfId="0" applyNumberFormat="1" applyFill="1" applyBorder="1" applyAlignment="1">
      <alignment horizontal="center"/>
    </xf>
    <xf numFmtId="170" fontId="0" fillId="0" borderId="1" xfId="0" applyNumberFormat="1" applyFill="1" applyBorder="1" applyAlignment="1">
      <alignment horizontal="center"/>
    </xf>
    <xf numFmtId="164" fontId="0" fillId="0" borderId="15" xfId="0" applyNumberFormat="1" applyFill="1" applyBorder="1" applyAlignment="1">
      <alignment horizontal="center"/>
    </xf>
    <xf numFmtId="0" fontId="0" fillId="9" borderId="17" xfId="0" applyFill="1" applyBorder="1"/>
    <xf numFmtId="0" fontId="0" fillId="9" borderId="12" xfId="0" applyFill="1" applyBorder="1"/>
    <xf numFmtId="0" fontId="4" fillId="9" borderId="13" xfId="0" applyFont="1" applyFill="1" applyBorder="1"/>
    <xf numFmtId="0" fontId="1" fillId="9" borderId="0" xfId="0" applyFont="1" applyFill="1" applyBorder="1"/>
    <xf numFmtId="0" fontId="6" fillId="10" borderId="27" xfId="0" applyFont="1" applyFill="1" applyBorder="1" applyAlignment="1">
      <alignment horizontal="center" vertical="center" wrapText="1"/>
    </xf>
    <xf numFmtId="168" fontId="12" fillId="10" borderId="27" xfId="0" applyNumberFormat="1" applyFont="1" applyFill="1" applyBorder="1" applyAlignment="1">
      <alignment horizontal="center"/>
    </xf>
    <xf numFmtId="168" fontId="12" fillId="10" borderId="23" xfId="0" applyNumberFormat="1" applyFont="1" applyFill="1" applyBorder="1" applyAlignment="1">
      <alignment horizontal="center"/>
    </xf>
    <xf numFmtId="168" fontId="12" fillId="10" borderId="28" xfId="0" applyNumberFormat="1" applyFont="1" applyFill="1" applyBorder="1" applyAlignment="1">
      <alignment horizontal="center"/>
    </xf>
    <xf numFmtId="9" fontId="4" fillId="0" borderId="1" xfId="2" applyFill="1" applyBorder="1" applyAlignment="1">
      <alignment horizontal="center"/>
    </xf>
    <xf numFmtId="0" fontId="0" fillId="9" borderId="13" xfId="0" applyFill="1" applyBorder="1"/>
    <xf numFmtId="0" fontId="0" fillId="9" borderId="1" xfId="0" applyFill="1" applyBorder="1" applyAlignment="1">
      <alignment horizontal="center"/>
    </xf>
    <xf numFmtId="0" fontId="1" fillId="9" borderId="1" xfId="0" applyFont="1" applyFill="1" applyBorder="1" applyAlignment="1">
      <alignment horizontal="center"/>
    </xf>
    <xf numFmtId="0" fontId="1" fillId="9" borderId="1" xfId="0" applyFont="1" applyFill="1" applyBorder="1"/>
    <xf numFmtId="0" fontId="0" fillId="9" borderId="18" xfId="0" applyFill="1" applyBorder="1"/>
    <xf numFmtId="0" fontId="12" fillId="10" borderId="28" xfId="0" applyFont="1" applyFill="1" applyBorder="1" applyAlignment="1">
      <alignment horizontal="center"/>
    </xf>
    <xf numFmtId="0" fontId="38" fillId="0" borderId="0" xfId="0" applyFont="1" applyFill="1"/>
    <xf numFmtId="167" fontId="13" fillId="7" borderId="0" xfId="0" applyNumberFormat="1" applyFont="1" applyFill="1" applyBorder="1" applyAlignment="1">
      <alignment horizontal="center"/>
    </xf>
    <xf numFmtId="166" fontId="13" fillId="7" borderId="0" xfId="0" applyNumberFormat="1" applyFont="1" applyFill="1" applyAlignment="1">
      <alignment horizontal="center"/>
    </xf>
    <xf numFmtId="0" fontId="0" fillId="0" borderId="0" xfId="0" applyBorder="1" applyAlignment="1">
      <alignment horizontal="center" vertical="center"/>
    </xf>
    <xf numFmtId="49" fontId="12" fillId="0" borderId="0" xfId="0" applyNumberFormat="1" applyFont="1" applyFill="1" applyBorder="1" applyAlignment="1"/>
    <xf numFmtId="49" fontId="18" fillId="0" borderId="0" xfId="0" applyNumberFormat="1" applyFont="1" applyFill="1" applyBorder="1" applyAlignment="1">
      <alignment horizontal="center" vertical="center"/>
    </xf>
    <xf numFmtId="0" fontId="4" fillId="0" borderId="6" xfId="0" applyFont="1" applyBorder="1" applyAlignment="1">
      <alignment horizontal="center"/>
    </xf>
    <xf numFmtId="9" fontId="48" fillId="0" borderId="0" xfId="2" applyFont="1" applyFill="1" applyBorder="1" applyAlignment="1">
      <alignment horizontal="center"/>
    </xf>
    <xf numFmtId="9" fontId="10" fillId="0" borderId="0" xfId="2" applyFont="1" applyFill="1" applyBorder="1" applyAlignment="1">
      <alignment horizontal="center"/>
    </xf>
    <xf numFmtId="9" fontId="9" fillId="0" borderId="0" xfId="2" applyFont="1" applyFill="1" applyBorder="1" applyAlignment="1">
      <alignment horizontal="center"/>
    </xf>
    <xf numFmtId="0" fontId="0" fillId="0" borderId="0" xfId="0" applyFill="1" applyBorder="1" applyAlignment="1">
      <alignment vertical="center"/>
    </xf>
    <xf numFmtId="180" fontId="6" fillId="0" borderId="0" xfId="0" applyNumberFormat="1" applyFont="1" applyFill="1" applyBorder="1" applyAlignment="1">
      <alignment horizontal="center" vertical="center"/>
    </xf>
    <xf numFmtId="0" fontId="9" fillId="0" borderId="0" xfId="0" applyFont="1" applyFill="1" applyBorder="1" applyAlignment="1">
      <alignment horizontal="center" vertical="center"/>
    </xf>
    <xf numFmtId="180" fontId="13" fillId="0" borderId="0" xfId="0" applyNumberFormat="1" applyFont="1" applyFill="1" applyBorder="1" applyAlignment="1">
      <alignment horizontal="center" vertical="center"/>
    </xf>
    <xf numFmtId="168" fontId="6" fillId="0" borderId="0" xfId="0" applyNumberFormat="1" applyFont="1" applyFill="1" applyBorder="1" applyAlignment="1">
      <alignment horizontal="center" vertical="center"/>
    </xf>
    <xf numFmtId="173" fontId="6" fillId="0" borderId="0" xfId="2" applyNumberFormat="1" applyFont="1" applyFill="1" applyBorder="1" applyAlignment="1" applyProtection="1">
      <alignment horizontal="center" vertical="center"/>
    </xf>
    <xf numFmtId="0" fontId="6" fillId="0" borderId="0" xfId="0" applyFont="1" applyFill="1" applyBorder="1" applyAlignment="1">
      <alignment horizontal="center" vertical="center" wrapText="1"/>
    </xf>
    <xf numFmtId="0" fontId="0" fillId="0" borderId="0" xfId="0" applyBorder="1" applyAlignment="1">
      <alignment vertical="center"/>
    </xf>
    <xf numFmtId="0" fontId="13" fillId="0" borderId="0" xfId="0" applyFont="1" applyFill="1" applyBorder="1" applyAlignment="1">
      <alignment horizontal="center" vertical="center" wrapText="1"/>
    </xf>
    <xf numFmtId="212" fontId="6" fillId="0" borderId="15" xfId="0" applyNumberFormat="1" applyFont="1" applyFill="1" applyBorder="1" applyAlignment="1">
      <alignment horizontal="center" vertical="center"/>
    </xf>
    <xf numFmtId="49" fontId="6" fillId="0" borderId="0" xfId="0" applyNumberFormat="1" applyFont="1" applyFill="1" applyBorder="1" applyAlignment="1">
      <alignment horizontal="center" vertical="center" wrapText="1"/>
    </xf>
    <xf numFmtId="0" fontId="0" fillId="0" borderId="0" xfId="0" applyFill="1" applyBorder="1" applyAlignment="1">
      <alignment horizontal="center" vertical="center"/>
    </xf>
    <xf numFmtId="49" fontId="9" fillId="0" borderId="0" xfId="0" applyNumberFormat="1" applyFont="1" applyFill="1" applyBorder="1" applyAlignment="1">
      <alignment horizontal="center" vertical="center" wrapText="1"/>
    </xf>
    <xf numFmtId="191" fontId="12" fillId="0" borderId="0" xfId="0" applyNumberFormat="1" applyFont="1" applyFill="1" applyBorder="1" applyAlignment="1">
      <alignment horizontal="center" vertical="center"/>
    </xf>
    <xf numFmtId="204" fontId="6" fillId="0" borderId="0" xfId="0" applyNumberFormat="1" applyFont="1" applyFill="1" applyBorder="1" applyAlignment="1">
      <alignment horizontal="center" vertical="center"/>
    </xf>
    <xf numFmtId="212" fontId="6" fillId="0" borderId="0" xfId="0" applyNumberFormat="1" applyFont="1" applyFill="1" applyBorder="1" applyAlignment="1">
      <alignment horizontal="center" vertical="center"/>
    </xf>
    <xf numFmtId="168" fontId="6" fillId="11" borderId="0" xfId="0" applyNumberFormat="1" applyFont="1" applyFill="1" applyBorder="1" applyAlignment="1">
      <alignment horizontal="center" vertical="center"/>
    </xf>
    <xf numFmtId="173" fontId="12" fillId="11" borderId="0" xfId="2" applyNumberFormat="1" applyFont="1" applyFill="1" applyBorder="1" applyAlignment="1" applyProtection="1">
      <alignment horizontal="center" vertical="center"/>
    </xf>
    <xf numFmtId="0" fontId="8" fillId="11" borderId="0" xfId="0" applyFont="1" applyFill="1" applyBorder="1" applyAlignment="1">
      <alignment horizontal="center" vertical="center" wrapText="1"/>
    </xf>
    <xf numFmtId="0" fontId="6" fillId="0" borderId="0" xfId="0" applyFont="1" applyFill="1" applyBorder="1" applyAlignment="1">
      <alignment horizontal="center" wrapText="1"/>
    </xf>
    <xf numFmtId="49" fontId="8" fillId="11" borderId="0" xfId="0" applyNumberFormat="1" applyFont="1" applyFill="1" applyBorder="1" applyAlignment="1">
      <alignment horizontal="center" vertical="center" wrapText="1"/>
    </xf>
    <xf numFmtId="214" fontId="6" fillId="11" borderId="0" xfId="0" applyNumberFormat="1" applyFont="1" applyFill="1" applyBorder="1" applyAlignment="1">
      <alignment horizontal="center" vertical="center"/>
    </xf>
    <xf numFmtId="173" fontId="13" fillId="11" borderId="0" xfId="2" applyNumberFormat="1" applyFont="1" applyFill="1" applyBorder="1" applyAlignment="1" applyProtection="1">
      <alignment horizontal="center" vertical="center"/>
    </xf>
    <xf numFmtId="180" fontId="6" fillId="11" borderId="0" xfId="0" applyNumberFormat="1" applyFont="1" applyFill="1" applyBorder="1" applyAlignment="1">
      <alignment horizontal="center" vertical="center"/>
    </xf>
    <xf numFmtId="49" fontId="9" fillId="11" borderId="0" xfId="0" applyNumberFormat="1" applyFont="1" applyFill="1" applyBorder="1" applyAlignment="1">
      <alignment horizontal="center" vertical="center" wrapText="1"/>
    </xf>
    <xf numFmtId="177" fontId="6" fillId="11" borderId="0" xfId="0" applyNumberFormat="1" applyFont="1" applyFill="1" applyBorder="1" applyAlignment="1">
      <alignment horizontal="center" vertical="center"/>
    </xf>
    <xf numFmtId="0" fontId="6" fillId="11" borderId="0" xfId="0" applyFont="1" applyFill="1" applyBorder="1" applyAlignment="1">
      <alignment horizontal="center" vertical="center" wrapText="1"/>
    </xf>
    <xf numFmtId="194" fontId="6" fillId="11" borderId="0" xfId="0" applyNumberFormat="1" applyFont="1" applyFill="1" applyBorder="1" applyAlignment="1">
      <alignment horizontal="center" vertical="center"/>
    </xf>
    <xf numFmtId="49" fontId="6" fillId="11" borderId="0" xfId="0" applyNumberFormat="1" applyFont="1" applyFill="1" applyBorder="1" applyAlignment="1">
      <alignment horizontal="center" vertical="center" wrapText="1"/>
    </xf>
    <xf numFmtId="191" fontId="6" fillId="11" borderId="23" xfId="0" applyNumberFormat="1" applyFont="1" applyFill="1" applyBorder="1" applyAlignment="1">
      <alignment horizontal="center" vertical="center"/>
    </xf>
    <xf numFmtId="49" fontId="12" fillId="11" borderId="0" xfId="0" applyNumberFormat="1" applyFont="1" applyFill="1" applyBorder="1" applyAlignment="1">
      <alignment horizontal="center" vertical="center" wrapText="1"/>
    </xf>
    <xf numFmtId="0" fontId="6" fillId="11" borderId="0" xfId="0" applyFont="1" applyFill="1" applyBorder="1" applyAlignment="1">
      <alignment horizontal="center" wrapText="1"/>
    </xf>
    <xf numFmtId="0" fontId="12" fillId="0" borderId="0" xfId="0" applyFont="1" applyBorder="1" applyAlignment="1">
      <alignment vertical="center"/>
    </xf>
    <xf numFmtId="49" fontId="8" fillId="0" borderId="0" xfId="0" applyNumberFormat="1" applyFont="1" applyFill="1" applyBorder="1" applyAlignment="1">
      <alignment horizontal="center"/>
    </xf>
    <xf numFmtId="49" fontId="23" fillId="0" borderId="0" xfId="0" applyNumberFormat="1" applyFont="1" applyFill="1" applyBorder="1" applyAlignment="1">
      <alignment horizontal="center"/>
    </xf>
    <xf numFmtId="0" fontId="9" fillId="0" borderId="0" xfId="0" applyFont="1" applyBorder="1" applyAlignment="1">
      <alignment horizontal="center" vertical="center"/>
    </xf>
    <xf numFmtId="168" fontId="9" fillId="0" borderId="0" xfId="0" applyNumberFormat="1" applyFont="1" applyFill="1" applyBorder="1" applyAlignment="1">
      <alignment horizontal="center" vertical="center"/>
    </xf>
    <xf numFmtId="173" fontId="9" fillId="0" borderId="0" xfId="2" applyNumberFormat="1" applyFont="1" applyFill="1" applyBorder="1" applyAlignment="1" applyProtection="1">
      <alignment horizontal="center" vertical="center"/>
    </xf>
    <xf numFmtId="0" fontId="9" fillId="0" borderId="0" xfId="0" applyFont="1" applyFill="1" applyBorder="1" applyAlignment="1">
      <alignment horizontal="center" vertical="center" wrapText="1"/>
    </xf>
    <xf numFmtId="0" fontId="6" fillId="0" borderId="0" xfId="0" applyFont="1" applyBorder="1" applyAlignment="1">
      <alignment horizontal="center" vertical="center"/>
    </xf>
    <xf numFmtId="192" fontId="6" fillId="0" borderId="0" xfId="0" applyNumberFormat="1" applyFont="1" applyFill="1" applyBorder="1" applyAlignment="1">
      <alignment horizontal="center" vertical="center"/>
    </xf>
    <xf numFmtId="191" fontId="9" fillId="0" borderId="0" xfId="2" applyNumberFormat="1" applyFont="1" applyFill="1" applyBorder="1" applyAlignment="1">
      <alignment horizontal="center"/>
    </xf>
    <xf numFmtId="173" fontId="9" fillId="0" borderId="0" xfId="2" applyNumberFormat="1" applyFont="1" applyFill="1" applyBorder="1" applyAlignment="1" applyProtection="1">
      <alignment horizontal="center"/>
    </xf>
    <xf numFmtId="187" fontId="9" fillId="0" borderId="0" xfId="0" applyNumberFormat="1" applyFont="1" applyFill="1" applyBorder="1" applyAlignment="1">
      <alignment horizontal="center" vertical="center"/>
    </xf>
    <xf numFmtId="9" fontId="9" fillId="0" borderId="0" xfId="0" applyNumberFormat="1" applyFont="1" applyFill="1" applyBorder="1" applyAlignment="1">
      <alignment horizontal="center" vertical="center"/>
    </xf>
    <xf numFmtId="192" fontId="9" fillId="0" borderId="0" xfId="0" applyNumberFormat="1" applyFont="1" applyFill="1" applyBorder="1" applyAlignment="1">
      <alignment horizontal="center" vertical="center"/>
    </xf>
    <xf numFmtId="191" fontId="6" fillId="11" borderId="0" xfId="0" applyNumberFormat="1" applyFont="1" applyFill="1" applyBorder="1" applyAlignment="1">
      <alignment horizontal="center" vertical="center"/>
    </xf>
    <xf numFmtId="173" fontId="13" fillId="11" borderId="0" xfId="2" applyNumberFormat="1" applyFont="1" applyFill="1" applyBorder="1" applyAlignment="1">
      <alignment horizontal="center" vertical="center"/>
    </xf>
    <xf numFmtId="9" fontId="6" fillId="11" borderId="0" xfId="2" applyFont="1" applyFill="1" applyBorder="1" applyAlignment="1">
      <alignment horizontal="center" vertical="center"/>
    </xf>
    <xf numFmtId="9" fontId="6" fillId="11" borderId="0" xfId="2" applyNumberFormat="1" applyFont="1" applyFill="1" applyBorder="1" applyAlignment="1">
      <alignment horizontal="center" vertical="center"/>
    </xf>
    <xf numFmtId="173" fontId="6" fillId="11" borderId="0" xfId="2" applyNumberFormat="1" applyFont="1" applyFill="1" applyBorder="1" applyAlignment="1">
      <alignment horizontal="center" vertical="center"/>
    </xf>
    <xf numFmtId="173" fontId="6" fillId="0" borderId="0" xfId="2" applyNumberFormat="1" applyFont="1" applyFill="1" applyBorder="1" applyAlignment="1">
      <alignment horizontal="center" vertical="center"/>
    </xf>
    <xf numFmtId="173" fontId="9" fillId="11" borderId="0" xfId="2" applyNumberFormat="1" applyFont="1" applyFill="1" applyBorder="1" applyAlignment="1" applyProtection="1">
      <alignment horizontal="center" vertical="center"/>
    </xf>
    <xf numFmtId="9" fontId="13" fillId="11" borderId="0" xfId="2" applyFont="1" applyFill="1" applyAlignment="1">
      <alignment horizontal="center" vertical="center"/>
    </xf>
    <xf numFmtId="215" fontId="6" fillId="11" borderId="0" xfId="0" applyNumberFormat="1" applyFont="1" applyFill="1" applyBorder="1" applyAlignment="1">
      <alignment horizontal="center" vertical="center"/>
    </xf>
    <xf numFmtId="179" fontId="6" fillId="11" borderId="0" xfId="0" applyNumberFormat="1" applyFont="1" applyFill="1" applyBorder="1" applyAlignment="1">
      <alignment horizontal="center" vertical="center"/>
    </xf>
    <xf numFmtId="179" fontId="6" fillId="11" borderId="23" xfId="0" applyNumberFormat="1" applyFont="1" applyFill="1" applyBorder="1" applyAlignment="1">
      <alignment horizontal="center" vertical="center"/>
    </xf>
    <xf numFmtId="0" fontId="36" fillId="9" borderId="0" xfId="0" applyFont="1" applyFill="1" applyAlignment="1">
      <alignment vertical="center" wrapText="1"/>
    </xf>
    <xf numFmtId="0" fontId="51" fillId="0" borderId="0" xfId="0" applyFont="1" applyFill="1" applyAlignment="1">
      <alignment horizontal="left" vertical="center"/>
    </xf>
    <xf numFmtId="0" fontId="32" fillId="3" borderId="0" xfId="0" applyFont="1" applyFill="1" applyAlignment="1">
      <alignment horizontal="left" vertical="center"/>
    </xf>
    <xf numFmtId="0" fontId="32" fillId="4" borderId="0" xfId="0" applyFont="1" applyFill="1" applyAlignment="1">
      <alignment horizontal="left" vertical="center"/>
    </xf>
    <xf numFmtId="0" fontId="0" fillId="0" borderId="0" xfId="0" applyFill="1" applyAlignment="1"/>
    <xf numFmtId="0" fontId="0" fillId="0" borderId="0" xfId="0" applyAlignment="1"/>
    <xf numFmtId="0" fontId="12" fillId="0" borderId="0" xfId="0" applyFont="1" applyAlignment="1">
      <alignment horizontal="left"/>
    </xf>
    <xf numFmtId="0" fontId="9" fillId="0" borderId="0" xfId="0" applyFont="1" applyFill="1" applyBorder="1" applyAlignment="1">
      <alignment horizontal="center"/>
    </xf>
    <xf numFmtId="0" fontId="13" fillId="9" borderId="0" xfId="0" applyFont="1" applyFill="1" applyBorder="1"/>
    <xf numFmtId="0" fontId="12" fillId="9" borderId="0" xfId="0" applyFont="1" applyFill="1" applyBorder="1"/>
    <xf numFmtId="205" fontId="6" fillId="9" borderId="0" xfId="0" applyNumberFormat="1" applyFont="1" applyFill="1" applyBorder="1" applyAlignment="1">
      <alignment horizontal="center"/>
    </xf>
    <xf numFmtId="0" fontId="6" fillId="9" borderId="0" xfId="0" applyFont="1" applyFill="1" applyBorder="1"/>
    <xf numFmtId="0" fontId="18" fillId="9" borderId="0" xfId="0" applyFont="1" applyFill="1" applyBorder="1"/>
    <xf numFmtId="0" fontId="4" fillId="9" borderId="0" xfId="0" applyFont="1" applyFill="1" applyBorder="1"/>
    <xf numFmtId="167" fontId="0" fillId="9" borderId="0" xfId="0" applyNumberFormat="1" applyFill="1" applyBorder="1" applyAlignment="1">
      <alignment horizontal="center"/>
    </xf>
    <xf numFmtId="168" fontId="0" fillId="9" borderId="0" xfId="0" applyNumberFormat="1" applyFill="1" applyBorder="1" applyAlignment="1">
      <alignment horizontal="center"/>
    </xf>
    <xf numFmtId="0" fontId="16" fillId="8" borderId="0" xfId="0" applyFont="1" applyFill="1" applyBorder="1"/>
    <xf numFmtId="209" fontId="66" fillId="7" borderId="0" xfId="0" applyNumberFormat="1" applyFont="1" applyFill="1" applyAlignment="1">
      <alignment horizontal="center"/>
    </xf>
    <xf numFmtId="209" fontId="66" fillId="7" borderId="0" xfId="0" applyNumberFormat="1" applyFont="1" applyFill="1" applyBorder="1" applyAlignment="1">
      <alignment horizontal="center"/>
    </xf>
    <xf numFmtId="0" fontId="32" fillId="9" borderId="0" xfId="0" applyFont="1" applyFill="1" applyAlignment="1">
      <alignment horizontal="left" vertical="center"/>
    </xf>
    <xf numFmtId="0" fontId="51" fillId="9" borderId="0" xfId="0" applyFont="1" applyFill="1" applyAlignment="1">
      <alignment horizontal="left" vertical="center"/>
    </xf>
    <xf numFmtId="0" fontId="38" fillId="0" borderId="0" xfId="0" applyFont="1" applyBorder="1"/>
    <xf numFmtId="0" fontId="9" fillId="0" borderId="0" xfId="0" applyFont="1" applyFill="1" applyBorder="1" applyAlignment="1">
      <alignment horizontal="left" vertical="center" wrapText="1"/>
    </xf>
    <xf numFmtId="166" fontId="4" fillId="0" borderId="6" xfId="0" applyNumberFormat="1" applyFont="1" applyFill="1" applyBorder="1" applyAlignment="1">
      <alignment horizontal="center"/>
    </xf>
    <xf numFmtId="0" fontId="51" fillId="9" borderId="0" xfId="0" applyFont="1" applyFill="1" applyBorder="1" applyAlignment="1">
      <alignment horizontal="left" vertical="center"/>
    </xf>
    <xf numFmtId="0" fontId="13" fillId="7" borderId="0" xfId="0" applyFont="1" applyFill="1" applyBorder="1" applyAlignment="1">
      <alignment horizontal="left"/>
    </xf>
    <xf numFmtId="168" fontId="0" fillId="7" borderId="0" xfId="0" applyNumberFormat="1" applyFill="1" applyAlignment="1">
      <alignment horizontal="center"/>
    </xf>
    <xf numFmtId="9" fontId="4" fillId="0" borderId="0" xfId="2" applyFill="1" applyBorder="1" applyAlignment="1">
      <alignment horizontal="center" vertical="center"/>
    </xf>
    <xf numFmtId="9" fontId="4" fillId="8" borderId="0" xfId="2" applyFill="1" applyBorder="1" applyAlignment="1">
      <alignment horizontal="center"/>
    </xf>
    <xf numFmtId="9" fontId="48" fillId="8" borderId="0" xfId="2" applyFont="1" applyFill="1" applyBorder="1" applyAlignment="1">
      <alignment horizontal="center"/>
    </xf>
    <xf numFmtId="0" fontId="26" fillId="0" borderId="0" xfId="0" applyFont="1" applyFill="1" applyBorder="1"/>
    <xf numFmtId="0" fontId="20" fillId="0" borderId="0" xfId="0" applyFont="1" applyFill="1" applyBorder="1"/>
    <xf numFmtId="187" fontId="0" fillId="0" borderId="0" xfId="0" applyNumberFormat="1" applyFill="1" applyBorder="1"/>
    <xf numFmtId="3" fontId="55" fillId="0" borderId="0" xfId="0" applyNumberFormat="1" applyFont="1" applyFill="1" applyBorder="1"/>
    <xf numFmtId="3" fontId="56" fillId="0" borderId="0" xfId="0" applyNumberFormat="1" applyFont="1" applyFill="1" applyBorder="1"/>
    <xf numFmtId="3" fontId="22" fillId="0" borderId="0" xfId="0" applyNumberFormat="1" applyFont="1" applyFill="1" applyBorder="1"/>
    <xf numFmtId="3" fontId="20" fillId="0" borderId="0" xfId="0" applyNumberFormat="1" applyFont="1" applyFill="1" applyBorder="1"/>
    <xf numFmtId="0" fontId="20" fillId="0" borderId="0" xfId="0" applyFont="1" applyBorder="1"/>
    <xf numFmtId="168" fontId="12" fillId="0" borderId="0" xfId="0" applyNumberFormat="1" applyFont="1" applyBorder="1" applyAlignment="1">
      <alignment horizontal="center"/>
    </xf>
    <xf numFmtId="0" fontId="52" fillId="8" borderId="0" xfId="0" applyFont="1" applyFill="1" applyBorder="1"/>
    <xf numFmtId="0" fontId="52" fillId="8" borderId="0" xfId="0" applyFont="1" applyFill="1" applyBorder="1" applyAlignment="1">
      <alignment horizontal="center"/>
    </xf>
    <xf numFmtId="166" fontId="52" fillId="8" borderId="0" xfId="0" applyNumberFormat="1" applyFont="1" applyFill="1" applyBorder="1" applyAlignment="1">
      <alignment horizontal="center"/>
    </xf>
    <xf numFmtId="167" fontId="52" fillId="8" borderId="0" xfId="0" applyNumberFormat="1" applyFont="1" applyFill="1" applyBorder="1" applyAlignment="1">
      <alignment horizontal="center"/>
    </xf>
    <xf numFmtId="9" fontId="52" fillId="8" borderId="0" xfId="2" applyFont="1" applyFill="1" applyBorder="1" applyAlignment="1">
      <alignment horizontal="center"/>
    </xf>
    <xf numFmtId="0" fontId="19" fillId="8" borderId="0" xfId="0" applyFont="1" applyFill="1" applyBorder="1" applyAlignment="1">
      <alignment horizontal="center"/>
    </xf>
    <xf numFmtId="166" fontId="19" fillId="8" borderId="0" xfId="0" applyNumberFormat="1" applyFont="1" applyFill="1" applyBorder="1" applyAlignment="1">
      <alignment horizontal="center"/>
    </xf>
    <xf numFmtId="167" fontId="19" fillId="8" borderId="0" xfId="0" applyNumberFormat="1" applyFont="1" applyFill="1" applyBorder="1" applyAlignment="1">
      <alignment horizontal="center"/>
    </xf>
    <xf numFmtId="9" fontId="18" fillId="8" borderId="0" xfId="2" applyFont="1" applyFill="1" applyBorder="1" applyAlignment="1">
      <alignment horizontal="center"/>
    </xf>
    <xf numFmtId="0" fontId="32" fillId="8" borderId="0" xfId="0" applyFont="1" applyFill="1" applyBorder="1"/>
    <xf numFmtId="0" fontId="33" fillId="8" borderId="0" xfId="0" applyFont="1" applyFill="1" applyBorder="1"/>
    <xf numFmtId="0" fontId="33" fillId="8" borderId="0" xfId="0" applyFont="1" applyFill="1" applyBorder="1" applyAlignment="1">
      <alignment horizontal="center"/>
    </xf>
    <xf numFmtId="166" fontId="33" fillId="8" borderId="0" xfId="0" applyNumberFormat="1" applyFont="1" applyFill="1" applyBorder="1" applyAlignment="1">
      <alignment horizontal="center"/>
    </xf>
    <xf numFmtId="167" fontId="33" fillId="8" borderId="0" xfId="0" applyNumberFormat="1" applyFont="1" applyFill="1" applyBorder="1" applyAlignment="1">
      <alignment horizontal="center"/>
    </xf>
    <xf numFmtId="9" fontId="25" fillId="8" borderId="0" xfId="2" applyFont="1" applyFill="1" applyBorder="1" applyAlignment="1">
      <alignment horizontal="center"/>
    </xf>
    <xf numFmtId="0" fontId="23" fillId="8" borderId="0" xfId="0" applyFont="1" applyFill="1" applyBorder="1"/>
    <xf numFmtId="9" fontId="67" fillId="8" borderId="0" xfId="2" applyFont="1" applyFill="1" applyBorder="1" applyAlignment="1">
      <alignment horizontal="center"/>
    </xf>
    <xf numFmtId="0" fontId="53" fillId="8" borderId="0" xfId="0" applyFont="1" applyFill="1" applyAlignment="1">
      <alignment horizontal="center"/>
    </xf>
    <xf numFmtId="166" fontId="53" fillId="8" borderId="0" xfId="0" applyNumberFormat="1" applyFont="1" applyFill="1" applyAlignment="1">
      <alignment horizontal="center"/>
    </xf>
    <xf numFmtId="167" fontId="53" fillId="8" borderId="0" xfId="0" applyNumberFormat="1" applyFont="1" applyFill="1" applyAlignment="1">
      <alignment horizontal="center"/>
    </xf>
    <xf numFmtId="0" fontId="8" fillId="0" borderId="29" xfId="0" applyFont="1" applyFill="1" applyBorder="1" applyAlignment="1">
      <alignment horizontal="left"/>
    </xf>
    <xf numFmtId="2" fontId="10" fillId="0" borderId="29" xfId="0" applyNumberFormat="1" applyFont="1" applyFill="1" applyBorder="1" applyAlignment="1">
      <alignment horizontal="center"/>
    </xf>
    <xf numFmtId="167" fontId="10" fillId="0" borderId="29" xfId="0" applyNumberFormat="1" applyFont="1" applyFill="1" applyBorder="1" applyAlignment="1">
      <alignment horizontal="center"/>
    </xf>
    <xf numFmtId="167" fontId="8" fillId="0" borderId="29" xfId="0" applyNumberFormat="1" applyFont="1" applyFill="1" applyBorder="1" applyAlignment="1">
      <alignment horizontal="center"/>
    </xf>
    <xf numFmtId="206" fontId="0" fillId="7" borderId="0" xfId="0" applyNumberFormat="1" applyFill="1" applyBorder="1" applyAlignment="1">
      <alignment horizontal="center"/>
    </xf>
    <xf numFmtId="0" fontId="4" fillId="7" borderId="0" xfId="0" applyFont="1" applyFill="1" applyBorder="1"/>
    <xf numFmtId="206" fontId="0" fillId="0" borderId="0" xfId="0" applyNumberFormat="1" applyFill="1" applyBorder="1" applyAlignment="1">
      <alignment horizontal="center"/>
    </xf>
    <xf numFmtId="0" fontId="0" fillId="0" borderId="0" xfId="0" applyFill="1" applyBorder="1" applyAlignment="1">
      <alignment wrapText="1"/>
    </xf>
    <xf numFmtId="0" fontId="6" fillId="9" borderId="0" xfId="0" applyFont="1" applyFill="1" applyBorder="1" applyAlignment="1"/>
    <xf numFmtId="0" fontId="0" fillId="9" borderId="0" xfId="0" applyFill="1" applyBorder="1" applyAlignment="1"/>
    <xf numFmtId="0" fontId="9" fillId="0" borderId="0" xfId="0" applyFont="1" applyBorder="1" applyAlignment="1">
      <alignment horizontal="center" vertical="center" wrapText="1"/>
    </xf>
    <xf numFmtId="49" fontId="13" fillId="0" borderId="19" xfId="0" applyNumberFormat="1" applyFont="1" applyFill="1" applyBorder="1" applyAlignment="1">
      <alignment vertical="center"/>
    </xf>
    <xf numFmtId="219" fontId="0" fillId="7" borderId="0" xfId="0" applyNumberFormat="1" applyFill="1" applyBorder="1" applyAlignment="1">
      <alignment horizontal="center"/>
    </xf>
    <xf numFmtId="219" fontId="0" fillId="0" borderId="6" xfId="0" applyNumberFormat="1" applyFill="1" applyBorder="1" applyAlignment="1">
      <alignment horizontal="center"/>
    </xf>
    <xf numFmtId="0" fontId="12" fillId="2" borderId="0" xfId="0" applyFont="1" applyFill="1" applyAlignment="1">
      <alignment horizontal="left"/>
    </xf>
    <xf numFmtId="0" fontId="0" fillId="0" borderId="0" xfId="0" applyAlignment="1">
      <alignment horizontal="right" wrapText="1"/>
    </xf>
    <xf numFmtId="220" fontId="34" fillId="7" borderId="0" xfId="0" applyNumberFormat="1" applyFont="1" applyFill="1" applyBorder="1" applyAlignment="1">
      <alignment horizontal="center"/>
    </xf>
    <xf numFmtId="221" fontId="0" fillId="0" borderId="0" xfId="0" applyNumberFormat="1" applyFill="1" applyBorder="1" applyAlignment="1">
      <alignment horizontal="center"/>
    </xf>
    <xf numFmtId="222" fontId="0" fillId="7" borderId="0" xfId="0" applyNumberFormat="1" applyFill="1" applyBorder="1" applyAlignment="1">
      <alignment horizontal="center"/>
    </xf>
    <xf numFmtId="0" fontId="31" fillId="8" borderId="0" xfId="0" applyFont="1" applyFill="1" applyAlignment="1">
      <alignment vertical="center" wrapText="1"/>
    </xf>
    <xf numFmtId="0" fontId="13" fillId="2" borderId="0" xfId="0" applyFont="1" applyFill="1" applyBorder="1" applyAlignment="1">
      <alignment horizontal="center" wrapText="1"/>
    </xf>
    <xf numFmtId="0" fontId="9" fillId="2" borderId="0" xfId="0" applyFont="1" applyFill="1" applyBorder="1" applyAlignment="1">
      <alignment horizontal="center" wrapText="1"/>
    </xf>
    <xf numFmtId="0" fontId="1" fillId="0" borderId="0" xfId="0" applyFont="1" applyFill="1" applyBorder="1" applyAlignment="1">
      <alignment wrapText="1"/>
    </xf>
    <xf numFmtId="223" fontId="17" fillId="9" borderId="0" xfId="0" applyNumberFormat="1" applyFont="1" applyFill="1" applyBorder="1" applyAlignment="1">
      <alignment horizontal="left"/>
    </xf>
    <xf numFmtId="224" fontId="0" fillId="0" borderId="0" xfId="0" applyNumberFormat="1" applyFill="1" applyBorder="1" applyAlignment="1">
      <alignment horizontal="center"/>
    </xf>
    <xf numFmtId="225" fontId="12" fillId="0" borderId="0" xfId="0" applyNumberFormat="1" applyFont="1" applyFill="1" applyBorder="1" applyAlignment="1">
      <alignment horizontal="center"/>
    </xf>
    <xf numFmtId="226" fontId="0" fillId="0" borderId="0" xfId="0" applyNumberFormat="1" applyFill="1" applyBorder="1" applyAlignment="1">
      <alignment horizontal="center"/>
    </xf>
    <xf numFmtId="227" fontId="13" fillId="0" borderId="0" xfId="0" applyNumberFormat="1" applyFont="1" applyFill="1" applyBorder="1" applyAlignment="1">
      <alignment horizontal="center"/>
    </xf>
    <xf numFmtId="228" fontId="12" fillId="0" borderId="0" xfId="0" applyNumberFormat="1" applyFont="1" applyFill="1" applyBorder="1" applyAlignment="1">
      <alignment horizontal="center"/>
    </xf>
    <xf numFmtId="229" fontId="4" fillId="0" borderId="0" xfId="0" applyNumberFormat="1" applyFont="1" applyFill="1" applyAlignment="1">
      <alignment horizontal="left"/>
    </xf>
    <xf numFmtId="229" fontId="12" fillId="0" borderId="0" xfId="0" applyNumberFormat="1" applyFont="1" applyFill="1" applyAlignment="1">
      <alignment horizontal="center"/>
    </xf>
    <xf numFmtId="230" fontId="0" fillId="0" borderId="0" xfId="0" applyNumberFormat="1" applyFill="1" applyBorder="1" applyAlignment="1">
      <alignment horizontal="center"/>
    </xf>
    <xf numFmtId="231" fontId="6" fillId="9" borderId="0" xfId="0" applyNumberFormat="1" applyFont="1" applyFill="1" applyAlignment="1">
      <alignment horizontal="center" vertical="center"/>
    </xf>
    <xf numFmtId="229" fontId="4" fillId="0" borderId="0" xfId="0" applyNumberFormat="1" applyFont="1" applyFill="1" applyBorder="1" applyAlignment="1">
      <alignment horizontal="left"/>
    </xf>
    <xf numFmtId="229" fontId="12" fillId="0" borderId="0" xfId="0" applyNumberFormat="1" applyFont="1" applyFill="1" applyBorder="1" applyAlignment="1">
      <alignment horizontal="center"/>
    </xf>
    <xf numFmtId="230" fontId="13" fillId="0" borderId="0" xfId="0" applyNumberFormat="1" applyFont="1" applyFill="1" applyBorder="1" applyAlignment="1">
      <alignment horizontal="center"/>
    </xf>
    <xf numFmtId="219" fontId="0" fillId="0" borderId="0" xfId="0" applyNumberFormat="1" applyFill="1" applyBorder="1" applyAlignment="1">
      <alignment horizontal="center" vertical="center"/>
    </xf>
    <xf numFmtId="232" fontId="13" fillId="0" borderId="0" xfId="0" applyNumberFormat="1" applyFont="1" applyFill="1" applyBorder="1" applyAlignment="1">
      <alignment horizontal="center"/>
    </xf>
    <xf numFmtId="221" fontId="13" fillId="0" borderId="0" xfId="0" applyNumberFormat="1" applyFont="1" applyFill="1" applyBorder="1" applyAlignment="1">
      <alignment horizontal="center"/>
    </xf>
    <xf numFmtId="227" fontId="0" fillId="0" borderId="0" xfId="0" applyNumberFormat="1" applyFill="1" applyBorder="1" applyAlignment="1">
      <alignment horizontal="center"/>
    </xf>
    <xf numFmtId="0" fontId="0" fillId="0" borderId="0" xfId="0" applyAlignment="1">
      <alignment vertical="center" wrapText="1"/>
    </xf>
    <xf numFmtId="0" fontId="0" fillId="0" borderId="0" xfId="0" applyFill="1" applyAlignment="1">
      <alignment vertical="center" wrapText="1"/>
    </xf>
    <xf numFmtId="0" fontId="0" fillId="0" borderId="0" xfId="0" applyBorder="1" applyAlignment="1">
      <alignment vertical="center" wrapText="1"/>
    </xf>
    <xf numFmtId="0" fontId="0" fillId="0" borderId="0" xfId="0" applyAlignment="1">
      <alignment horizontal="center" vertical="center" wrapText="1"/>
    </xf>
    <xf numFmtId="3" fontId="0" fillId="0" borderId="0" xfId="0" applyNumberFormat="1" applyAlignment="1">
      <alignment horizontal="center" vertical="center" wrapText="1"/>
    </xf>
    <xf numFmtId="0" fontId="0" fillId="9" borderId="14" xfId="0" applyFill="1" applyBorder="1" applyAlignment="1">
      <alignment wrapText="1"/>
    </xf>
    <xf numFmtId="0" fontId="0" fillId="9" borderId="0" xfId="0" applyFill="1" applyBorder="1" applyAlignment="1">
      <alignment wrapText="1"/>
    </xf>
    <xf numFmtId="0" fontId="12" fillId="10" borderId="23" xfId="0" applyFont="1" applyFill="1" applyBorder="1" applyAlignment="1">
      <alignment horizontal="center" wrapText="1"/>
    </xf>
    <xf numFmtId="0" fontId="0" fillId="9" borderId="0" xfId="0" applyFill="1" applyBorder="1" applyAlignment="1">
      <alignment horizontal="center" wrapText="1"/>
    </xf>
    <xf numFmtId="0" fontId="12" fillId="9" borderId="0" xfId="0" applyFont="1" applyFill="1" applyBorder="1" applyAlignment="1">
      <alignment horizontal="center" wrapText="1"/>
    </xf>
    <xf numFmtId="0" fontId="1" fillId="9" borderId="0" xfId="0" applyFont="1" applyFill="1" applyBorder="1" applyAlignment="1">
      <alignment horizontal="center" wrapText="1"/>
    </xf>
    <xf numFmtId="0" fontId="1" fillId="9" borderId="0" xfId="0" applyFont="1" applyFill="1" applyBorder="1" applyAlignment="1">
      <alignment wrapText="1"/>
    </xf>
    <xf numFmtId="0" fontId="1" fillId="9" borderId="2" xfId="0" applyFont="1" applyFill="1" applyBorder="1" applyAlignment="1">
      <alignment horizontal="center" wrapText="1"/>
    </xf>
    <xf numFmtId="0" fontId="0" fillId="0" borderId="0" xfId="0" applyAlignment="1">
      <alignment wrapText="1"/>
    </xf>
    <xf numFmtId="218" fontId="12" fillId="0" borderId="25" xfId="0" applyNumberFormat="1" applyFont="1" applyFill="1" applyBorder="1" applyAlignment="1">
      <alignment horizontal="center"/>
    </xf>
    <xf numFmtId="219" fontId="12" fillId="0" borderId="0" xfId="0" applyNumberFormat="1" applyFont="1" applyFill="1" applyBorder="1" applyAlignment="1">
      <alignment horizontal="center"/>
    </xf>
    <xf numFmtId="233" fontId="0" fillId="7" borderId="0" xfId="0" applyNumberFormat="1" applyFill="1" applyBorder="1" applyAlignment="1">
      <alignment horizontal="center"/>
    </xf>
    <xf numFmtId="219" fontId="13" fillId="0" borderId="0" xfId="0" applyNumberFormat="1" applyFont="1" applyFill="1" applyBorder="1" applyAlignment="1">
      <alignment horizontal="center" vertical="center"/>
    </xf>
    <xf numFmtId="0" fontId="0" fillId="2" borderId="0" xfId="0" applyFill="1" applyBorder="1" applyAlignment="1">
      <alignment horizontal="left" vertical="center"/>
    </xf>
    <xf numFmtId="0" fontId="0" fillId="9" borderId="1" xfId="0" applyFill="1" applyBorder="1" applyAlignment="1">
      <alignment horizontal="center" wrapText="1"/>
    </xf>
    <xf numFmtId="0" fontId="12" fillId="9" borderId="15" xfId="0" applyFont="1" applyFill="1" applyBorder="1" applyAlignment="1">
      <alignment horizontal="center" wrapText="1"/>
    </xf>
    <xf numFmtId="0" fontId="12" fillId="9" borderId="1" xfId="0" applyFont="1" applyFill="1" applyBorder="1" applyAlignment="1">
      <alignment horizontal="center" wrapText="1"/>
    </xf>
    <xf numFmtId="234" fontId="0" fillId="0" borderId="0" xfId="0" applyNumberFormat="1" applyBorder="1" applyAlignment="1">
      <alignment horizontal="center"/>
    </xf>
    <xf numFmtId="234" fontId="0" fillId="0" borderId="2" xfId="0" applyNumberFormat="1" applyBorder="1" applyAlignment="1">
      <alignment horizontal="center"/>
    </xf>
    <xf numFmtId="0" fontId="4" fillId="0" borderId="0" xfId="0" applyFont="1" applyFill="1" applyBorder="1" applyAlignment="1">
      <alignment wrapText="1"/>
    </xf>
    <xf numFmtId="0" fontId="0" fillId="0" borderId="0" xfId="0" applyFill="1" applyBorder="1" applyAlignment="1">
      <alignment horizontal="center" wrapText="1"/>
    </xf>
    <xf numFmtId="166" fontId="0" fillId="0" borderId="0" xfId="0" applyNumberFormat="1" applyFill="1" applyBorder="1" applyAlignment="1">
      <alignment horizontal="center" wrapText="1"/>
    </xf>
    <xf numFmtId="167" fontId="0" fillId="0" borderId="0" xfId="0" applyNumberFormat="1" applyFill="1" applyBorder="1" applyAlignment="1">
      <alignment horizontal="center" wrapText="1"/>
    </xf>
    <xf numFmtId="168" fontId="0" fillId="0" borderId="0" xfId="0" applyNumberFormat="1" applyFill="1" applyBorder="1" applyAlignment="1">
      <alignment horizontal="center" wrapText="1"/>
    </xf>
    <xf numFmtId="9" fontId="24" fillId="0" borderId="0" xfId="2" applyFont="1" applyFill="1" applyBorder="1" applyAlignment="1">
      <alignment horizontal="center" wrapText="1"/>
    </xf>
    <xf numFmtId="0" fontId="0" fillId="0" borderId="0" xfId="0" applyFill="1" applyAlignment="1">
      <alignment wrapText="1"/>
    </xf>
    <xf numFmtId="49" fontId="12" fillId="0" borderId="0" xfId="0" applyNumberFormat="1" applyFont="1" applyFill="1" applyBorder="1" applyAlignment="1">
      <alignment horizontal="left" vertical="center" wrapText="1"/>
    </xf>
    <xf numFmtId="166" fontId="0" fillId="7" borderId="0" xfId="0" applyNumberFormat="1" applyFill="1" applyBorder="1" applyAlignment="1">
      <alignment horizontal="center" wrapText="1"/>
    </xf>
    <xf numFmtId="2" fontId="0" fillId="0" borderId="0" xfId="0" applyNumberFormat="1" applyFill="1" applyBorder="1" applyAlignment="1">
      <alignment horizontal="center" wrapText="1"/>
    </xf>
    <xf numFmtId="4" fontId="0" fillId="0" borderId="0" xfId="0" applyNumberFormat="1" applyFill="1" applyBorder="1" applyAlignment="1">
      <alignment horizontal="center" wrapText="1"/>
    </xf>
    <xf numFmtId="0" fontId="38" fillId="0" borderId="0" xfId="0" applyFont="1" applyAlignment="1">
      <alignment wrapText="1"/>
    </xf>
    <xf numFmtId="0" fontId="13" fillId="0" borderId="0" xfId="0" applyFont="1" applyFill="1" applyBorder="1" applyAlignment="1">
      <alignment horizontal="center" wrapText="1"/>
    </xf>
    <xf numFmtId="9" fontId="4" fillId="0" borderId="0" xfId="2" applyFill="1" applyBorder="1" applyAlignment="1">
      <alignment horizontal="center" wrapText="1"/>
    </xf>
    <xf numFmtId="4" fontId="0" fillId="0" borderId="0" xfId="0" applyNumberFormat="1" applyFill="1" applyAlignment="1">
      <alignment horizontal="center" wrapText="1"/>
    </xf>
    <xf numFmtId="3" fontId="0" fillId="0" borderId="0" xfId="0" applyNumberFormat="1" applyFill="1" applyBorder="1" applyAlignment="1">
      <alignment horizontal="center" wrapText="1"/>
    </xf>
    <xf numFmtId="4" fontId="0" fillId="0" borderId="0" xfId="0" applyNumberFormat="1" applyFill="1" applyBorder="1" applyAlignment="1">
      <alignment wrapText="1"/>
    </xf>
    <xf numFmtId="218" fontId="12" fillId="7" borderId="25" xfId="0" applyNumberFormat="1" applyFont="1" applyFill="1" applyBorder="1" applyAlignment="1">
      <alignment horizontal="center"/>
    </xf>
    <xf numFmtId="3" fontId="4" fillId="7" borderId="0" xfId="0" applyNumberFormat="1" applyFont="1" applyFill="1" applyAlignment="1">
      <alignment horizontal="center"/>
    </xf>
    <xf numFmtId="9" fontId="0" fillId="0" borderId="0" xfId="0" applyNumberFormat="1" applyFill="1"/>
    <xf numFmtId="0" fontId="31" fillId="0" borderId="0" xfId="0" applyFont="1" applyFill="1" applyBorder="1" applyAlignment="1">
      <alignment horizontal="center" vertical="center"/>
    </xf>
    <xf numFmtId="0" fontId="47" fillId="7" borderId="0" xfId="0" applyFont="1" applyFill="1" applyBorder="1" applyAlignment="1">
      <alignment horizontal="left"/>
    </xf>
    <xf numFmtId="166" fontId="1" fillId="2" borderId="0" xfId="0" applyNumberFormat="1" applyFont="1" applyFill="1"/>
    <xf numFmtId="166" fontId="12" fillId="2" borderId="0" xfId="0" applyNumberFormat="1" applyFont="1" applyFill="1" applyAlignment="1">
      <alignment horizontal="center"/>
    </xf>
    <xf numFmtId="191" fontId="14" fillId="0" borderId="0" xfId="0" applyNumberFormat="1" applyFont="1" applyFill="1" applyBorder="1" applyAlignment="1">
      <alignment horizontal="center"/>
    </xf>
    <xf numFmtId="0" fontId="4" fillId="0" borderId="0" xfId="0" applyFont="1" applyAlignment="1">
      <alignment vertical="top"/>
    </xf>
    <xf numFmtId="235" fontId="0" fillId="0" borderId="0" xfId="0" applyNumberFormat="1" applyFill="1" applyAlignment="1">
      <alignment horizontal="center"/>
    </xf>
    <xf numFmtId="191" fontId="0" fillId="7" borderId="0" xfId="0" applyNumberFormat="1" applyFill="1" applyAlignment="1">
      <alignment horizontal="center"/>
    </xf>
    <xf numFmtId="191" fontId="13" fillId="7" borderId="0" xfId="0" applyNumberFormat="1" applyFont="1" applyFill="1" applyBorder="1" applyAlignment="1">
      <alignment horizontal="center"/>
    </xf>
    <xf numFmtId="191" fontId="12" fillId="7" borderId="0" xfId="0" applyNumberFormat="1" applyFont="1" applyFill="1" applyAlignment="1">
      <alignment horizontal="center"/>
    </xf>
    <xf numFmtId="9" fontId="12" fillId="0" borderId="0" xfId="2" applyFont="1" applyAlignment="1">
      <alignment horizontal="center"/>
    </xf>
    <xf numFmtId="203" fontId="0" fillId="7" borderId="0" xfId="0" applyNumberFormat="1" applyFill="1" applyAlignment="1">
      <alignment horizontal="center"/>
    </xf>
    <xf numFmtId="191" fontId="12" fillId="0" borderId="0" xfId="0" applyNumberFormat="1" applyFont="1" applyAlignment="1">
      <alignment horizontal="center"/>
    </xf>
    <xf numFmtId="203" fontId="13" fillId="7" borderId="0" xfId="0" applyNumberFormat="1" applyFont="1" applyFill="1" applyAlignment="1">
      <alignment horizontal="center"/>
    </xf>
    <xf numFmtId="0" fontId="15" fillId="9" borderId="0" xfId="0" applyFont="1" applyFill="1" applyAlignment="1">
      <alignment horizontal="center"/>
    </xf>
    <xf numFmtId="231" fontId="6" fillId="9" borderId="0" xfId="0" applyNumberFormat="1" applyFont="1" applyFill="1" applyAlignment="1">
      <alignment horizontal="center"/>
    </xf>
    <xf numFmtId="0" fontId="17" fillId="9" borderId="0" xfId="0" applyFont="1" applyFill="1" applyAlignment="1">
      <alignment horizontal="center"/>
    </xf>
    <xf numFmtId="0" fontId="74" fillId="0" borderId="0" xfId="0" applyFont="1" applyFill="1" applyBorder="1"/>
    <xf numFmtId="0" fontId="75" fillId="0" borderId="0" xfId="0" applyFont="1" applyFill="1"/>
    <xf numFmtId="0" fontId="32" fillId="8" borderId="0" xfId="0" applyFont="1" applyFill="1" applyBorder="1" applyAlignment="1">
      <alignment horizontal="left" vertical="center"/>
    </xf>
    <xf numFmtId="0" fontId="75" fillId="8" borderId="0" xfId="0" applyFont="1" applyFill="1"/>
    <xf numFmtId="0" fontId="31" fillId="8" borderId="0" xfId="0" applyFont="1" applyFill="1" applyBorder="1" applyAlignment="1">
      <alignment horizontal="center" vertical="center"/>
    </xf>
    <xf numFmtId="1" fontId="0" fillId="0" borderId="0" xfId="0" applyNumberFormat="1"/>
    <xf numFmtId="2" fontId="13" fillId="7" borderId="0" xfId="0" applyNumberFormat="1" applyFont="1" applyFill="1" applyBorder="1" applyAlignment="1">
      <alignment horizontal="center"/>
    </xf>
    <xf numFmtId="167" fontId="73" fillId="8" borderId="30" xfId="0" applyNumberFormat="1" applyFont="1" applyFill="1" applyBorder="1" applyAlignment="1">
      <alignment horizontal="center"/>
    </xf>
    <xf numFmtId="9" fontId="0" fillId="0" borderId="0" xfId="0" applyNumberFormat="1"/>
    <xf numFmtId="9" fontId="0" fillId="7" borderId="0" xfId="0" applyNumberFormat="1" applyFill="1"/>
    <xf numFmtId="0" fontId="37" fillId="8" borderId="0" xfId="0" applyFont="1" applyFill="1"/>
    <xf numFmtId="0" fontId="14" fillId="8" borderId="0" xfId="0" applyFont="1" applyFill="1"/>
    <xf numFmtId="0" fontId="14" fillId="12" borderId="0" xfId="0" applyFont="1" applyFill="1"/>
    <xf numFmtId="9" fontId="14" fillId="4" borderId="0" xfId="0" applyNumberFormat="1" applyFont="1" applyFill="1" applyAlignment="1">
      <alignment horizontal="center"/>
    </xf>
    <xf numFmtId="0" fontId="14" fillId="4" borderId="0" xfId="0" applyFont="1" applyFill="1"/>
    <xf numFmtId="3" fontId="14" fillId="4" borderId="0" xfId="0" applyNumberFormat="1" applyFont="1" applyFill="1" applyAlignment="1">
      <alignment horizontal="center"/>
    </xf>
    <xf numFmtId="0" fontId="0" fillId="9" borderId="0" xfId="0" applyFill="1" applyAlignment="1">
      <alignment horizontal="center"/>
    </xf>
    <xf numFmtId="0" fontId="75" fillId="8" borderId="0" xfId="0" applyFont="1" applyFill="1" applyAlignment="1">
      <alignment horizontal="center"/>
    </xf>
    <xf numFmtId="0" fontId="75" fillId="0" borderId="0" xfId="0" applyFont="1" applyFill="1" applyAlignment="1">
      <alignment horizontal="center"/>
    </xf>
    <xf numFmtId="0" fontId="14" fillId="12" borderId="0" xfId="0" applyFont="1" applyFill="1" applyAlignment="1">
      <alignment horizontal="center"/>
    </xf>
    <xf numFmtId="10" fontId="0" fillId="0" borderId="0" xfId="0" applyNumberFormat="1" applyBorder="1" applyAlignment="1">
      <alignment horizontal="center"/>
    </xf>
    <xf numFmtId="167" fontId="4" fillId="7" borderId="0" xfId="0" applyNumberFormat="1" applyFont="1" applyFill="1" applyAlignment="1">
      <alignment horizontal="center"/>
    </xf>
    <xf numFmtId="1" fontId="4" fillId="0" borderId="0" xfId="0" applyNumberFormat="1" applyFont="1" applyFill="1" applyBorder="1" applyAlignment="1">
      <alignment horizontal="center"/>
    </xf>
    <xf numFmtId="9" fontId="12" fillId="7" borderId="0" xfId="2" applyFont="1" applyFill="1" applyAlignment="1" applyProtection="1">
      <alignment horizontal="center" vertical="center"/>
    </xf>
    <xf numFmtId="167" fontId="6" fillId="8" borderId="0" xfId="0" applyNumberFormat="1" applyFont="1" applyFill="1" applyAlignment="1">
      <alignment horizontal="center"/>
    </xf>
    <xf numFmtId="1" fontId="13" fillId="0" borderId="0" xfId="2" applyNumberFormat="1" applyFont="1" applyFill="1" applyAlignment="1">
      <alignment horizontal="center" vertical="center"/>
    </xf>
    <xf numFmtId="1" fontId="13" fillId="7" borderId="0" xfId="2" applyNumberFormat="1" applyFont="1" applyFill="1" applyAlignment="1" applyProtection="1">
      <alignment horizontal="center" vertical="center"/>
      <protection locked="0"/>
    </xf>
    <xf numFmtId="1" fontId="13" fillId="7" borderId="0" xfId="2" applyNumberFormat="1" applyFont="1" applyFill="1" applyAlignment="1">
      <alignment horizontal="center" vertical="center"/>
    </xf>
    <xf numFmtId="191" fontId="13" fillId="7" borderId="0" xfId="0" applyNumberFormat="1" applyFont="1" applyFill="1" applyAlignment="1">
      <alignment horizontal="center" vertical="center"/>
    </xf>
    <xf numFmtId="0" fontId="18" fillId="8" borderId="0" xfId="0" applyFont="1" applyFill="1" applyBorder="1"/>
    <xf numFmtId="3" fontId="13" fillId="0" borderId="0" xfId="0" applyNumberFormat="1" applyFont="1"/>
    <xf numFmtId="0" fontId="12" fillId="2" borderId="0" xfId="0" applyFont="1" applyFill="1"/>
    <xf numFmtId="1" fontId="12" fillId="8" borderId="0" xfId="0" applyNumberFormat="1" applyFont="1" applyFill="1" applyBorder="1" applyAlignment="1">
      <alignment horizontal="center"/>
    </xf>
    <xf numFmtId="236" fontId="0" fillId="0" borderId="0" xfId="1" applyNumberFormat="1" applyFont="1" applyAlignment="1"/>
    <xf numFmtId="197" fontId="4" fillId="8" borderId="19" xfId="0" applyNumberFormat="1" applyFont="1" applyFill="1" applyBorder="1" applyAlignment="1">
      <alignment horizontal="left"/>
    </xf>
    <xf numFmtId="237" fontId="4" fillId="8" borderId="0" xfId="0" applyNumberFormat="1" applyFont="1" applyFill="1" applyBorder="1" applyAlignment="1">
      <alignment horizontal="left"/>
    </xf>
    <xf numFmtId="238" fontId="54" fillId="2" borderId="0" xfId="0" applyNumberFormat="1" applyFont="1" applyFill="1" applyBorder="1" applyAlignment="1">
      <alignment horizontal="center"/>
    </xf>
    <xf numFmtId="2" fontId="0" fillId="0" borderId="0" xfId="0" applyNumberFormat="1" applyBorder="1"/>
    <xf numFmtId="197" fontId="0" fillId="0" borderId="0" xfId="0" applyNumberFormat="1" applyBorder="1"/>
    <xf numFmtId="239" fontId="1" fillId="0" borderId="0" xfId="0" applyNumberFormat="1" applyFont="1" applyBorder="1"/>
    <xf numFmtId="240" fontId="0" fillId="0" borderId="0" xfId="0" applyNumberFormat="1" applyBorder="1"/>
    <xf numFmtId="239" fontId="0" fillId="0" borderId="0" xfId="0" applyNumberFormat="1" applyBorder="1"/>
    <xf numFmtId="0" fontId="59" fillId="0" borderId="0" xfId="0" applyFont="1" applyBorder="1"/>
    <xf numFmtId="241" fontId="0" fillId="7" borderId="0" xfId="0" applyNumberFormat="1" applyFill="1" applyBorder="1"/>
    <xf numFmtId="242" fontId="0" fillId="7" borderId="0" xfId="0" applyNumberFormat="1" applyFill="1" applyBorder="1"/>
    <xf numFmtId="197" fontId="0" fillId="7" borderId="0" xfId="0" applyNumberFormat="1" applyFill="1" applyBorder="1"/>
    <xf numFmtId="240" fontId="12" fillId="7" borderId="0" xfId="0" applyNumberFormat="1" applyFont="1" applyFill="1" applyBorder="1"/>
    <xf numFmtId="2" fontId="12" fillId="7" borderId="0" xfId="0" applyNumberFormat="1" applyFont="1" applyFill="1" applyBorder="1"/>
    <xf numFmtId="197" fontId="12" fillId="7" borderId="0" xfId="0" applyNumberFormat="1" applyFont="1" applyFill="1" applyBorder="1"/>
    <xf numFmtId="197" fontId="12" fillId="0" borderId="0" xfId="0" applyNumberFormat="1" applyFont="1" applyBorder="1"/>
    <xf numFmtId="239" fontId="12" fillId="0" borderId="16" xfId="0" applyNumberFormat="1" applyFont="1" applyBorder="1"/>
    <xf numFmtId="0" fontId="24" fillId="0" borderId="0" xfId="0" applyFont="1" applyBorder="1"/>
    <xf numFmtId="240" fontId="0" fillId="7" borderId="0" xfId="0" applyNumberFormat="1" applyFill="1" applyBorder="1"/>
    <xf numFmtId="243" fontId="0" fillId="7" borderId="0" xfId="0" applyNumberFormat="1" applyFill="1" applyBorder="1"/>
    <xf numFmtId="239" fontId="0" fillId="0" borderId="6" xfId="0" applyNumberFormat="1" applyBorder="1"/>
    <xf numFmtId="241" fontId="12" fillId="7" borderId="0" xfId="0" applyNumberFormat="1" applyFont="1" applyFill="1" applyBorder="1"/>
    <xf numFmtId="242" fontId="12" fillId="7" borderId="0" xfId="0" applyNumberFormat="1" applyFont="1" applyFill="1" applyBorder="1"/>
    <xf numFmtId="239" fontId="12" fillId="0" borderId="0" xfId="0" applyNumberFormat="1" applyFont="1" applyBorder="1"/>
    <xf numFmtId="243" fontId="13" fillId="7" borderId="0" xfId="0" applyNumberFormat="1" applyFont="1" applyFill="1" applyBorder="1"/>
    <xf numFmtId="197" fontId="13" fillId="7" borderId="0" xfId="0" applyNumberFormat="1" applyFont="1" applyFill="1" applyBorder="1"/>
    <xf numFmtId="197" fontId="13" fillId="0" borderId="0" xfId="0" applyNumberFormat="1" applyFont="1" applyBorder="1"/>
    <xf numFmtId="239" fontId="13" fillId="0" borderId="0" xfId="0" applyNumberFormat="1" applyFont="1" applyBorder="1"/>
    <xf numFmtId="241" fontId="12" fillId="0" borderId="0" xfId="0" applyNumberFormat="1" applyFont="1" applyBorder="1"/>
    <xf numFmtId="242" fontId="12" fillId="0" borderId="0" xfId="0" applyNumberFormat="1" applyFont="1" applyBorder="1"/>
    <xf numFmtId="241" fontId="0" fillId="0" borderId="0" xfId="0" applyNumberFormat="1" applyBorder="1"/>
    <xf numFmtId="242" fontId="0" fillId="0" borderId="0" xfId="0" applyNumberFormat="1" applyBorder="1"/>
    <xf numFmtId="244" fontId="77" fillId="7" borderId="0" xfId="0" applyNumberFormat="1" applyFont="1" applyFill="1" applyBorder="1" applyAlignment="1"/>
    <xf numFmtId="240" fontId="77" fillId="7" borderId="0" xfId="0" applyNumberFormat="1" applyFont="1" applyFill="1" applyBorder="1" applyAlignment="1">
      <alignment horizontal="right"/>
    </xf>
    <xf numFmtId="166" fontId="0" fillId="7" borderId="0" xfId="0" applyNumberFormat="1" applyFill="1" applyBorder="1"/>
    <xf numFmtId="245" fontId="77" fillId="7" borderId="0" xfId="0" applyNumberFormat="1" applyFont="1" applyFill="1" applyBorder="1" applyAlignment="1">
      <alignment horizontal="center"/>
    </xf>
    <xf numFmtId="246" fontId="77" fillId="7" borderId="0" xfId="0" applyNumberFormat="1" applyFont="1" applyFill="1" applyBorder="1" applyAlignment="1">
      <alignment horizontal="right"/>
    </xf>
    <xf numFmtId="0" fontId="77" fillId="7" borderId="0" xfId="0" applyFont="1" applyFill="1" applyBorder="1" applyAlignment="1"/>
    <xf numFmtId="0" fontId="0" fillId="7" borderId="0" xfId="0" applyFill="1" applyBorder="1" applyAlignment="1">
      <alignment horizontal="right"/>
    </xf>
    <xf numFmtId="198" fontId="0" fillId="7" borderId="0" xfId="0" applyNumberFormat="1" applyFill="1" applyBorder="1"/>
    <xf numFmtId="247" fontId="0" fillId="7" borderId="0" xfId="0" applyNumberFormat="1" applyFill="1" applyBorder="1"/>
    <xf numFmtId="9" fontId="4" fillId="0" borderId="0" xfId="0" applyNumberFormat="1" applyFont="1" applyBorder="1"/>
    <xf numFmtId="0" fontId="4" fillId="0" borderId="0" xfId="0" applyFont="1" applyBorder="1" applyAlignment="1"/>
    <xf numFmtId="166" fontId="0" fillId="0" borderId="0" xfId="0" applyNumberFormat="1" applyBorder="1"/>
    <xf numFmtId="243" fontId="0" fillId="0" borderId="0" xfId="0" applyNumberFormat="1" applyBorder="1"/>
    <xf numFmtId="196" fontId="77" fillId="0" borderId="0" xfId="0" applyNumberFormat="1" applyFont="1" applyBorder="1" applyAlignment="1">
      <alignment horizontal="left"/>
    </xf>
    <xf numFmtId="247" fontId="0" fillId="7" borderId="0" xfId="0" applyNumberFormat="1" applyFill="1" applyBorder="1" applyAlignment="1">
      <alignment horizontal="center"/>
    </xf>
    <xf numFmtId="167" fontId="0" fillId="7" borderId="0" xfId="0" applyNumberFormat="1" applyFill="1" applyBorder="1"/>
    <xf numFmtId="167" fontId="0" fillId="0" borderId="0" xfId="0" applyNumberFormat="1" applyBorder="1"/>
    <xf numFmtId="248" fontId="0" fillId="0" borderId="0" xfId="0" applyNumberFormat="1" applyBorder="1"/>
    <xf numFmtId="247" fontId="0" fillId="0" borderId="0" xfId="0" applyNumberFormat="1" applyBorder="1" applyAlignment="1">
      <alignment horizontal="center"/>
    </xf>
    <xf numFmtId="0" fontId="21" fillId="0" borderId="0" xfId="0" applyFont="1" applyBorder="1"/>
    <xf numFmtId="249" fontId="0" fillId="7" borderId="0" xfId="0" applyNumberFormat="1" applyFill="1" applyBorder="1"/>
    <xf numFmtId="239" fontId="0" fillId="7" borderId="0" xfId="0" applyNumberFormat="1" applyFill="1" applyBorder="1"/>
    <xf numFmtId="187" fontId="0" fillId="7" borderId="0" xfId="0" applyNumberFormat="1" applyFill="1" applyBorder="1"/>
    <xf numFmtId="187" fontId="12" fillId="0" borderId="0" xfId="0" applyNumberFormat="1" applyFont="1" applyFill="1" applyBorder="1"/>
    <xf numFmtId="187" fontId="0" fillId="7" borderId="6" xfId="0" applyNumberFormat="1" applyFill="1" applyBorder="1"/>
    <xf numFmtId="249" fontId="0" fillId="7" borderId="0" xfId="0" applyNumberFormat="1" applyFill="1" applyBorder="1" applyAlignment="1">
      <alignment horizontal="center"/>
    </xf>
    <xf numFmtId="243" fontId="0" fillId="7" borderId="0" xfId="0" applyNumberFormat="1" applyFill="1" applyBorder="1" applyAlignment="1">
      <alignment horizontal="center"/>
    </xf>
    <xf numFmtId="0" fontId="77" fillId="0" borderId="0" xfId="0" applyFont="1" applyBorder="1" applyAlignment="1"/>
    <xf numFmtId="245" fontId="77" fillId="0" borderId="0" xfId="0" applyNumberFormat="1" applyFont="1" applyBorder="1" applyAlignment="1">
      <alignment horizontal="center"/>
    </xf>
    <xf numFmtId="246" fontId="77" fillId="0" borderId="0" xfId="0" applyNumberFormat="1" applyFont="1" applyBorder="1" applyAlignment="1">
      <alignment horizontal="right"/>
    </xf>
    <xf numFmtId="247" fontId="0" fillId="0" borderId="0" xfId="0" applyNumberFormat="1" applyBorder="1"/>
    <xf numFmtId="0" fontId="7" fillId="0" borderId="0" xfId="0" applyFont="1" applyBorder="1"/>
    <xf numFmtId="251" fontId="13" fillId="0" borderId="0" xfId="0" applyNumberFormat="1" applyFont="1" applyBorder="1"/>
    <xf numFmtId="247" fontId="0" fillId="0" borderId="0" xfId="0" applyNumberFormat="1" applyBorder="1" applyAlignment="1">
      <alignment horizontal="left"/>
    </xf>
    <xf numFmtId="254" fontId="12" fillId="8" borderId="0" xfId="0" applyNumberFormat="1" applyFont="1" applyFill="1" applyBorder="1" applyAlignment="1">
      <alignment horizontal="center"/>
    </xf>
    <xf numFmtId="195" fontId="0" fillId="8" borderId="0" xfId="0" applyNumberFormat="1" applyFill="1"/>
    <xf numFmtId="2" fontId="78" fillId="0" borderId="0" xfId="0" applyNumberFormat="1" applyFont="1" applyBorder="1" applyAlignment="1">
      <alignment horizontal="center"/>
    </xf>
    <xf numFmtId="0" fontId="2" fillId="0" borderId="0" xfId="0" applyFont="1" applyBorder="1"/>
    <xf numFmtId="249" fontId="0" fillId="0" borderId="0" xfId="0" applyNumberFormat="1" applyBorder="1"/>
    <xf numFmtId="197" fontId="29" fillId="0" borderId="0" xfId="0" applyNumberFormat="1" applyFont="1" applyBorder="1"/>
    <xf numFmtId="239" fontId="2" fillId="0" borderId="0" xfId="0" applyNumberFormat="1" applyFont="1" applyBorder="1"/>
    <xf numFmtId="0" fontId="34" fillId="0" borderId="0" xfId="0" applyFont="1" applyBorder="1"/>
    <xf numFmtId="196" fontId="77" fillId="0" borderId="0" xfId="0" applyNumberFormat="1" applyFont="1" applyBorder="1" applyAlignment="1">
      <alignment horizontal="right"/>
    </xf>
    <xf numFmtId="253" fontId="0" fillId="0" borderId="0" xfId="0" applyNumberFormat="1" applyBorder="1"/>
    <xf numFmtId="0" fontId="54" fillId="0" borderId="0" xfId="0" applyFont="1" applyFill="1" applyBorder="1"/>
    <xf numFmtId="2" fontId="54" fillId="0" borderId="0" xfId="0" applyNumberFormat="1" applyFont="1" applyFill="1" applyBorder="1"/>
    <xf numFmtId="239" fontId="54" fillId="0" borderId="0" xfId="0" applyNumberFormat="1" applyFont="1" applyFill="1" applyBorder="1"/>
    <xf numFmtId="239" fontId="0" fillId="0" borderId="0" xfId="0" applyNumberFormat="1" applyFill="1" applyBorder="1"/>
    <xf numFmtId="2" fontId="6" fillId="0" borderId="0" xfId="0" applyNumberFormat="1" applyFont="1" applyFill="1" applyBorder="1"/>
    <xf numFmtId="239" fontId="8" fillId="0" borderId="0" xfId="0" applyNumberFormat="1" applyFont="1" applyFill="1" applyBorder="1"/>
    <xf numFmtId="0" fontId="1" fillId="0" borderId="0" xfId="0" applyFont="1" applyFill="1" applyBorder="1" applyAlignment="1">
      <alignment horizontal="left"/>
    </xf>
    <xf numFmtId="0" fontId="47" fillId="0" borderId="0" xfId="0" applyFont="1" applyFill="1" applyBorder="1"/>
    <xf numFmtId="0" fontId="47" fillId="0" borderId="0" xfId="0" applyFont="1" applyFill="1" applyBorder="1" applyAlignment="1"/>
    <xf numFmtId="166" fontId="1" fillId="0" borderId="0" xfId="0" applyNumberFormat="1" applyFont="1" applyFill="1" applyBorder="1"/>
    <xf numFmtId="239" fontId="1" fillId="0" borderId="0" xfId="0" applyNumberFormat="1" applyFont="1" applyFill="1" applyBorder="1"/>
    <xf numFmtId="245" fontId="47" fillId="0" borderId="0" xfId="0" applyNumberFormat="1" applyFont="1" applyFill="1" applyBorder="1" applyAlignment="1">
      <alignment horizontal="center"/>
    </xf>
    <xf numFmtId="239" fontId="47" fillId="0" borderId="0" xfId="0" applyNumberFormat="1" applyFont="1" applyFill="1" applyBorder="1" applyAlignment="1">
      <alignment horizontal="center"/>
    </xf>
    <xf numFmtId="0" fontId="4" fillId="7" borderId="0" xfId="0" applyFont="1" applyFill="1" applyBorder="1" applyAlignment="1"/>
    <xf numFmtId="0" fontId="7" fillId="0" borderId="0" xfId="0" applyFont="1" applyBorder="1" applyAlignment="1">
      <alignment horizontal="center"/>
    </xf>
    <xf numFmtId="166" fontId="1" fillId="7" borderId="0" xfId="0" applyNumberFormat="1" applyFont="1" applyFill="1" applyBorder="1"/>
    <xf numFmtId="2" fontId="77" fillId="0" borderId="0" xfId="0" applyNumberFormat="1" applyFont="1" applyBorder="1" applyAlignment="1">
      <alignment horizontal="center"/>
    </xf>
    <xf numFmtId="241" fontId="0" fillId="0" borderId="0" xfId="0" applyNumberFormat="1" applyFill="1" applyBorder="1"/>
    <xf numFmtId="243" fontId="0" fillId="0" borderId="0" xfId="0" applyNumberFormat="1" applyFill="1" applyBorder="1"/>
    <xf numFmtId="197" fontId="0" fillId="0" borderId="0" xfId="0" applyNumberFormat="1" applyFill="1" applyBorder="1"/>
    <xf numFmtId="9" fontId="12" fillId="0" borderId="0" xfId="2" applyFont="1" applyFill="1" applyAlignment="1">
      <alignment horizontal="center"/>
    </xf>
    <xf numFmtId="241" fontId="18" fillId="0" borderId="0" xfId="0" applyNumberFormat="1" applyFont="1" applyFill="1" applyBorder="1"/>
    <xf numFmtId="243" fontId="18" fillId="0" borderId="0" xfId="0" applyNumberFormat="1" applyFont="1" applyFill="1" applyBorder="1"/>
    <xf numFmtId="197" fontId="18" fillId="0" borderId="0" xfId="0" applyNumberFormat="1" applyFont="1" applyFill="1" applyBorder="1"/>
    <xf numFmtId="247" fontId="0" fillId="0" borderId="0" xfId="0" applyNumberFormat="1" applyFill="1" applyBorder="1" applyAlignment="1">
      <alignment horizontal="center"/>
    </xf>
    <xf numFmtId="167" fontId="0" fillId="0" borderId="0" xfId="0" applyNumberFormat="1" applyFill="1" applyBorder="1"/>
    <xf numFmtId="191" fontId="8" fillId="0" borderId="0" xfId="0" applyNumberFormat="1" applyFont="1" applyFill="1" applyBorder="1" applyAlignment="1">
      <alignment horizontal="center"/>
    </xf>
    <xf numFmtId="242" fontId="0" fillId="0" borderId="0" xfId="0" applyNumberFormat="1" applyFill="1" applyBorder="1"/>
    <xf numFmtId="239" fontId="0" fillId="0" borderId="0" xfId="0" applyNumberFormat="1" applyFill="1" applyBorder="1" applyAlignment="1">
      <alignment horizontal="center"/>
    </xf>
    <xf numFmtId="0" fontId="79" fillId="0" borderId="0" xfId="0" applyFont="1" applyFill="1"/>
    <xf numFmtId="0" fontId="67" fillId="0" borderId="0" xfId="0" applyFont="1" applyFill="1"/>
    <xf numFmtId="191" fontId="79" fillId="0" borderId="0" xfId="0" applyNumberFormat="1" applyFont="1" applyFill="1" applyBorder="1" applyAlignment="1">
      <alignment horizontal="center"/>
    </xf>
    <xf numFmtId="9" fontId="80" fillId="0" borderId="0" xfId="2" applyFont="1" applyFill="1" applyAlignment="1">
      <alignment horizontal="center"/>
    </xf>
    <xf numFmtId="0" fontId="80" fillId="0" borderId="0" xfId="0" applyFont="1"/>
    <xf numFmtId="0" fontId="79" fillId="8" borderId="0" xfId="0" applyFont="1" applyFill="1"/>
    <xf numFmtId="0" fontId="67" fillId="8" borderId="0" xfId="0" applyFont="1" applyFill="1"/>
    <xf numFmtId="235" fontId="4" fillId="0" borderId="0" xfId="0" applyNumberFormat="1" applyFont="1" applyFill="1" applyAlignment="1">
      <alignment horizontal="center"/>
    </xf>
    <xf numFmtId="167" fontId="4" fillId="0" borderId="0" xfId="0" applyNumberFormat="1" applyFont="1" applyFill="1" applyAlignment="1">
      <alignment horizontal="center"/>
    </xf>
    <xf numFmtId="191" fontId="4" fillId="7" borderId="0" xfId="0" applyNumberFormat="1" applyFont="1" applyFill="1" applyAlignment="1">
      <alignment horizontal="center"/>
    </xf>
    <xf numFmtId="9" fontId="4" fillId="0" borderId="0" xfId="2" applyFont="1" applyAlignment="1">
      <alignment horizontal="center"/>
    </xf>
    <xf numFmtId="1" fontId="4" fillId="0" borderId="0" xfId="0" applyNumberFormat="1" applyFont="1" applyFill="1" applyAlignment="1">
      <alignment horizontal="center"/>
    </xf>
    <xf numFmtId="191" fontId="4" fillId="7" borderId="0" xfId="0" applyNumberFormat="1" applyFont="1" applyFill="1" applyBorder="1" applyAlignment="1">
      <alignment horizontal="center"/>
    </xf>
    <xf numFmtId="0" fontId="4" fillId="7" borderId="0" xfId="0" applyFont="1" applyFill="1" applyAlignment="1">
      <alignment horizontal="center"/>
    </xf>
    <xf numFmtId="191" fontId="4" fillId="0" borderId="0" xfId="0" applyNumberFormat="1" applyFont="1" applyFill="1" applyBorder="1" applyAlignment="1">
      <alignment horizontal="center"/>
    </xf>
    <xf numFmtId="191" fontId="4" fillId="0" borderId="6" xfId="0" applyNumberFormat="1" applyFont="1" applyFill="1" applyBorder="1" applyAlignment="1">
      <alignment horizontal="center"/>
    </xf>
    <xf numFmtId="191" fontId="1" fillId="7" borderId="0" xfId="0" applyNumberFormat="1" applyFont="1" applyFill="1" applyAlignment="1">
      <alignment horizontal="center"/>
    </xf>
    <xf numFmtId="9" fontId="1" fillId="0" borderId="0" xfId="2" applyFont="1" applyAlignment="1">
      <alignment horizontal="center"/>
    </xf>
    <xf numFmtId="203" fontId="4" fillId="7" borderId="0" xfId="0" applyNumberFormat="1" applyFont="1" applyFill="1" applyAlignment="1">
      <alignment horizontal="center"/>
    </xf>
    <xf numFmtId="191" fontId="1" fillId="0" borderId="0" xfId="0" applyNumberFormat="1" applyFont="1" applyAlignment="1">
      <alignment horizontal="center"/>
    </xf>
    <xf numFmtId="191" fontId="1" fillId="0" borderId="31" xfId="0" applyNumberFormat="1" applyFont="1" applyFill="1" applyBorder="1" applyAlignment="1">
      <alignment horizontal="center"/>
    </xf>
    <xf numFmtId="9" fontId="4" fillId="0" borderId="0" xfId="2" applyFont="1" applyFill="1" applyAlignment="1">
      <alignment horizontal="center"/>
    </xf>
    <xf numFmtId="0" fontId="80" fillId="8" borderId="0" xfId="0" applyFont="1" applyFill="1"/>
    <xf numFmtId="0" fontId="1" fillId="2" borderId="0" xfId="0" applyFont="1" applyFill="1" applyAlignment="1">
      <alignment horizontal="center"/>
    </xf>
    <xf numFmtId="236" fontId="4" fillId="0" borderId="0" xfId="1" applyNumberFormat="1" applyFont="1" applyAlignment="1"/>
    <xf numFmtId="191" fontId="1" fillId="7" borderId="0" xfId="0" applyNumberFormat="1" applyFont="1" applyFill="1" applyBorder="1" applyAlignment="1">
      <alignment horizontal="center"/>
    </xf>
    <xf numFmtId="254" fontId="1" fillId="8" borderId="0" xfId="0" applyNumberFormat="1" applyFont="1" applyFill="1" applyBorder="1" applyAlignment="1">
      <alignment horizontal="center"/>
    </xf>
    <xf numFmtId="0" fontId="4" fillId="8" borderId="0" xfId="0" applyFont="1" applyFill="1"/>
    <xf numFmtId="0" fontId="1" fillId="2" borderId="0" xfId="0" applyFont="1" applyFill="1" applyBorder="1" applyAlignment="1">
      <alignment horizontal="center"/>
    </xf>
    <xf numFmtId="0" fontId="4" fillId="2" borderId="0" xfId="0" applyFont="1" applyFill="1"/>
    <xf numFmtId="197" fontId="4" fillId="0" borderId="0" xfId="0" applyNumberFormat="1" applyFont="1" applyBorder="1"/>
    <xf numFmtId="240" fontId="4" fillId="0" borderId="0" xfId="0" applyNumberFormat="1" applyFont="1" applyBorder="1"/>
    <xf numFmtId="239" fontId="4" fillId="0" borderId="0" xfId="0" applyNumberFormat="1" applyFont="1" applyBorder="1"/>
    <xf numFmtId="0" fontId="81" fillId="0" borderId="0" xfId="0" applyFont="1" applyBorder="1"/>
    <xf numFmtId="0" fontId="82" fillId="0" borderId="0" xfId="0" applyFont="1"/>
    <xf numFmtId="249" fontId="82" fillId="7" borderId="0" xfId="0" applyNumberFormat="1" applyFont="1" applyFill="1" applyBorder="1"/>
    <xf numFmtId="197" fontId="82" fillId="7" borderId="0" xfId="0" applyNumberFormat="1" applyFont="1" applyFill="1" applyBorder="1"/>
    <xf numFmtId="0" fontId="82" fillId="0" borderId="0" xfId="0" applyFont="1" applyBorder="1"/>
    <xf numFmtId="0" fontId="82" fillId="0" borderId="0" xfId="0" applyFont="1" applyFill="1" applyBorder="1"/>
    <xf numFmtId="241" fontId="82" fillId="7" borderId="0" xfId="0" applyNumberFormat="1" applyFont="1" applyFill="1" applyBorder="1"/>
    <xf numFmtId="241" fontId="82" fillId="0" borderId="0" xfId="0" applyNumberFormat="1" applyFont="1" applyFill="1" applyBorder="1"/>
    <xf numFmtId="197" fontId="82" fillId="0" borderId="0" xfId="0" applyNumberFormat="1" applyFont="1" applyFill="1" applyBorder="1"/>
    <xf numFmtId="240" fontId="1" fillId="0" borderId="0" xfId="0" applyNumberFormat="1" applyFont="1" applyFill="1" applyBorder="1"/>
    <xf numFmtId="197" fontId="1" fillId="0" borderId="0" xfId="0" applyNumberFormat="1" applyFont="1" applyFill="1" applyBorder="1"/>
    <xf numFmtId="239" fontId="1" fillId="0" borderId="16" xfId="0" applyNumberFormat="1" applyFont="1" applyBorder="1"/>
    <xf numFmtId="241" fontId="4" fillId="0" borderId="0" xfId="0" applyNumberFormat="1" applyFont="1" applyFill="1" applyBorder="1"/>
    <xf numFmtId="197" fontId="4" fillId="0" borderId="0" xfId="0" applyNumberFormat="1" applyFont="1" applyFill="1" applyBorder="1"/>
    <xf numFmtId="240" fontId="4" fillId="7" borderId="0" xfId="0" applyNumberFormat="1" applyFont="1" applyFill="1" applyBorder="1"/>
    <xf numFmtId="197" fontId="4" fillId="7" borderId="0" xfId="0" applyNumberFormat="1" applyFont="1" applyFill="1" applyBorder="1"/>
    <xf numFmtId="249" fontId="4" fillId="7" borderId="0" xfId="0" applyNumberFormat="1" applyFont="1" applyFill="1" applyBorder="1"/>
    <xf numFmtId="239" fontId="4" fillId="0" borderId="6" xfId="0" applyNumberFormat="1" applyFont="1" applyBorder="1"/>
    <xf numFmtId="241" fontId="1" fillId="7" borderId="0" xfId="0" applyNumberFormat="1" applyFont="1" applyFill="1" applyBorder="1"/>
    <xf numFmtId="197" fontId="1" fillId="7" borderId="0" xfId="0" applyNumberFormat="1" applyFont="1" applyFill="1" applyBorder="1"/>
    <xf numFmtId="239" fontId="4" fillId="7" borderId="0" xfId="0" applyNumberFormat="1" applyFont="1" applyFill="1" applyBorder="1"/>
    <xf numFmtId="241" fontId="1" fillId="0" borderId="0" xfId="0" applyNumberFormat="1" applyFont="1" applyBorder="1"/>
    <xf numFmtId="242" fontId="1" fillId="0" borderId="0" xfId="0" applyNumberFormat="1" applyFont="1" applyBorder="1"/>
    <xf numFmtId="241" fontId="4" fillId="0" borderId="0" xfId="0" applyNumberFormat="1" applyFont="1" applyBorder="1"/>
    <xf numFmtId="242" fontId="4" fillId="0" borderId="0" xfId="0" applyNumberFormat="1" applyFont="1" applyBorder="1"/>
    <xf numFmtId="197" fontId="1" fillId="0" borderId="0" xfId="0" applyNumberFormat="1" applyFont="1" applyFill="1" applyBorder="1" applyAlignment="1">
      <alignment horizontal="center"/>
    </xf>
    <xf numFmtId="242" fontId="4" fillId="0" borderId="0" xfId="0" applyNumberFormat="1" applyFont="1" applyFill="1" applyBorder="1"/>
    <xf numFmtId="239" fontId="1" fillId="0" borderId="0" xfId="0" applyNumberFormat="1" applyFont="1" applyFill="1" applyBorder="1" applyAlignment="1">
      <alignment horizontal="center"/>
    </xf>
    <xf numFmtId="241" fontId="4" fillId="7" borderId="0" xfId="0" applyNumberFormat="1" applyFont="1" applyFill="1" applyBorder="1"/>
    <xf numFmtId="187" fontId="4" fillId="7" borderId="0" xfId="0" applyNumberFormat="1" applyFont="1" applyFill="1" applyBorder="1"/>
    <xf numFmtId="244" fontId="4" fillId="7" borderId="0" xfId="0" applyNumberFormat="1" applyFont="1" applyFill="1" applyBorder="1" applyAlignment="1"/>
    <xf numFmtId="240" fontId="4" fillId="7" borderId="0" xfId="0" applyNumberFormat="1" applyFont="1" applyFill="1" applyBorder="1" applyAlignment="1">
      <alignment horizontal="right"/>
    </xf>
    <xf numFmtId="166" fontId="4" fillId="7" borderId="0" xfId="0" applyNumberFormat="1" applyFont="1" applyFill="1" applyBorder="1"/>
    <xf numFmtId="166" fontId="4" fillId="0" borderId="0" xfId="0" applyNumberFormat="1" applyFont="1" applyBorder="1" applyAlignment="1">
      <alignment horizontal="center"/>
    </xf>
    <xf numFmtId="245" fontId="4" fillId="7" borderId="0" xfId="0" applyNumberFormat="1" applyFont="1" applyFill="1" applyBorder="1" applyAlignment="1">
      <alignment horizontal="center"/>
    </xf>
    <xf numFmtId="246" fontId="4" fillId="7" borderId="0" xfId="0" applyNumberFormat="1" applyFont="1" applyFill="1" applyBorder="1" applyAlignment="1">
      <alignment horizontal="right"/>
    </xf>
    <xf numFmtId="0" fontId="4" fillId="7" borderId="0" xfId="0" applyFont="1" applyFill="1" applyBorder="1" applyAlignment="1">
      <alignment horizontal="right"/>
    </xf>
    <xf numFmtId="198" fontId="4" fillId="7" borderId="0" xfId="0" applyNumberFormat="1" applyFont="1" applyFill="1" applyBorder="1"/>
    <xf numFmtId="247" fontId="4" fillId="7" borderId="0" xfId="0" applyNumberFormat="1" applyFont="1" applyFill="1" applyBorder="1"/>
    <xf numFmtId="187" fontId="4" fillId="7" borderId="6" xfId="0" applyNumberFormat="1" applyFont="1" applyFill="1" applyBorder="1"/>
    <xf numFmtId="166" fontId="4" fillId="0" borderId="0" xfId="0" applyNumberFormat="1" applyFont="1" applyBorder="1"/>
    <xf numFmtId="187" fontId="1" fillId="0" borderId="0" xfId="0" applyNumberFormat="1" applyFont="1" applyFill="1" applyBorder="1"/>
    <xf numFmtId="197" fontId="1" fillId="0" borderId="0" xfId="0" applyNumberFormat="1" applyFont="1" applyBorder="1"/>
    <xf numFmtId="243" fontId="4" fillId="0" borderId="0" xfId="0" applyNumberFormat="1" applyFont="1" applyBorder="1"/>
    <xf numFmtId="249" fontId="4" fillId="7" borderId="0" xfId="0" applyNumberFormat="1" applyFont="1" applyFill="1" applyBorder="1" applyAlignment="1">
      <alignment horizontal="center"/>
    </xf>
    <xf numFmtId="243" fontId="4" fillId="7" borderId="0" xfId="0" applyNumberFormat="1" applyFont="1" applyFill="1" applyBorder="1" applyAlignment="1">
      <alignment horizontal="center"/>
    </xf>
    <xf numFmtId="243" fontId="4" fillId="0" borderId="0" xfId="0" applyNumberFormat="1" applyFont="1" applyFill="1" applyBorder="1"/>
    <xf numFmtId="0" fontId="80" fillId="8" borderId="0" xfId="0" applyFont="1" applyFill="1" applyBorder="1"/>
    <xf numFmtId="241" fontId="80" fillId="8" borderId="0" xfId="0" applyNumberFormat="1" applyFont="1" applyFill="1" applyBorder="1"/>
    <xf numFmtId="243" fontId="80" fillId="8" borderId="0" xfId="0" applyNumberFormat="1" applyFont="1" applyFill="1" applyBorder="1"/>
    <xf numFmtId="197" fontId="80" fillId="8" borderId="0" xfId="0" applyNumberFormat="1" applyFont="1" applyFill="1" applyBorder="1"/>
    <xf numFmtId="239" fontId="1" fillId="8" borderId="0" xfId="0" applyNumberFormat="1" applyFont="1" applyFill="1" applyBorder="1"/>
    <xf numFmtId="243" fontId="4" fillId="7" borderId="0" xfId="0" applyNumberFormat="1" applyFont="1" applyFill="1" applyBorder="1"/>
    <xf numFmtId="196" fontId="4" fillId="0" borderId="0" xfId="0" applyNumberFormat="1" applyFont="1" applyBorder="1" applyAlignment="1">
      <alignment horizontal="left"/>
    </xf>
    <xf numFmtId="248" fontId="4" fillId="7" borderId="0" xfId="0" applyNumberFormat="1" applyFont="1" applyFill="1" applyBorder="1"/>
    <xf numFmtId="247" fontId="4" fillId="7" borderId="0" xfId="0" applyNumberFormat="1" applyFont="1" applyFill="1" applyBorder="1" applyAlignment="1">
      <alignment horizontal="center"/>
    </xf>
    <xf numFmtId="167" fontId="4" fillId="7" borderId="0" xfId="0" applyNumberFormat="1" applyFont="1" applyFill="1" applyBorder="1"/>
    <xf numFmtId="167" fontId="4" fillId="0" borderId="0" xfId="0" applyNumberFormat="1" applyFont="1" applyBorder="1"/>
    <xf numFmtId="248" fontId="4" fillId="0" borderId="0" xfId="0" applyNumberFormat="1" applyFont="1" applyBorder="1"/>
    <xf numFmtId="247" fontId="4" fillId="0" borderId="0" xfId="0" applyNumberFormat="1" applyFont="1" applyBorder="1" applyAlignment="1">
      <alignment horizontal="center"/>
    </xf>
    <xf numFmtId="195" fontId="4" fillId="8" borderId="0" xfId="0" applyNumberFormat="1" applyFont="1" applyFill="1"/>
    <xf numFmtId="238" fontId="1" fillId="2" borderId="0" xfId="0" applyNumberFormat="1" applyFont="1" applyFill="1" applyBorder="1" applyAlignment="1">
      <alignment horizontal="center"/>
    </xf>
    <xf numFmtId="2" fontId="4" fillId="0" borderId="0" xfId="0" applyNumberFormat="1" applyFont="1" applyBorder="1" applyAlignment="1">
      <alignment horizontal="center"/>
    </xf>
    <xf numFmtId="249" fontId="4" fillId="0" borderId="0" xfId="0" applyNumberFormat="1" applyFont="1" applyBorder="1"/>
    <xf numFmtId="249" fontId="80" fillId="0" borderId="0" xfId="0" applyNumberFormat="1" applyFont="1" applyBorder="1"/>
    <xf numFmtId="242" fontId="80" fillId="0" borderId="0" xfId="0" applyNumberFormat="1" applyFont="1" applyBorder="1"/>
    <xf numFmtId="197" fontId="80" fillId="7" borderId="0" xfId="0" applyNumberFormat="1" applyFont="1" applyFill="1" applyBorder="1"/>
    <xf numFmtId="197" fontId="80" fillId="0" borderId="0" xfId="0" applyNumberFormat="1" applyFont="1" applyBorder="1"/>
    <xf numFmtId="0" fontId="80" fillId="0" borderId="0" xfId="0" applyFont="1" applyBorder="1"/>
    <xf numFmtId="0" fontId="80" fillId="0" borderId="0" xfId="0" applyFont="1" applyFill="1" applyBorder="1"/>
    <xf numFmtId="241" fontId="80" fillId="0" borderId="0" xfId="0" applyNumberFormat="1" applyFont="1" applyBorder="1"/>
    <xf numFmtId="2" fontId="1" fillId="0" borderId="0" xfId="0" applyNumberFormat="1" applyFont="1" applyFill="1" applyBorder="1"/>
    <xf numFmtId="197" fontId="3" fillId="0" borderId="0" xfId="0" applyNumberFormat="1" applyFont="1" applyBorder="1"/>
    <xf numFmtId="198" fontId="1" fillId="0" borderId="0" xfId="0" applyNumberFormat="1" applyFont="1" applyFill="1" applyBorder="1" applyAlignment="1">
      <alignment horizontal="center"/>
    </xf>
    <xf numFmtId="250" fontId="1" fillId="0" borderId="0" xfId="0" applyNumberFormat="1" applyFont="1" applyFill="1" applyBorder="1" applyAlignment="1">
      <alignment horizontal="center"/>
    </xf>
    <xf numFmtId="196" fontId="4" fillId="0" borderId="0" xfId="0" applyNumberFormat="1" applyFont="1" applyBorder="1" applyAlignment="1">
      <alignment horizontal="right"/>
    </xf>
    <xf numFmtId="245" fontId="4" fillId="0" borderId="0" xfId="0" applyNumberFormat="1" applyFont="1" applyBorder="1" applyAlignment="1">
      <alignment horizontal="center"/>
    </xf>
    <xf numFmtId="166" fontId="4" fillId="7" borderId="0" xfId="0" applyNumberFormat="1" applyFont="1" applyFill="1" applyBorder="1" applyAlignment="1">
      <alignment horizontal="center"/>
    </xf>
    <xf numFmtId="246" fontId="4" fillId="0" borderId="0" xfId="0" applyNumberFormat="1" applyFont="1" applyBorder="1" applyAlignment="1">
      <alignment horizontal="right"/>
    </xf>
    <xf numFmtId="166" fontId="4" fillId="0" borderId="0" xfId="0" applyNumberFormat="1" applyFont="1" applyFill="1" applyBorder="1"/>
    <xf numFmtId="0" fontId="4" fillId="0" borderId="0" xfId="0" applyFont="1" applyFill="1" applyBorder="1" applyAlignment="1"/>
    <xf numFmtId="245" fontId="4" fillId="0" borderId="0" xfId="0" applyNumberFormat="1" applyFont="1" applyFill="1" applyBorder="1" applyAlignment="1">
      <alignment horizontal="center"/>
    </xf>
    <xf numFmtId="239" fontId="4" fillId="0" borderId="0" xfId="0" applyNumberFormat="1" applyFont="1" applyFill="1" applyBorder="1" applyAlignment="1">
      <alignment horizontal="center"/>
    </xf>
    <xf numFmtId="247" fontId="4" fillId="0" borderId="0" xfId="0" applyNumberFormat="1" applyFont="1" applyBorder="1"/>
    <xf numFmtId="251" fontId="4" fillId="0" borderId="0" xfId="0" applyNumberFormat="1" applyFont="1" applyBorder="1"/>
    <xf numFmtId="247" fontId="4" fillId="0" borderId="0" xfId="0" applyNumberFormat="1" applyFont="1" applyBorder="1" applyAlignment="1">
      <alignment horizontal="left"/>
    </xf>
    <xf numFmtId="253" fontId="4" fillId="0" borderId="0" xfId="0" applyNumberFormat="1" applyFont="1" applyBorder="1"/>
    <xf numFmtId="0" fontId="79" fillId="8" borderId="0" xfId="0" applyFont="1" applyFill="1" applyBorder="1"/>
    <xf numFmtId="0" fontId="67" fillId="8" borderId="0" xfId="0" applyFont="1" applyFill="1" applyBorder="1"/>
    <xf numFmtId="239" fontId="67" fillId="8" borderId="0" xfId="0" applyNumberFormat="1" applyFont="1" applyFill="1" applyBorder="1"/>
    <xf numFmtId="239" fontId="32" fillId="8" borderId="0" xfId="0" applyNumberFormat="1" applyFont="1" applyFill="1" applyBorder="1"/>
    <xf numFmtId="0" fontId="71" fillId="0" borderId="0" xfId="0" applyFont="1" applyFill="1" applyBorder="1" applyAlignment="1">
      <alignment horizontal="center"/>
    </xf>
    <xf numFmtId="198" fontId="65" fillId="0" borderId="0" xfId="0" applyNumberFormat="1" applyFont="1" applyFill="1" applyBorder="1" applyAlignment="1">
      <alignment horizontal="center"/>
    </xf>
    <xf numFmtId="250" fontId="65" fillId="0" borderId="0" xfId="0" applyNumberFormat="1" applyFont="1" applyFill="1" applyBorder="1" applyAlignment="1">
      <alignment horizontal="center"/>
    </xf>
    <xf numFmtId="0" fontId="20" fillId="8" borderId="0" xfId="0" applyFont="1" applyFill="1"/>
    <xf numFmtId="9" fontId="12" fillId="2" borderId="0" xfId="2" applyFont="1" applyFill="1" applyBorder="1" applyAlignment="1">
      <alignment horizontal="center"/>
    </xf>
    <xf numFmtId="9" fontId="65" fillId="2" borderId="0" xfId="2" applyFont="1" applyFill="1" applyAlignment="1">
      <alignment horizontal="center"/>
    </xf>
    <xf numFmtId="252" fontId="0" fillId="0" borderId="0" xfId="0" applyNumberFormat="1" applyFill="1" applyBorder="1" applyAlignment="1">
      <alignment horizontal="center"/>
    </xf>
    <xf numFmtId="0" fontId="12" fillId="8" borderId="0" xfId="0" applyFont="1" applyFill="1" applyAlignment="1">
      <alignment horizontal="center"/>
    </xf>
    <xf numFmtId="0" fontId="12" fillId="0" borderId="0" xfId="0" applyFont="1" applyAlignment="1">
      <alignment horizontal="center"/>
    </xf>
    <xf numFmtId="253" fontId="0" fillId="7" borderId="0" xfId="0" applyNumberFormat="1" applyFill="1" applyAlignment="1">
      <alignment horizontal="center"/>
    </xf>
    <xf numFmtId="253" fontId="0" fillId="0" borderId="0" xfId="0" applyNumberFormat="1" applyAlignment="1">
      <alignment horizontal="center"/>
    </xf>
    <xf numFmtId="1" fontId="12" fillId="8" borderId="0" xfId="0" applyNumberFormat="1" applyFont="1" applyFill="1" applyAlignment="1">
      <alignment horizontal="center"/>
    </xf>
    <xf numFmtId="253" fontId="4" fillId="0" borderId="0" xfId="0" applyNumberFormat="1" applyFont="1" applyAlignment="1">
      <alignment horizontal="center"/>
    </xf>
    <xf numFmtId="252" fontId="4" fillId="0" borderId="0" xfId="0" applyNumberFormat="1" applyFont="1" applyFill="1" applyBorder="1" applyAlignment="1">
      <alignment horizontal="center"/>
    </xf>
    <xf numFmtId="1" fontId="14" fillId="8" borderId="0" xfId="0" applyNumberFormat="1" applyFont="1" applyFill="1" applyBorder="1" applyAlignment="1">
      <alignment horizontal="center"/>
    </xf>
    <xf numFmtId="197" fontId="67" fillId="0" borderId="0" xfId="0" applyNumberFormat="1" applyFont="1" applyFill="1" applyBorder="1"/>
    <xf numFmtId="1" fontId="67" fillId="8" borderId="0" xfId="0" applyNumberFormat="1" applyFont="1" applyFill="1" applyAlignment="1">
      <alignment horizontal="center"/>
    </xf>
    <xf numFmtId="0" fontId="39" fillId="0" borderId="0" xfId="0" applyFont="1"/>
    <xf numFmtId="239" fontId="4" fillId="0" borderId="0" xfId="0" applyNumberFormat="1" applyFont="1" applyBorder="1" applyAlignment="1">
      <alignment horizontal="center"/>
    </xf>
    <xf numFmtId="239" fontId="82" fillId="0" borderId="0" xfId="0" applyNumberFormat="1" applyFont="1" applyBorder="1" applyAlignment="1">
      <alignment horizontal="center"/>
    </xf>
    <xf numFmtId="239" fontId="82" fillId="7" borderId="0" xfId="0" applyNumberFormat="1" applyFont="1" applyFill="1" applyBorder="1" applyAlignment="1">
      <alignment horizontal="center"/>
    </xf>
    <xf numFmtId="197" fontId="4" fillId="0" borderId="0" xfId="0" applyNumberFormat="1" applyFont="1" applyFill="1" applyBorder="1" applyAlignment="1">
      <alignment horizontal="left"/>
    </xf>
    <xf numFmtId="254" fontId="12" fillId="0" borderId="0" xfId="0" applyNumberFormat="1" applyFont="1" applyFill="1" applyBorder="1" applyAlignment="1">
      <alignment horizontal="center"/>
    </xf>
    <xf numFmtId="254" fontId="14" fillId="0" borderId="0" xfId="0" applyNumberFormat="1" applyFont="1" applyFill="1" applyBorder="1" applyAlignment="1">
      <alignment horizontal="center"/>
    </xf>
    <xf numFmtId="237" fontId="18" fillId="0" borderId="0" xfId="0" applyNumberFormat="1" applyFont="1" applyFill="1" applyBorder="1" applyAlignment="1">
      <alignment horizontal="left"/>
    </xf>
    <xf numFmtId="195" fontId="18" fillId="0" borderId="0" xfId="0" applyNumberFormat="1" applyFont="1" applyFill="1" applyBorder="1"/>
    <xf numFmtId="0" fontId="14" fillId="0" borderId="0" xfId="0" applyFont="1" applyFill="1" applyBorder="1" applyAlignment="1">
      <alignment horizontal="center"/>
    </xf>
    <xf numFmtId="0" fontId="18" fillId="0" borderId="0" xfId="0" applyFont="1" applyFill="1" applyBorder="1" applyAlignment="1">
      <alignment horizontal="center"/>
    </xf>
    <xf numFmtId="238" fontId="83" fillId="0" borderId="0" xfId="0" applyNumberFormat="1" applyFont="1" applyFill="1" applyBorder="1" applyAlignment="1">
      <alignment horizontal="center"/>
    </xf>
    <xf numFmtId="191" fontId="13" fillId="7" borderId="6" xfId="0" applyNumberFormat="1" applyFont="1" applyFill="1" applyBorder="1" applyAlignment="1">
      <alignment horizontal="center"/>
    </xf>
    <xf numFmtId="191" fontId="4" fillId="7" borderId="6" xfId="0" applyNumberFormat="1" applyFont="1" applyFill="1" applyBorder="1" applyAlignment="1">
      <alignment horizontal="center"/>
    </xf>
    <xf numFmtId="0" fontId="12" fillId="0" borderId="0" xfId="0" applyFont="1" applyAlignment="1">
      <alignment vertical="top"/>
    </xf>
    <xf numFmtId="254" fontId="1" fillId="0" borderId="0" xfId="0" applyNumberFormat="1" applyFont="1" applyFill="1" applyBorder="1" applyAlignment="1">
      <alignment horizontal="center"/>
    </xf>
    <xf numFmtId="239" fontId="80" fillId="0" borderId="0" xfId="0" applyNumberFormat="1" applyFont="1" applyBorder="1" applyAlignment="1">
      <alignment horizontal="center"/>
    </xf>
    <xf numFmtId="239" fontId="80" fillId="7" borderId="6" xfId="0" applyNumberFormat="1" applyFont="1" applyFill="1" applyBorder="1" applyAlignment="1">
      <alignment horizontal="center"/>
    </xf>
    <xf numFmtId="239" fontId="4" fillId="0" borderId="6" xfId="0" applyNumberFormat="1" applyFont="1" applyFill="1" applyBorder="1" applyAlignment="1">
      <alignment horizontal="center"/>
    </xf>
    <xf numFmtId="239" fontId="4" fillId="0" borderId="6" xfId="0" applyNumberFormat="1" applyFont="1" applyBorder="1" applyAlignment="1">
      <alignment horizontal="center"/>
    </xf>
    <xf numFmtId="239" fontId="1" fillId="0" borderId="0" xfId="0" applyNumberFormat="1" applyFont="1" applyBorder="1" applyAlignment="1">
      <alignment horizontal="center"/>
    </xf>
    <xf numFmtId="239" fontId="2" fillId="0" borderId="6" xfId="0" applyNumberFormat="1" applyFont="1" applyBorder="1" applyAlignment="1">
      <alignment horizontal="center"/>
    </xf>
    <xf numFmtId="1" fontId="14" fillId="8" borderId="0" xfId="0" applyNumberFormat="1" applyFont="1" applyFill="1" applyAlignment="1">
      <alignment horizontal="center"/>
    </xf>
    <xf numFmtId="239" fontId="12" fillId="0" borderId="0" xfId="0" applyNumberFormat="1" applyFont="1" applyBorder="1" applyAlignment="1">
      <alignment horizontal="center"/>
    </xf>
    <xf numFmtId="253" fontId="4" fillId="0" borderId="0" xfId="0" applyNumberFormat="1" applyFont="1" applyFill="1" applyBorder="1" applyAlignment="1">
      <alignment horizontal="center"/>
    </xf>
    <xf numFmtId="1" fontId="13" fillId="7" borderId="0" xfId="2" quotePrefix="1" applyNumberFormat="1" applyFont="1" applyFill="1" applyAlignment="1">
      <alignment horizontal="center" vertical="center"/>
    </xf>
    <xf numFmtId="1" fontId="0" fillId="0" borderId="0" xfId="0" applyNumberFormat="1" applyAlignment="1">
      <alignment horizontal="center"/>
    </xf>
    <xf numFmtId="1" fontId="32" fillId="8" borderId="0" xfId="0" applyNumberFormat="1" applyFont="1" applyFill="1" applyBorder="1" applyAlignment="1">
      <alignment horizontal="center"/>
    </xf>
    <xf numFmtId="9" fontId="48" fillId="8" borderId="0" xfId="2" applyFont="1" applyFill="1" applyAlignment="1">
      <alignment horizontal="center"/>
    </xf>
    <xf numFmtId="1" fontId="0" fillId="0" borderId="1" xfId="0" applyNumberFormat="1" applyFill="1" applyBorder="1" applyAlignment="1">
      <alignment horizontal="center"/>
    </xf>
    <xf numFmtId="0" fontId="8" fillId="0" borderId="0" xfId="0" applyFont="1" applyFill="1" applyAlignment="1"/>
    <xf numFmtId="0" fontId="30" fillId="8" borderId="0" xfId="0" applyFont="1" applyFill="1"/>
    <xf numFmtId="0" fontId="84" fillId="8" borderId="0" xfId="0" applyFont="1" applyFill="1" applyAlignment="1">
      <alignment horizontal="center"/>
    </xf>
    <xf numFmtId="0" fontId="5" fillId="8" borderId="0" xfId="0" applyFont="1" applyFill="1"/>
    <xf numFmtId="0" fontId="9" fillId="0" borderId="0" xfId="0" applyFont="1" applyBorder="1" applyAlignment="1">
      <alignment horizontal="center" wrapText="1"/>
    </xf>
    <xf numFmtId="255" fontId="6" fillId="8" borderId="0" xfId="0" applyNumberFormat="1" applyFont="1" applyFill="1" applyBorder="1" applyAlignment="1">
      <alignment horizontal="center"/>
    </xf>
    <xf numFmtId="0" fontId="0" fillId="0" borderId="0" xfId="0" applyFont="1" applyFill="1" applyBorder="1"/>
    <xf numFmtId="0" fontId="30" fillId="13" borderId="0" xfId="0" applyFont="1" applyFill="1" applyBorder="1" applyAlignment="1">
      <alignment horizontal="left"/>
    </xf>
    <xf numFmtId="0" fontId="0" fillId="13" borderId="0" xfId="0" applyFill="1"/>
    <xf numFmtId="0" fontId="14" fillId="13" borderId="0" xfId="0" applyFont="1" applyFill="1" applyBorder="1" applyAlignment="1">
      <alignment horizontal="left"/>
    </xf>
    <xf numFmtId="0" fontId="13" fillId="13" borderId="0" xfId="0" applyFont="1" applyFill="1"/>
    <xf numFmtId="0" fontId="13" fillId="13" borderId="0" xfId="0" applyFont="1" applyFill="1" applyBorder="1" applyAlignment="1">
      <alignment horizontal="left"/>
    </xf>
    <xf numFmtId="0" fontId="18" fillId="13" borderId="0" xfId="0" applyFont="1" applyFill="1" applyBorder="1" applyAlignment="1">
      <alignment horizontal="left"/>
    </xf>
    <xf numFmtId="9" fontId="13" fillId="13" borderId="0" xfId="0" applyNumberFormat="1" applyFont="1" applyFill="1" applyBorder="1" applyAlignment="1">
      <alignment horizontal="left"/>
    </xf>
    <xf numFmtId="9" fontId="13" fillId="14" borderId="0" xfId="0" applyNumberFormat="1" applyFont="1" applyFill="1" applyBorder="1" applyAlignment="1">
      <alignment horizontal="center"/>
    </xf>
    <xf numFmtId="9" fontId="4" fillId="0" borderId="0" xfId="0" applyNumberFormat="1" applyFont="1"/>
    <xf numFmtId="9" fontId="13" fillId="0" borderId="0" xfId="0" applyNumberFormat="1" applyFont="1" applyFill="1" applyAlignment="1">
      <alignment horizontal="center"/>
    </xf>
    <xf numFmtId="1" fontId="0" fillId="0" borderId="0" xfId="0" applyNumberFormat="1" applyBorder="1"/>
    <xf numFmtId="2" fontId="0" fillId="14" borderId="0" xfId="0" applyNumberFormat="1" applyFill="1" applyBorder="1" applyAlignment="1">
      <alignment horizontal="center"/>
    </xf>
    <xf numFmtId="179" fontId="12" fillId="14" borderId="0" xfId="0" applyNumberFormat="1" applyFont="1" applyFill="1" applyBorder="1" applyAlignment="1">
      <alignment horizontal="center"/>
    </xf>
    <xf numFmtId="179" fontId="0" fillId="14" borderId="0" xfId="0" applyNumberFormat="1" applyFill="1" applyBorder="1" applyAlignment="1">
      <alignment horizontal="center"/>
    </xf>
    <xf numFmtId="167" fontId="13" fillId="0" borderId="0" xfId="0" applyNumberFormat="1" applyFont="1" applyFill="1" applyBorder="1"/>
    <xf numFmtId="171" fontId="0" fillId="0" borderId="0" xfId="0" applyNumberFormat="1" applyFill="1" applyBorder="1" applyAlignment="1">
      <alignment horizontal="center"/>
    </xf>
    <xf numFmtId="167" fontId="13" fillId="0" borderId="0" xfId="0" applyNumberFormat="1" applyFont="1" applyFill="1" applyBorder="1" applyAlignment="1">
      <alignment horizontal="left"/>
    </xf>
    <xf numFmtId="0" fontId="8" fillId="0" borderId="0" xfId="0" applyFont="1" applyFill="1" applyBorder="1" applyAlignment="1">
      <alignment horizontal="center"/>
    </xf>
    <xf numFmtId="0" fontId="13" fillId="14" borderId="0" xfId="0" applyFont="1" applyFill="1" applyBorder="1" applyAlignment="1">
      <alignment horizontal="center"/>
    </xf>
    <xf numFmtId="0" fontId="4" fillId="0" borderId="0" xfId="0" applyFont="1" applyFill="1" applyBorder="1" applyAlignment="1">
      <alignment vertical="center"/>
    </xf>
    <xf numFmtId="0" fontId="8" fillId="0" borderId="0" xfId="0" applyFont="1" applyFill="1" applyBorder="1" applyAlignment="1"/>
    <xf numFmtId="214" fontId="0" fillId="7" borderId="0" xfId="0" applyNumberFormat="1" applyFill="1" applyAlignment="1">
      <alignment horizontal="center"/>
    </xf>
    <xf numFmtId="3" fontId="0" fillId="7" borderId="0" xfId="0" applyNumberFormat="1" applyFill="1" applyAlignment="1">
      <alignment horizontal="center"/>
    </xf>
    <xf numFmtId="3" fontId="12" fillId="0" borderId="0" xfId="0" applyNumberFormat="1" applyFont="1" applyFill="1" applyBorder="1" applyAlignment="1">
      <alignment horizontal="center"/>
    </xf>
    <xf numFmtId="0" fontId="41" fillId="8" borderId="0" xfId="0" applyFont="1" applyFill="1" applyAlignment="1">
      <alignment horizontal="left"/>
    </xf>
    <xf numFmtId="0" fontId="41" fillId="8" borderId="0" xfId="0" applyFont="1" applyFill="1" applyBorder="1" applyAlignment="1">
      <alignment horizontal="center" vertical="center" wrapText="1"/>
    </xf>
    <xf numFmtId="0" fontId="13" fillId="8" borderId="0" xfId="0" applyFont="1" applyFill="1" applyBorder="1" applyAlignment="1">
      <alignment horizontal="center" vertical="center" wrapText="1"/>
    </xf>
    <xf numFmtId="0" fontId="8" fillId="9" borderId="0" xfId="0" applyFont="1" applyFill="1" applyAlignment="1">
      <alignment horizontal="left"/>
    </xf>
    <xf numFmtId="0" fontId="9" fillId="0" borderId="0" xfId="0" applyFont="1" applyFill="1" applyBorder="1" applyAlignment="1">
      <alignment horizontal="left" vertical="center" wrapText="1" indent="1"/>
    </xf>
    <xf numFmtId="0" fontId="13" fillId="0" borderId="0" xfId="0" applyFont="1" applyFill="1" applyAlignment="1">
      <alignment horizontal="left" vertical="center" indent="1"/>
    </xf>
    <xf numFmtId="0" fontId="6" fillId="0" borderId="0" xfId="0" applyFont="1" applyFill="1" applyBorder="1" applyAlignment="1">
      <alignment horizontal="left" vertical="center" wrapText="1" indent="1"/>
    </xf>
    <xf numFmtId="0" fontId="6" fillId="9" borderId="0" xfId="0" applyFont="1" applyFill="1" applyBorder="1" applyAlignment="1">
      <alignment horizontal="left" wrapText="1"/>
    </xf>
    <xf numFmtId="49" fontId="13" fillId="9" borderId="0" xfId="0" applyNumberFormat="1" applyFont="1" applyFill="1" applyAlignment="1">
      <alignment horizontal="left" vertical="center" wrapText="1"/>
    </xf>
    <xf numFmtId="0" fontId="5" fillId="8" borderId="0" xfId="0" applyFont="1" applyFill="1" applyBorder="1" applyAlignment="1">
      <alignment horizontal="left"/>
    </xf>
    <xf numFmtId="0" fontId="12" fillId="0" borderId="0" xfId="0" applyFont="1" applyFill="1" applyBorder="1" applyAlignment="1">
      <alignment horizontal="center" vertical="center"/>
    </xf>
    <xf numFmtId="0" fontId="12" fillId="0" borderId="0" xfId="0" applyFont="1" applyFill="1" applyBorder="1" applyAlignment="1">
      <alignment horizontal="left"/>
    </xf>
    <xf numFmtId="0" fontId="9" fillId="9" borderId="0" xfId="0" applyFont="1" applyFill="1" applyBorder="1" applyAlignment="1">
      <alignment horizontal="left" vertical="center" wrapText="1"/>
    </xf>
    <xf numFmtId="0" fontId="30" fillId="4" borderId="0" xfId="0" applyFont="1" applyFill="1" applyAlignment="1">
      <alignment horizontal="left" vertical="center" wrapText="1"/>
    </xf>
    <xf numFmtId="0" fontId="6" fillId="7" borderId="0" xfId="0" applyFont="1" applyFill="1" applyAlignment="1">
      <alignment horizontal="left" wrapText="1"/>
    </xf>
    <xf numFmtId="2" fontId="13" fillId="0" borderId="0" xfId="0" applyNumberFormat="1" applyFont="1" applyFill="1" applyBorder="1" applyAlignment="1">
      <alignment horizontal="center" wrapText="1"/>
    </xf>
    <xf numFmtId="179" fontId="12" fillId="7" borderId="0" xfId="0" applyNumberFormat="1" applyFont="1" applyFill="1" applyAlignment="1">
      <alignment horizontal="left"/>
    </xf>
    <xf numFmtId="0" fontId="0" fillId="2" borderId="0" xfId="0" applyFill="1" applyBorder="1" applyAlignment="1">
      <alignment horizontal="center" wrapText="1"/>
    </xf>
    <xf numFmtId="0" fontId="12" fillId="0" borderId="0" xfId="0" applyFont="1" applyFill="1" applyBorder="1" applyAlignment="1">
      <alignment horizontal="left" wrapText="1"/>
    </xf>
    <xf numFmtId="0" fontId="0" fillId="0" borderId="0" xfId="0" applyFill="1" applyBorder="1" applyAlignment="1">
      <alignment horizontal="left" wrapText="1"/>
    </xf>
    <xf numFmtId="0" fontId="0" fillId="0" borderId="0" xfId="0" applyAlignment="1">
      <alignment wrapText="1"/>
    </xf>
    <xf numFmtId="179" fontId="13" fillId="0" borderId="0" xfId="0" applyNumberFormat="1" applyFont="1" applyFill="1" applyBorder="1" applyAlignment="1">
      <alignment horizontal="left"/>
    </xf>
    <xf numFmtId="0" fontId="12" fillId="2" borderId="0" xfId="0" applyFont="1" applyFill="1" applyBorder="1" applyAlignment="1">
      <alignment horizontal="center" wrapText="1"/>
    </xf>
    <xf numFmtId="0" fontId="4" fillId="0" borderId="0" xfId="0" applyFont="1" applyFill="1" applyBorder="1" applyAlignment="1">
      <alignment horizontal="center" wrapText="1"/>
    </xf>
    <xf numFmtId="0" fontId="30" fillId="8" borderId="0" xfId="0" applyFont="1" applyFill="1" applyBorder="1" applyAlignment="1">
      <alignment horizontal="left"/>
    </xf>
    <xf numFmtId="0" fontId="67" fillId="8" borderId="0" xfId="0" applyFont="1" applyFill="1" applyAlignment="1">
      <alignment horizontal="right"/>
    </xf>
    <xf numFmtId="0" fontId="8" fillId="0" borderId="0" xfId="0" applyFont="1" applyFill="1" applyAlignment="1">
      <alignment horizontal="left" vertical="top" wrapText="1"/>
    </xf>
    <xf numFmtId="0" fontId="31" fillId="8" borderId="0" xfId="0" applyFont="1" applyFill="1" applyAlignment="1">
      <alignment horizontal="left" vertical="center" wrapText="1"/>
    </xf>
    <xf numFmtId="0" fontId="0" fillId="0" borderId="0" xfId="0" applyAlignment="1"/>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3" fillId="0" borderId="14" xfId="0" applyFont="1" applyFill="1" applyBorder="1" applyAlignment="1">
      <alignment horizontal="left" vertical="center"/>
    </xf>
    <xf numFmtId="0" fontId="13" fillId="0" borderId="0" xfId="0" applyFont="1" applyFill="1" applyBorder="1" applyAlignment="1">
      <alignment horizontal="right" vertical="center"/>
    </xf>
    <xf numFmtId="0" fontId="7" fillId="0" borderId="0" xfId="0" applyFont="1" applyFill="1" applyBorder="1" applyAlignment="1">
      <alignment horizontal="center" wrapText="1"/>
    </xf>
    <xf numFmtId="0" fontId="6" fillId="2" borderId="0" xfId="0" applyFont="1" applyFill="1" applyBorder="1" applyAlignment="1">
      <alignment horizontal="center" vertical="top"/>
    </xf>
    <xf numFmtId="190" fontId="29" fillId="0" borderId="0" xfId="0" applyNumberFormat="1" applyFont="1" applyFill="1" applyBorder="1" applyAlignment="1">
      <alignment horizontal="left" wrapText="1"/>
    </xf>
    <xf numFmtId="0" fontId="0" fillId="0" borderId="0" xfId="0" applyFill="1" applyBorder="1" applyAlignment="1">
      <alignment wrapText="1"/>
    </xf>
    <xf numFmtId="0" fontId="0" fillId="0" borderId="0" xfId="0" applyFill="1" applyAlignment="1">
      <alignment horizontal="center"/>
    </xf>
    <xf numFmtId="175" fontId="70" fillId="4" borderId="0" xfId="0" applyNumberFormat="1" applyFont="1" applyFill="1" applyAlignment="1">
      <alignment horizontal="left"/>
    </xf>
    <xf numFmtId="175" fontId="70" fillId="4" borderId="2" xfId="0" applyNumberFormat="1" applyFont="1" applyFill="1" applyBorder="1" applyAlignment="1">
      <alignment horizontal="left"/>
    </xf>
    <xf numFmtId="0" fontId="0" fillId="2" borderId="0" xfId="0" applyFill="1" applyBorder="1" applyAlignment="1">
      <alignment horizontal="center"/>
    </xf>
    <xf numFmtId="0" fontId="13" fillId="0" borderId="0" xfId="0" applyFont="1" applyAlignment="1">
      <alignment horizontal="center"/>
    </xf>
    <xf numFmtId="0" fontId="9" fillId="0" borderId="0" xfId="0" applyFont="1" applyFill="1" applyBorder="1" applyAlignment="1">
      <alignment wrapText="1"/>
    </xf>
    <xf numFmtId="0" fontId="6" fillId="2" borderId="0" xfId="0" applyFont="1" applyFill="1" applyBorder="1" applyAlignment="1">
      <alignment horizontal="center"/>
    </xf>
    <xf numFmtId="0" fontId="13" fillId="0" borderId="0" xfId="0" applyFont="1" applyFill="1" applyBorder="1" applyAlignment="1">
      <alignment horizontal="left" vertical="center"/>
    </xf>
    <xf numFmtId="0" fontId="9" fillId="8" borderId="0" xfId="0" applyFont="1" applyFill="1" applyAlignment="1">
      <alignment horizontal="left"/>
    </xf>
    <xf numFmtId="0" fontId="30" fillId="3" borderId="0" xfId="0" applyFont="1" applyFill="1" applyAlignment="1">
      <alignment horizontal="left" vertical="center" wrapText="1"/>
    </xf>
    <xf numFmtId="0" fontId="0" fillId="0" borderId="0" xfId="0" applyFill="1" applyBorder="1" applyAlignment="1">
      <alignment horizontal="right" wrapText="1"/>
    </xf>
    <xf numFmtId="0" fontId="18" fillId="8" borderId="0" xfId="0" applyFont="1" applyFill="1" applyAlignment="1">
      <alignment horizontal="right"/>
    </xf>
    <xf numFmtId="0" fontId="7" fillId="0" borderId="0" xfId="0" applyFont="1" applyFill="1" applyBorder="1" applyAlignment="1">
      <alignment horizontal="center"/>
    </xf>
    <xf numFmtId="175" fontId="70" fillId="3" borderId="0" xfId="0" applyNumberFormat="1" applyFont="1" applyFill="1" applyAlignment="1">
      <alignment horizontal="left" vertical="top" wrapText="1"/>
    </xf>
    <xf numFmtId="0" fontId="9" fillId="8" borderId="0" xfId="0" applyFont="1" applyFill="1" applyBorder="1" applyAlignment="1">
      <alignment horizontal="left"/>
    </xf>
  </cellXfs>
  <cellStyles count="5">
    <cellStyle name="Komma" xfId="1" builtinId="3"/>
    <cellStyle name="Prozent" xfId="2" builtinId="5"/>
    <cellStyle name="Prozent 2" xfId="3"/>
    <cellStyle name="Standard" xfId="0" builtinId="0"/>
    <cellStyle name="Standard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CC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0" b="1" i="0" u="none" strike="noStrike" baseline="0">
                <a:solidFill>
                  <a:srgbClr val="000000"/>
                </a:solidFill>
                <a:latin typeface="Arial"/>
                <a:ea typeface="Arial"/>
                <a:cs typeface="Arial"/>
              </a:defRPr>
            </a:pPr>
            <a:r>
              <a:rPr lang="de-CH" sz="2000" b="1" i="0" u="none" strike="noStrike" baseline="0">
                <a:solidFill>
                  <a:srgbClr val="000000"/>
                </a:solidFill>
                <a:latin typeface="Arial"/>
                <a:cs typeface="Arial"/>
              </a:rPr>
              <a:t> Courbe de la marge brute d'autofinancement</a:t>
            </a:r>
          </a:p>
          <a:p>
            <a:pPr>
              <a:defRPr sz="2000" b="1" i="0" u="none" strike="noStrike" baseline="0">
                <a:solidFill>
                  <a:srgbClr val="000000"/>
                </a:solidFill>
                <a:latin typeface="Arial"/>
                <a:ea typeface="Arial"/>
                <a:cs typeface="Arial"/>
              </a:defRPr>
            </a:pPr>
            <a:r>
              <a:rPr lang="de-CH" sz="1200" b="1" i="0" u="none" strike="noStrike" baseline="0">
                <a:solidFill>
                  <a:srgbClr val="000000"/>
                </a:solidFill>
                <a:latin typeface="Arial"/>
                <a:cs typeface="Arial"/>
              </a:rPr>
              <a:t>Tableau des flux financiers</a:t>
            </a:r>
          </a:p>
        </c:rich>
      </c:tx>
      <c:layout>
        <c:manualLayout>
          <c:xMode val="edge"/>
          <c:yMode val="edge"/>
          <c:x val="0.20946550838753852"/>
          <c:y val="2.6823487817447478E-2"/>
        </c:manualLayout>
      </c:layout>
      <c:overlay val="0"/>
      <c:spPr>
        <a:noFill/>
        <a:ln w="25400">
          <a:noFill/>
        </a:ln>
      </c:spPr>
    </c:title>
    <c:autoTitleDeleted val="0"/>
    <c:plotArea>
      <c:layout>
        <c:manualLayout>
          <c:layoutTarget val="inner"/>
          <c:xMode val="edge"/>
          <c:yMode val="edge"/>
          <c:x val="0.21597790145463946"/>
          <c:y val="0.22447100086581043"/>
          <c:w val="0.75801276381499272"/>
          <c:h val="0.61553054325467516"/>
        </c:manualLayout>
      </c:layout>
      <c:scatterChart>
        <c:scatterStyle val="lineMarker"/>
        <c:varyColors val="0"/>
        <c:ser>
          <c:idx val="0"/>
          <c:order val="0"/>
          <c:tx>
            <c:strRef>
              <c:f>'Normes cashflow'!$C$21</c:f>
              <c:strCache>
                <c:ptCount val="1"/>
                <c:pt idx="0">
                  <c:v>Norme</c:v>
                </c:pt>
              </c:strCache>
            </c:strRef>
          </c:tx>
          <c:spPr>
            <a:ln w="38100">
              <a:solidFill>
                <a:srgbClr val="000080"/>
              </a:solidFill>
              <a:prstDash val="solid"/>
            </a:ln>
          </c:spPr>
          <c:marker>
            <c:symbol val="diamond"/>
            <c:size val="9"/>
            <c:spPr>
              <a:solidFill>
                <a:srgbClr val="000080"/>
              </a:solidFill>
              <a:ln>
                <a:solidFill>
                  <a:srgbClr val="000080"/>
                </a:solidFill>
                <a:prstDash val="solid"/>
              </a:ln>
            </c:spPr>
          </c:marker>
          <c:xVal>
            <c:numRef>
              <c:f>'Normes cashflow'!$B$22:$B$37</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'Normes cashflow'!$C$22:$C$37</c:f>
              <c:numCache>
                <c:formatCode>\ #,##0\ "Fr."</c:formatCode>
                <c:ptCount val="16"/>
                <c:pt idx="0">
                  <c:v>-59539.32327272727</c:v>
                </c:pt>
                <c:pt idx="1">
                  <c:v>-70160.613121818184</c:v>
                </c:pt>
                <c:pt idx="2">
                  <c:v>-78481.435386827274</c:v>
                </c:pt>
                <c:pt idx="3">
                  <c:v>-87471.623963084232</c:v>
                </c:pt>
                <c:pt idx="4">
                  <c:v>-92470.413663439584</c:v>
                </c:pt>
                <c:pt idx="5">
                  <c:v>-91141.1113456639</c:v>
                </c:pt>
                <c:pt idx="6">
                  <c:v>-83388.795629485219</c:v>
                </c:pt>
                <c:pt idx="7">
                  <c:v>-75520.195177563859</c:v>
                </c:pt>
                <c:pt idx="8">
                  <c:v>-67533.565718863683</c:v>
                </c:pt>
                <c:pt idx="9">
                  <c:v>-59427.136818283005</c:v>
                </c:pt>
                <c:pt idx="10">
                  <c:v>-52706.611484193621</c:v>
                </c:pt>
                <c:pt idx="11">
                  <c:v>-45885.27827009288</c:v>
                </c:pt>
                <c:pt idx="12">
                  <c:v>-38961.625057780635</c:v>
                </c:pt>
                <c:pt idx="13">
                  <c:v>-33441.617047283711</c:v>
                </c:pt>
                <c:pt idx="14">
                  <c:v>-27838.808916629321</c:v>
                </c:pt>
                <c:pt idx="15">
                  <c:v>-28651.958664015125</c:v>
                </c:pt>
              </c:numCache>
            </c:numRef>
          </c:yVal>
          <c:smooth val="0"/>
          <c:extLst>
            <c:ext xmlns:c16="http://schemas.microsoft.com/office/drawing/2014/chart" uri="{C3380CC4-5D6E-409C-BE32-E72D297353CC}">
              <c16:uniqueId val="{00000000-CAC6-45F1-A764-15986C7447CF}"/>
            </c:ext>
          </c:extLst>
        </c:ser>
        <c:ser>
          <c:idx val="1"/>
          <c:order val="1"/>
          <c:tx>
            <c:strRef>
              <c:f>'Variante Cashflow'!$C$21</c:f>
              <c:strCache>
                <c:ptCount val="1"/>
                <c:pt idx="0">
                  <c:v>Variante</c:v>
                </c:pt>
              </c:strCache>
            </c:strRef>
          </c:tx>
          <c:spPr>
            <a:ln w="38100">
              <a:solidFill>
                <a:srgbClr val="008000"/>
              </a:solidFill>
              <a:prstDash val="solid"/>
            </a:ln>
          </c:spPr>
          <c:marker>
            <c:symbol val="circle"/>
            <c:size val="9"/>
            <c:spPr>
              <a:solidFill>
                <a:srgbClr val="008000"/>
              </a:solidFill>
              <a:ln>
                <a:solidFill>
                  <a:srgbClr val="008000"/>
                </a:solidFill>
                <a:prstDash val="solid"/>
              </a:ln>
            </c:spPr>
          </c:marker>
          <c:xVal>
            <c:numRef>
              <c:f>'Variante Cashflow'!$B$22:$B$37</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'Variante Cashflow'!$C$22:$C$37</c:f>
              <c:numCache>
                <c:formatCode>\ #,##0\ "Fr."</c:formatCode>
                <c:ptCount val="16"/>
                <c:pt idx="0">
                  <c:v>-59539.32327272727</c:v>
                </c:pt>
                <c:pt idx="1">
                  <c:v>-70160.613121818184</c:v>
                </c:pt>
                <c:pt idx="2">
                  <c:v>-78481.435386827274</c:v>
                </c:pt>
                <c:pt idx="3">
                  <c:v>-87471.623963084232</c:v>
                </c:pt>
                <c:pt idx="4">
                  <c:v>-92470.413663439584</c:v>
                </c:pt>
                <c:pt idx="5">
                  <c:v>-91141.1113456639</c:v>
                </c:pt>
                <c:pt idx="6">
                  <c:v>-83388.795629485219</c:v>
                </c:pt>
                <c:pt idx="7">
                  <c:v>-75520.195177563859</c:v>
                </c:pt>
                <c:pt idx="8">
                  <c:v>-67533.565718863683</c:v>
                </c:pt>
                <c:pt idx="9">
                  <c:v>-59427.136818283005</c:v>
                </c:pt>
                <c:pt idx="10">
                  <c:v>-52706.611484193621</c:v>
                </c:pt>
                <c:pt idx="11">
                  <c:v>-45885.27827009288</c:v>
                </c:pt>
                <c:pt idx="12">
                  <c:v>-38961.625057780635</c:v>
                </c:pt>
                <c:pt idx="13">
                  <c:v>-33441.617047283711</c:v>
                </c:pt>
                <c:pt idx="14">
                  <c:v>-27838.808916629321</c:v>
                </c:pt>
                <c:pt idx="15">
                  <c:v>-28651.958664015125</c:v>
                </c:pt>
              </c:numCache>
            </c:numRef>
          </c:yVal>
          <c:smooth val="0"/>
          <c:extLst>
            <c:ext xmlns:c16="http://schemas.microsoft.com/office/drawing/2014/chart" uri="{C3380CC4-5D6E-409C-BE32-E72D297353CC}">
              <c16:uniqueId val="{00000001-CAC6-45F1-A764-15986C7447CF}"/>
            </c:ext>
          </c:extLst>
        </c:ser>
        <c:dLbls>
          <c:showLegendKey val="0"/>
          <c:showVal val="0"/>
          <c:showCatName val="0"/>
          <c:showSerName val="0"/>
          <c:showPercent val="0"/>
          <c:showBubbleSize val="0"/>
        </c:dLbls>
        <c:axId val="291223384"/>
        <c:axId val="291447608"/>
      </c:scatterChart>
      <c:valAx>
        <c:axId val="29122338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CH" sz="1200" b="1" i="0" u="none" strike="noStrike" baseline="0">
                    <a:solidFill>
                      <a:srgbClr val="000000"/>
                    </a:solidFill>
                    <a:latin typeface="Arial"/>
                    <a:cs typeface="Arial"/>
                  </a:rPr>
                  <a:t>Années de végétation</a:t>
                </a:r>
                <a:r>
                  <a:rPr lang="de-CH" sz="1200" b="0" i="0" u="none" strike="noStrike" baseline="0">
                    <a:solidFill>
                      <a:srgbClr val="000000"/>
                    </a:solidFill>
                    <a:latin typeface="Arial"/>
                    <a:cs typeface="Arial"/>
                  </a:rPr>
                  <a:t> (0 = installation)</a:t>
                </a:r>
              </a:p>
            </c:rich>
          </c:tx>
          <c:layout>
            <c:manualLayout>
              <c:xMode val="edge"/>
              <c:yMode val="edge"/>
              <c:x val="0.39015362889421434"/>
              <c:y val="0.86117807619937914"/>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575" b="0" i="0" u="none" strike="noStrike" baseline="0">
                <a:solidFill>
                  <a:srgbClr val="424242"/>
                </a:solidFill>
                <a:latin typeface="Arial"/>
                <a:ea typeface="Arial"/>
                <a:cs typeface="Arial"/>
              </a:defRPr>
            </a:pPr>
            <a:endParaRPr lang="de-DE"/>
          </a:p>
        </c:txPr>
        <c:crossAx val="291447608"/>
        <c:crosses val="autoZero"/>
        <c:crossBetween val="midCat"/>
        <c:majorUnit val="2"/>
        <c:minorUnit val="1"/>
      </c:valAx>
      <c:valAx>
        <c:axId val="291447608"/>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6.9669348396667807E-3"/>
              <c:y val="0.4927066479703735"/>
            </c:manualLayout>
          </c:layout>
          <c:overlay val="0"/>
          <c:spPr>
            <a:noFill/>
            <a:ln w="25400">
              <a:noFill/>
            </a:ln>
          </c:spPr>
        </c:title>
        <c:numFmt formatCode="\ #,##0\ &quot;Fr.&quot;" sourceLinked="1"/>
        <c:majorTickMark val="out"/>
        <c:minorTickMark val="none"/>
        <c:tickLblPos val="nextTo"/>
        <c:spPr>
          <a:ln w="3175">
            <a:solidFill>
              <a:srgbClr val="000000"/>
            </a:solidFill>
            <a:prstDash val="solid"/>
          </a:ln>
        </c:spPr>
        <c:txPr>
          <a:bodyPr rot="0" vert="horz"/>
          <a:lstStyle/>
          <a:p>
            <a:pPr>
              <a:defRPr sz="1700" b="0" i="0" u="none" strike="noStrike" baseline="0">
                <a:solidFill>
                  <a:srgbClr val="000000"/>
                </a:solidFill>
                <a:latin typeface="Arial"/>
                <a:ea typeface="Arial"/>
                <a:cs typeface="Arial"/>
              </a:defRPr>
            </a:pPr>
            <a:endParaRPr lang="de-DE"/>
          </a:p>
        </c:txPr>
        <c:crossAx val="291223384"/>
        <c:crosses val="autoZero"/>
        <c:crossBetween val="midCat"/>
      </c:valAx>
      <c:spPr>
        <a:solidFill>
          <a:srgbClr val="FFFFFF"/>
        </a:solidFill>
        <a:ln w="12700">
          <a:solidFill>
            <a:srgbClr val="FFFFFF"/>
          </a:solidFill>
          <a:prstDash val="solid"/>
        </a:ln>
      </c:spPr>
    </c:plotArea>
    <c:legend>
      <c:legendPos val="r"/>
      <c:layout>
        <c:manualLayout>
          <c:xMode val="edge"/>
          <c:yMode val="edge"/>
          <c:x val="0.41087027844345542"/>
          <c:y val="0.93607485708122096"/>
          <c:w val="0.26630477576172545"/>
          <c:h val="3.7671232876712368E-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C0C0C0"/>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4" verticalDpi="46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sng" strike="noStrike" baseline="0">
                <a:solidFill>
                  <a:srgbClr val="000000"/>
                </a:solidFill>
                <a:latin typeface="Arial"/>
                <a:ea typeface="Arial"/>
                <a:cs typeface="Arial"/>
              </a:defRPr>
            </a:pPr>
            <a:r>
              <a:rPr lang="de-CH"/>
              <a:t>Part des coûts de récolte</a:t>
            </a:r>
          </a:p>
        </c:rich>
      </c:tx>
      <c:layout>
        <c:manualLayout>
          <c:xMode val="edge"/>
          <c:yMode val="edge"/>
          <c:x val="0.33942289665714859"/>
          <c:y val="3.1042165423522412E-2"/>
        </c:manualLayout>
      </c:layout>
      <c:overlay val="0"/>
      <c:spPr>
        <a:noFill/>
        <a:ln w="25400">
          <a:noFill/>
        </a:ln>
      </c:spPr>
    </c:title>
    <c:autoTitleDeleted val="0"/>
    <c:plotArea>
      <c:layout>
        <c:manualLayout>
          <c:layoutTarget val="inner"/>
          <c:xMode val="edge"/>
          <c:yMode val="edge"/>
          <c:x val="0.1803184161369514"/>
          <c:y val="0.16629711751662971"/>
          <c:w val="0.76016587194989316"/>
          <c:h val="0.71840354767184034"/>
        </c:manualLayout>
      </c:layout>
      <c:barChart>
        <c:barDir val="bar"/>
        <c:grouping val="clustered"/>
        <c:varyColors val="0"/>
        <c:ser>
          <c:idx val="0"/>
          <c:order val="0"/>
          <c:tx>
            <c:strRef>
              <c:f>'Normes pleine production'!$B$195</c:f>
              <c:strCache>
                <c:ptCount val="1"/>
                <c:pt idx="0">
                  <c:v>Norme</c:v>
                </c:pt>
              </c:strCache>
            </c:strRef>
          </c:tx>
          <c:spPr>
            <a:solidFill>
              <a:srgbClr val="000080"/>
            </a:solidFill>
            <a:ln w="12700">
              <a:solidFill>
                <a:srgbClr val="000000"/>
              </a:solidFill>
              <a:prstDash val="solid"/>
            </a:ln>
          </c:spPr>
          <c:invertIfNegative val="0"/>
          <c:cat>
            <c:strRef>
              <c:f>'Normes pleine production'!$A$192:$A$193</c:f>
              <c:strCache>
                <c:ptCount val="2"/>
                <c:pt idx="0">
                  <c:v>Total récolte</c:v>
                </c:pt>
                <c:pt idx="1">
                  <c:v>Autres coûts de production</c:v>
                </c:pt>
              </c:strCache>
            </c:strRef>
          </c:cat>
          <c:val>
            <c:numRef>
              <c:f>'Normes pleine production'!$B$192:$B$193</c:f>
              <c:numCache>
                <c:formatCode>\ #,##0\ "Fr."</c:formatCode>
                <c:ptCount val="2"/>
                <c:pt idx="0">
                  <c:v>15147.301136363636</c:v>
                </c:pt>
                <c:pt idx="1">
                  <c:v>24755.377624975965</c:v>
                </c:pt>
              </c:numCache>
            </c:numRef>
          </c:val>
          <c:extLst>
            <c:ext xmlns:c16="http://schemas.microsoft.com/office/drawing/2014/chart" uri="{C3380CC4-5D6E-409C-BE32-E72D297353CC}">
              <c16:uniqueId val="{00000000-037D-4528-A95C-C9589DE1C3DD}"/>
            </c:ext>
          </c:extLst>
        </c:ser>
        <c:ser>
          <c:idx val="1"/>
          <c:order val="1"/>
          <c:tx>
            <c:strRef>
              <c:f>'Page variable'!$J$238</c:f>
              <c:strCache>
                <c:ptCount val="1"/>
                <c:pt idx="0">
                  <c:v>Variante </c:v>
                </c:pt>
              </c:strCache>
            </c:strRef>
          </c:tx>
          <c:spPr>
            <a:solidFill>
              <a:srgbClr val="008000"/>
            </a:solidFill>
            <a:ln w="12700">
              <a:solidFill>
                <a:srgbClr val="000000"/>
              </a:solidFill>
              <a:prstDash val="solid"/>
            </a:ln>
          </c:spPr>
          <c:invertIfNegative val="0"/>
          <c:cat>
            <c:strRef>
              <c:f>'Normes pleine production'!$A$192:$A$193</c:f>
              <c:strCache>
                <c:ptCount val="2"/>
                <c:pt idx="0">
                  <c:v>Total récolte</c:v>
                </c:pt>
                <c:pt idx="1">
                  <c:v>Autres coûts de production</c:v>
                </c:pt>
              </c:strCache>
            </c:strRef>
          </c:cat>
          <c:val>
            <c:numRef>
              <c:f>'Page variable'!$J$239:$J$240</c:f>
              <c:numCache>
                <c:formatCode>#,##0\ "Fr."</c:formatCode>
                <c:ptCount val="2"/>
                <c:pt idx="0">
                  <c:v>15147.301136363636</c:v>
                </c:pt>
                <c:pt idx="1">
                  <c:v>24755.377624975965</c:v>
                </c:pt>
              </c:numCache>
            </c:numRef>
          </c:val>
          <c:extLst>
            <c:ext xmlns:c16="http://schemas.microsoft.com/office/drawing/2014/chart" uri="{C3380CC4-5D6E-409C-BE32-E72D297353CC}">
              <c16:uniqueId val="{00000001-037D-4528-A95C-C9589DE1C3DD}"/>
            </c:ext>
          </c:extLst>
        </c:ser>
        <c:dLbls>
          <c:showLegendKey val="0"/>
          <c:showVal val="0"/>
          <c:showCatName val="0"/>
          <c:showSerName val="0"/>
          <c:showPercent val="0"/>
          <c:showBubbleSize val="0"/>
        </c:dLbls>
        <c:gapWidth val="150"/>
        <c:axId val="293000672"/>
        <c:axId val="85791880"/>
      </c:barChart>
      <c:catAx>
        <c:axId val="293000672"/>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85791880"/>
        <c:crosses val="autoZero"/>
        <c:auto val="1"/>
        <c:lblAlgn val="ctr"/>
        <c:lblOffset val="100"/>
        <c:tickLblSkip val="1"/>
        <c:tickMarkSkip val="1"/>
        <c:noMultiLvlLbl val="0"/>
      </c:catAx>
      <c:valAx>
        <c:axId val="85791880"/>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293000672"/>
        <c:crosses val="max"/>
        <c:crossBetween val="between"/>
      </c:valAx>
      <c:spPr>
        <a:noFill/>
        <a:ln w="3175">
          <a:solidFill>
            <a:srgbClr val="000000"/>
          </a:solidFill>
          <a:prstDash val="solid"/>
        </a:ln>
      </c:spPr>
    </c:plotArea>
    <c:legend>
      <c:legendPos val="r"/>
      <c:layout>
        <c:manualLayout>
          <c:xMode val="edge"/>
          <c:yMode val="edge"/>
          <c:x val="0.72802233855383458"/>
          <c:y val="0.20210896309314588"/>
          <c:w val="0.16758241758241754"/>
          <c:h val="0.2091388400702987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4"/>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sng" strike="noStrike" baseline="0">
                <a:solidFill>
                  <a:srgbClr val="000000"/>
                </a:solidFill>
                <a:latin typeface="Arial"/>
                <a:ea typeface="Arial"/>
                <a:cs typeface="Arial"/>
              </a:defRPr>
            </a:pPr>
            <a:r>
              <a:rPr lang="de-CH"/>
              <a:t>Répartition des coûts de récolte</a:t>
            </a:r>
          </a:p>
        </c:rich>
      </c:tx>
      <c:layout>
        <c:manualLayout>
          <c:xMode val="edge"/>
          <c:yMode val="edge"/>
          <c:x val="0.29913055522998733"/>
          <c:y val="3.1125416755338017E-2"/>
        </c:manualLayout>
      </c:layout>
      <c:overlay val="0"/>
      <c:spPr>
        <a:noFill/>
        <a:ln w="25400">
          <a:noFill/>
        </a:ln>
      </c:spPr>
    </c:title>
    <c:autoTitleDeleted val="0"/>
    <c:plotArea>
      <c:layout>
        <c:manualLayout>
          <c:layoutTarget val="inner"/>
          <c:xMode val="edge"/>
          <c:yMode val="edge"/>
          <c:x val="0.14260869565217391"/>
          <c:y val="0.11013584605672333"/>
          <c:w val="0.79826086956521736"/>
          <c:h val="0.74221983212139631"/>
        </c:manualLayout>
      </c:layout>
      <c:barChart>
        <c:barDir val="bar"/>
        <c:grouping val="clustered"/>
        <c:varyColors val="0"/>
        <c:ser>
          <c:idx val="0"/>
          <c:order val="0"/>
          <c:tx>
            <c:strRef>
              <c:f>'Normes pleine production'!$B$195</c:f>
              <c:strCache>
                <c:ptCount val="1"/>
                <c:pt idx="0">
                  <c:v>Norme</c:v>
                </c:pt>
              </c:strCache>
            </c:strRef>
          </c:tx>
          <c:spPr>
            <a:solidFill>
              <a:srgbClr val="000080"/>
            </a:solidFill>
            <a:ln w="12700">
              <a:solidFill>
                <a:srgbClr val="000000"/>
              </a:solidFill>
              <a:prstDash val="solid"/>
            </a:ln>
          </c:spPr>
          <c:invertIfNegative val="0"/>
          <c:cat>
            <c:strRef>
              <c:f>'Normes pleine production'!$A$196:$A$197</c:f>
              <c:strCache>
                <c:ptCount val="2"/>
                <c:pt idx="0">
                  <c:v>Machines</c:v>
                </c:pt>
                <c:pt idx="1">
                  <c:v>Travail</c:v>
                </c:pt>
              </c:strCache>
            </c:strRef>
          </c:cat>
          <c:val>
            <c:numRef>
              <c:f>'Normes pleine production'!$B$196:$B$197</c:f>
              <c:numCache>
                <c:formatCode>\ #,##0\ "Fr."</c:formatCode>
                <c:ptCount val="2"/>
                <c:pt idx="0">
                  <c:v>4330.6534090909081</c:v>
                </c:pt>
                <c:pt idx="1">
                  <c:v>10816.647727272728</c:v>
                </c:pt>
              </c:numCache>
            </c:numRef>
          </c:val>
          <c:extLst>
            <c:ext xmlns:c16="http://schemas.microsoft.com/office/drawing/2014/chart" uri="{C3380CC4-5D6E-409C-BE32-E72D297353CC}">
              <c16:uniqueId val="{00000000-4DDF-4495-90FA-A9318A2EF697}"/>
            </c:ext>
          </c:extLst>
        </c:ser>
        <c:ser>
          <c:idx val="1"/>
          <c:order val="1"/>
          <c:tx>
            <c:strRef>
              <c:f>'Page variable'!$J$261</c:f>
              <c:strCache>
                <c:ptCount val="1"/>
                <c:pt idx="0">
                  <c:v>Variante </c:v>
                </c:pt>
              </c:strCache>
            </c:strRef>
          </c:tx>
          <c:spPr>
            <a:solidFill>
              <a:srgbClr val="008000"/>
            </a:solidFill>
            <a:ln w="12700">
              <a:solidFill>
                <a:srgbClr val="000000"/>
              </a:solidFill>
              <a:prstDash val="solid"/>
            </a:ln>
          </c:spPr>
          <c:invertIfNegative val="0"/>
          <c:cat>
            <c:strRef>
              <c:f>'Normes pleine production'!$A$196:$A$197</c:f>
              <c:strCache>
                <c:ptCount val="2"/>
                <c:pt idx="0">
                  <c:v>Machines</c:v>
                </c:pt>
                <c:pt idx="1">
                  <c:v>Travail</c:v>
                </c:pt>
              </c:strCache>
            </c:strRef>
          </c:cat>
          <c:val>
            <c:numRef>
              <c:f>'Page variable'!$J$262:$J$263</c:f>
              <c:numCache>
                <c:formatCode>#,##0\ "Fr."</c:formatCode>
                <c:ptCount val="2"/>
                <c:pt idx="0">
                  <c:v>4330.6534090909081</c:v>
                </c:pt>
                <c:pt idx="1">
                  <c:v>10816.647727272728</c:v>
                </c:pt>
              </c:numCache>
            </c:numRef>
          </c:val>
          <c:extLst>
            <c:ext xmlns:c16="http://schemas.microsoft.com/office/drawing/2014/chart" uri="{C3380CC4-5D6E-409C-BE32-E72D297353CC}">
              <c16:uniqueId val="{00000001-4DDF-4495-90FA-A9318A2EF697}"/>
            </c:ext>
          </c:extLst>
        </c:ser>
        <c:dLbls>
          <c:showLegendKey val="0"/>
          <c:showVal val="0"/>
          <c:showCatName val="0"/>
          <c:showSerName val="0"/>
          <c:showPercent val="0"/>
          <c:showBubbleSize val="0"/>
        </c:dLbls>
        <c:gapWidth val="150"/>
        <c:axId val="293273064"/>
        <c:axId val="293273456"/>
      </c:barChart>
      <c:catAx>
        <c:axId val="2932730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293273456"/>
        <c:crosses val="autoZero"/>
        <c:auto val="1"/>
        <c:lblAlgn val="ctr"/>
        <c:lblOffset val="100"/>
        <c:tickLblSkip val="1"/>
        <c:tickMarkSkip val="1"/>
        <c:noMultiLvlLbl val="0"/>
      </c:catAx>
      <c:valAx>
        <c:axId val="293273456"/>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293273064"/>
        <c:crosses val="max"/>
        <c:crossBetween val="between"/>
      </c:valAx>
      <c:spPr>
        <a:noFill/>
        <a:ln w="3175">
          <a:solidFill>
            <a:srgbClr val="000000"/>
          </a:solidFill>
          <a:prstDash val="solid"/>
        </a:ln>
      </c:spPr>
    </c:plotArea>
    <c:legend>
      <c:legendPos val="r"/>
      <c:layout>
        <c:manualLayout>
          <c:xMode val="edge"/>
          <c:yMode val="edge"/>
          <c:x val="0.72259934862675324"/>
          <c:y val="0.13127413127413126"/>
          <c:w val="0.18673919143057049"/>
          <c:h val="0.2200774734239301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sng" strike="noStrike" baseline="0">
                <a:solidFill>
                  <a:srgbClr val="000000"/>
                </a:solidFill>
                <a:latin typeface="Arial"/>
                <a:ea typeface="Arial"/>
                <a:cs typeface="Arial"/>
              </a:defRPr>
            </a:pPr>
            <a:r>
              <a:rPr lang="de-CH"/>
              <a:t>Répartition en fonction des coûts spécifiques et de structure</a:t>
            </a:r>
          </a:p>
        </c:rich>
      </c:tx>
      <c:layout>
        <c:manualLayout>
          <c:xMode val="edge"/>
          <c:yMode val="edge"/>
          <c:x val="0.11788888051100316"/>
          <c:y val="3.2046214811383873E-2"/>
        </c:manualLayout>
      </c:layout>
      <c:overlay val="0"/>
      <c:spPr>
        <a:noFill/>
        <a:ln w="25400">
          <a:noFill/>
        </a:ln>
      </c:spPr>
    </c:title>
    <c:autoTitleDeleted val="0"/>
    <c:plotArea>
      <c:layout>
        <c:manualLayout>
          <c:layoutTarget val="inner"/>
          <c:xMode val="edge"/>
          <c:yMode val="edge"/>
          <c:x val="0.20762510911177856"/>
          <c:y val="0.11832393681301487"/>
          <c:w val="0.71085206848439442"/>
          <c:h val="0.76664050726765876"/>
        </c:manualLayout>
      </c:layout>
      <c:barChart>
        <c:barDir val="bar"/>
        <c:grouping val="clustered"/>
        <c:varyColors val="0"/>
        <c:ser>
          <c:idx val="0"/>
          <c:order val="0"/>
          <c:tx>
            <c:strRef>
              <c:f>'Normes pleine production'!$B$150</c:f>
              <c:strCache>
                <c:ptCount val="1"/>
                <c:pt idx="0">
                  <c:v>Norme</c:v>
                </c:pt>
              </c:strCache>
            </c:strRef>
          </c:tx>
          <c:spPr>
            <a:solidFill>
              <a:srgbClr val="000080"/>
            </a:solidFill>
            <a:ln w="12700">
              <a:solidFill>
                <a:srgbClr val="000000"/>
              </a:solidFill>
              <a:prstDash val="solid"/>
            </a:ln>
          </c:spPr>
          <c:invertIfNegative val="0"/>
          <c:cat>
            <c:strRef>
              <c:f>'Page variable'!$G$168:$G$169</c:f>
              <c:strCache>
                <c:ptCount val="2"/>
                <c:pt idx="0">
                  <c:v>Total des coûts spécifiques</c:v>
                </c:pt>
                <c:pt idx="1">
                  <c:v>Total des coûts de structure</c:v>
                </c:pt>
              </c:strCache>
            </c:strRef>
          </c:cat>
          <c:val>
            <c:numRef>
              <c:f>'Normes pleine production'!$B$151:$B$152</c:f>
              <c:numCache>
                <c:formatCode>\ #,##0\ "Fr."</c:formatCode>
                <c:ptCount val="2"/>
                <c:pt idx="0">
                  <c:v>14505.518322347882</c:v>
                </c:pt>
                <c:pt idx="1">
                  <c:v>25397.160438991719</c:v>
                </c:pt>
              </c:numCache>
            </c:numRef>
          </c:val>
          <c:extLst>
            <c:ext xmlns:c16="http://schemas.microsoft.com/office/drawing/2014/chart" uri="{C3380CC4-5D6E-409C-BE32-E72D297353CC}">
              <c16:uniqueId val="{00000000-CB4B-48C8-B8D2-EC0FF4B4277C}"/>
            </c:ext>
          </c:extLst>
        </c:ser>
        <c:ser>
          <c:idx val="1"/>
          <c:order val="1"/>
          <c:tx>
            <c:strRef>
              <c:f>'Page variable'!$J$167</c:f>
              <c:strCache>
                <c:ptCount val="1"/>
                <c:pt idx="0">
                  <c:v>Variante </c:v>
                </c:pt>
              </c:strCache>
            </c:strRef>
          </c:tx>
          <c:spPr>
            <a:solidFill>
              <a:srgbClr val="339933"/>
            </a:solidFill>
            <a:ln w="12700">
              <a:solidFill>
                <a:srgbClr val="000000"/>
              </a:solidFill>
              <a:prstDash val="solid"/>
            </a:ln>
          </c:spPr>
          <c:invertIfNegative val="0"/>
          <c:cat>
            <c:strRef>
              <c:f>'Page variable'!$G$168:$G$169</c:f>
              <c:strCache>
                <c:ptCount val="2"/>
                <c:pt idx="0">
                  <c:v>Total des coûts spécifiques</c:v>
                </c:pt>
                <c:pt idx="1">
                  <c:v>Total des coûts de structure</c:v>
                </c:pt>
              </c:strCache>
            </c:strRef>
          </c:cat>
          <c:val>
            <c:numRef>
              <c:f>'Page variable'!$J$168:$J$169</c:f>
              <c:numCache>
                <c:formatCode>#,##0\ "Fr."</c:formatCode>
                <c:ptCount val="2"/>
                <c:pt idx="0">
                  <c:v>14505.518322347882</c:v>
                </c:pt>
                <c:pt idx="1">
                  <c:v>25397.160438991719</c:v>
                </c:pt>
              </c:numCache>
            </c:numRef>
          </c:val>
          <c:extLst>
            <c:ext xmlns:c16="http://schemas.microsoft.com/office/drawing/2014/chart" uri="{C3380CC4-5D6E-409C-BE32-E72D297353CC}">
              <c16:uniqueId val="{00000001-CB4B-48C8-B8D2-EC0FF4B4277C}"/>
            </c:ext>
          </c:extLst>
        </c:ser>
        <c:dLbls>
          <c:showLegendKey val="0"/>
          <c:showVal val="0"/>
          <c:showCatName val="0"/>
          <c:showSerName val="0"/>
          <c:showPercent val="0"/>
          <c:showBubbleSize val="0"/>
        </c:dLbls>
        <c:gapWidth val="150"/>
        <c:axId val="293274240"/>
        <c:axId val="293274632"/>
      </c:barChart>
      <c:catAx>
        <c:axId val="29327424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293274632"/>
        <c:crosses val="autoZero"/>
        <c:auto val="1"/>
        <c:lblAlgn val="ctr"/>
        <c:lblOffset val="100"/>
        <c:tickLblSkip val="1"/>
        <c:tickMarkSkip val="1"/>
        <c:noMultiLvlLbl val="0"/>
      </c:catAx>
      <c:valAx>
        <c:axId val="293274632"/>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293274240"/>
        <c:crosses val="max"/>
        <c:crossBetween val="between"/>
      </c:valAx>
      <c:spPr>
        <a:noFill/>
        <a:ln w="3175">
          <a:solidFill>
            <a:srgbClr val="000000"/>
          </a:solidFill>
          <a:prstDash val="solid"/>
        </a:ln>
      </c:spPr>
    </c:plotArea>
    <c:legend>
      <c:legendPos val="r"/>
      <c:layout>
        <c:manualLayout>
          <c:xMode val="edge"/>
          <c:yMode val="edge"/>
          <c:x val="0.65937180219093683"/>
          <c:y val="0.16470588235294117"/>
          <c:w val="0.17510277870532942"/>
          <c:h val="0.2274509803921568"/>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15284743494516"/>
          <c:y val="0.15391135510196036"/>
          <c:w val="0.76532372422514283"/>
          <c:h val="0.73423285794541748"/>
        </c:manualLayout>
      </c:layout>
      <c:scatterChart>
        <c:scatterStyle val="lineMarker"/>
        <c:varyColors val="0"/>
        <c:ser>
          <c:idx val="0"/>
          <c:order val="0"/>
          <c:spPr>
            <a:ln w="25400">
              <a:solidFill>
                <a:srgbClr val="008000"/>
              </a:solidFill>
              <a:prstDash val="solid"/>
            </a:ln>
          </c:spPr>
          <c:marker>
            <c:symbol val="diamond"/>
            <c:size val="7"/>
            <c:spPr>
              <a:solidFill>
                <a:srgbClr val="008000"/>
              </a:solidFill>
              <a:ln>
                <a:solidFill>
                  <a:srgbClr val="008000"/>
                </a:solidFill>
                <a:prstDash val="solid"/>
              </a:ln>
            </c:spPr>
          </c:marker>
          <c:xVal>
            <c:numRef>
              <c:f>'Variante Cashflow'!$B$22:$B$37</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'Variante Cashflow'!$C$22:$C$37</c:f>
              <c:numCache>
                <c:formatCode>\ #,##0\ "Fr."</c:formatCode>
                <c:ptCount val="16"/>
                <c:pt idx="0">
                  <c:v>-59539.32327272727</c:v>
                </c:pt>
                <c:pt idx="1">
                  <c:v>-70160.613121818184</c:v>
                </c:pt>
                <c:pt idx="2">
                  <c:v>-78481.435386827274</c:v>
                </c:pt>
                <c:pt idx="3">
                  <c:v>-87471.623963084232</c:v>
                </c:pt>
                <c:pt idx="4">
                  <c:v>-92470.413663439584</c:v>
                </c:pt>
                <c:pt idx="5">
                  <c:v>-91141.1113456639</c:v>
                </c:pt>
                <c:pt idx="6">
                  <c:v>-83388.795629485219</c:v>
                </c:pt>
                <c:pt idx="7">
                  <c:v>-75520.195177563859</c:v>
                </c:pt>
                <c:pt idx="8">
                  <c:v>-67533.565718863683</c:v>
                </c:pt>
                <c:pt idx="9">
                  <c:v>-59427.136818283005</c:v>
                </c:pt>
                <c:pt idx="10">
                  <c:v>-52706.611484193621</c:v>
                </c:pt>
                <c:pt idx="11">
                  <c:v>-45885.27827009288</c:v>
                </c:pt>
                <c:pt idx="12">
                  <c:v>-38961.625057780635</c:v>
                </c:pt>
                <c:pt idx="13">
                  <c:v>-33441.617047283711</c:v>
                </c:pt>
                <c:pt idx="14">
                  <c:v>-27838.808916629321</c:v>
                </c:pt>
                <c:pt idx="15">
                  <c:v>-28651.958664015125</c:v>
                </c:pt>
              </c:numCache>
            </c:numRef>
          </c:yVal>
          <c:smooth val="0"/>
          <c:extLst>
            <c:ext xmlns:c16="http://schemas.microsoft.com/office/drawing/2014/chart" uri="{C3380CC4-5D6E-409C-BE32-E72D297353CC}">
              <c16:uniqueId val="{00000000-842B-405A-94BB-0B435E6F7A8E}"/>
            </c:ext>
          </c:extLst>
        </c:ser>
        <c:dLbls>
          <c:showLegendKey val="0"/>
          <c:showVal val="0"/>
          <c:showCatName val="0"/>
          <c:showSerName val="0"/>
          <c:showPercent val="0"/>
          <c:showBubbleSize val="0"/>
        </c:dLbls>
        <c:axId val="329385576"/>
        <c:axId val="329385968"/>
      </c:scatterChart>
      <c:valAx>
        <c:axId val="329385576"/>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CH"/>
                  <a:t>Années de végétation</a:t>
                </a:r>
              </a:p>
            </c:rich>
          </c:tx>
          <c:layout>
            <c:manualLayout>
              <c:xMode val="edge"/>
              <c:yMode val="edge"/>
              <c:x val="0.44945100077649219"/>
              <c:y val="0.9158986187332645"/>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424242"/>
                </a:solidFill>
                <a:latin typeface="Arial"/>
                <a:ea typeface="Arial"/>
                <a:cs typeface="Arial"/>
              </a:defRPr>
            </a:pPr>
            <a:endParaRPr lang="de-DE"/>
          </a:p>
        </c:txPr>
        <c:crossAx val="329385968"/>
        <c:crosses val="autoZero"/>
        <c:crossBetween val="midCat"/>
        <c:majorUnit val="1"/>
      </c:valAx>
      <c:valAx>
        <c:axId val="329385968"/>
        <c:scaling>
          <c:orientation val="minMax"/>
        </c:scaling>
        <c:delete val="0"/>
        <c:axPos val="l"/>
        <c:majorGridlines>
          <c:spPr>
            <a:ln w="12700">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7.8574912243549021E-3"/>
              <c:y val="0.44911848140194599"/>
            </c:manualLayout>
          </c:layout>
          <c:overlay val="0"/>
          <c:spPr>
            <a:noFill/>
            <a:ln w="25400">
              <a:noFill/>
            </a:ln>
          </c:spPr>
        </c:title>
        <c:numFmt formatCode="\ #,##0\ &quot;Fr.&quot;"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329385576"/>
        <c:crosses val="autoZero"/>
        <c:crossBetween val="midCat"/>
      </c:valAx>
      <c:spPr>
        <a:solidFill>
          <a:srgbClr val="FFFFFF"/>
        </a:solidFill>
        <a:ln w="12700">
          <a:solidFill>
            <a:srgbClr val="FFFFFF"/>
          </a:solidFill>
          <a:prstDash val="solid"/>
        </a:ln>
      </c:spPr>
    </c:plotArea>
    <c:plotVisOnly val="1"/>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30025881740354"/>
          <c:y val="0.1533950541489649"/>
          <c:w val="0.76529090157281343"/>
          <c:h val="0.73931386753763417"/>
        </c:manualLayout>
      </c:layout>
      <c:scatterChart>
        <c:scatterStyle val="lineMarker"/>
        <c:varyColors val="0"/>
        <c:ser>
          <c:idx val="0"/>
          <c:order val="0"/>
          <c:spPr>
            <a:ln w="25400">
              <a:solidFill>
                <a:srgbClr val="000080"/>
              </a:solidFill>
              <a:prstDash val="solid"/>
            </a:ln>
          </c:spPr>
          <c:marker>
            <c:symbol val="diamond"/>
            <c:size val="7"/>
            <c:spPr>
              <a:solidFill>
                <a:srgbClr val="000080"/>
              </a:solidFill>
              <a:ln>
                <a:solidFill>
                  <a:srgbClr val="000080"/>
                </a:solidFill>
                <a:prstDash val="solid"/>
              </a:ln>
            </c:spPr>
          </c:marker>
          <c:xVal>
            <c:numRef>
              <c:f>'Normes cashflow'!$B$22:$B$37</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'Normes cashflow'!$C$22:$C$37</c:f>
              <c:numCache>
                <c:formatCode>\ #,##0\ "Fr."</c:formatCode>
                <c:ptCount val="16"/>
                <c:pt idx="0">
                  <c:v>-59539.32327272727</c:v>
                </c:pt>
                <c:pt idx="1">
                  <c:v>-70160.613121818184</c:v>
                </c:pt>
                <c:pt idx="2">
                  <c:v>-78481.435386827274</c:v>
                </c:pt>
                <c:pt idx="3">
                  <c:v>-87471.623963084232</c:v>
                </c:pt>
                <c:pt idx="4">
                  <c:v>-92470.413663439584</c:v>
                </c:pt>
                <c:pt idx="5">
                  <c:v>-91141.1113456639</c:v>
                </c:pt>
                <c:pt idx="6">
                  <c:v>-83388.795629485219</c:v>
                </c:pt>
                <c:pt idx="7">
                  <c:v>-75520.195177563859</c:v>
                </c:pt>
                <c:pt idx="8">
                  <c:v>-67533.565718863683</c:v>
                </c:pt>
                <c:pt idx="9">
                  <c:v>-59427.136818283005</c:v>
                </c:pt>
                <c:pt idx="10">
                  <c:v>-52706.611484193621</c:v>
                </c:pt>
                <c:pt idx="11">
                  <c:v>-45885.27827009288</c:v>
                </c:pt>
                <c:pt idx="12">
                  <c:v>-38961.625057780635</c:v>
                </c:pt>
                <c:pt idx="13">
                  <c:v>-33441.617047283711</c:v>
                </c:pt>
                <c:pt idx="14">
                  <c:v>-27838.808916629321</c:v>
                </c:pt>
                <c:pt idx="15">
                  <c:v>-28651.958664015125</c:v>
                </c:pt>
              </c:numCache>
            </c:numRef>
          </c:yVal>
          <c:smooth val="0"/>
          <c:extLst>
            <c:ext xmlns:c16="http://schemas.microsoft.com/office/drawing/2014/chart" uri="{C3380CC4-5D6E-409C-BE32-E72D297353CC}">
              <c16:uniqueId val="{00000000-37D6-456B-A587-A17786149770}"/>
            </c:ext>
          </c:extLst>
        </c:ser>
        <c:dLbls>
          <c:showLegendKey val="0"/>
          <c:showVal val="0"/>
          <c:showCatName val="0"/>
          <c:showSerName val="0"/>
          <c:showPercent val="0"/>
          <c:showBubbleSize val="0"/>
        </c:dLbls>
        <c:axId val="290734280"/>
        <c:axId val="329387144"/>
      </c:scatterChart>
      <c:valAx>
        <c:axId val="290734280"/>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CH"/>
                  <a:t>Années de végétation</a:t>
                </a:r>
              </a:p>
            </c:rich>
          </c:tx>
          <c:layout>
            <c:manualLayout>
              <c:xMode val="edge"/>
              <c:yMode val="edge"/>
              <c:x val="0.45164715810279216"/>
              <c:y val="0.91785544196088376"/>
            </c:manualLayout>
          </c:layout>
          <c:overlay val="0"/>
          <c:spPr>
            <a:noFill/>
            <a:ln w="25400">
              <a:noFill/>
            </a:ln>
          </c:spPr>
        </c:title>
        <c:numFmt formatCode="General" sourceLinked="1"/>
        <c:majorTickMark val="cross"/>
        <c:minorTickMark val="none"/>
        <c:tickLblPos val="nextTo"/>
        <c:spPr>
          <a:ln w="3175">
            <a:solidFill>
              <a:srgbClr val="000000"/>
            </a:solidFill>
            <a:prstDash val="solid"/>
          </a:ln>
        </c:spPr>
        <c:txPr>
          <a:bodyPr rot="0" vert="horz"/>
          <a:lstStyle/>
          <a:p>
            <a:pPr>
              <a:defRPr sz="1000" b="0" i="0" u="none" strike="noStrike" baseline="0">
                <a:solidFill>
                  <a:srgbClr val="424242"/>
                </a:solidFill>
                <a:latin typeface="Arial"/>
                <a:ea typeface="Arial"/>
                <a:cs typeface="Arial"/>
              </a:defRPr>
            </a:pPr>
            <a:endParaRPr lang="de-DE"/>
          </a:p>
        </c:txPr>
        <c:crossAx val="329387144"/>
        <c:crosses val="autoZero"/>
        <c:crossBetween val="midCat"/>
        <c:majorUnit val="1"/>
      </c:valAx>
      <c:valAx>
        <c:axId val="329387144"/>
        <c:scaling>
          <c:orientation val="minMax"/>
        </c:scaling>
        <c:delete val="0"/>
        <c:axPos val="l"/>
        <c:majorGridlines>
          <c:spPr>
            <a:ln w="12700">
              <a:solidFill>
                <a:srgbClr val="000000"/>
              </a:solidFill>
              <a:prstDash val="sysDash"/>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7.8411271329470126E-3"/>
              <c:y val="0.45264134069934808"/>
            </c:manualLayout>
          </c:layout>
          <c:overlay val="0"/>
          <c:spPr>
            <a:noFill/>
            <a:ln w="25400">
              <a:noFill/>
            </a:ln>
          </c:spPr>
        </c:title>
        <c:numFmt formatCode="\ #,##0\ &quot;Fr.&quot;" sourceLinked="1"/>
        <c:majorTickMark val="cross"/>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290734280"/>
        <c:crosses val="autoZero"/>
        <c:crossBetween val="midCat"/>
      </c:valAx>
      <c:spPr>
        <a:solidFill>
          <a:srgbClr val="FFFFFF"/>
        </a:solidFill>
        <a:ln w="12700">
          <a:solidFill>
            <a:srgbClr val="FFFFFF"/>
          </a:solidFill>
          <a:prstDash val="solid"/>
        </a:ln>
      </c:spPr>
    </c:plotArea>
    <c:plotVisOnly val="1"/>
    <c:dispBlanksAs val="gap"/>
    <c:showDLblsOverMax val="0"/>
  </c:chart>
  <c:spPr>
    <a:solidFill>
      <a:srgbClr val="C0C0C0"/>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oddHeader>&amp;B</c:oddHeader>
      <c:oddFooter>Seite &amp;S</c:oddFooter>
    </c:headerFooter>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sng" strike="noStrike" baseline="0">
                <a:solidFill>
                  <a:srgbClr val="000000"/>
                </a:solidFill>
                <a:latin typeface="Arial"/>
                <a:ea typeface="Arial"/>
                <a:cs typeface="Arial"/>
              </a:defRPr>
            </a:pPr>
            <a:r>
              <a:rPr lang="de-CH"/>
              <a:t>Répartition des coûts de matériel</a:t>
            </a:r>
          </a:p>
        </c:rich>
      </c:tx>
      <c:layout>
        <c:manualLayout>
          <c:xMode val="edge"/>
          <c:yMode val="edge"/>
          <c:x val="0.2981260051379519"/>
          <c:y val="3.1225037087755335E-2"/>
        </c:manualLayout>
      </c:layout>
      <c:overlay val="0"/>
      <c:spPr>
        <a:noFill/>
        <a:ln w="25400">
          <a:noFill/>
        </a:ln>
      </c:spPr>
    </c:title>
    <c:autoTitleDeleted val="0"/>
    <c:plotArea>
      <c:layout>
        <c:manualLayout>
          <c:layoutTarget val="inner"/>
          <c:xMode val="edge"/>
          <c:yMode val="edge"/>
          <c:x val="0.26064735945485518"/>
          <c:y val="0.11769452341411696"/>
          <c:w val="0.67632027257240201"/>
          <c:h val="0.72778450192811106"/>
        </c:manualLayout>
      </c:layout>
      <c:barChart>
        <c:barDir val="bar"/>
        <c:grouping val="clustered"/>
        <c:varyColors val="0"/>
        <c:ser>
          <c:idx val="0"/>
          <c:order val="0"/>
          <c:tx>
            <c:strRef>
              <c:f>'Normes pleine production'!$B$142</c:f>
              <c:strCache>
                <c:ptCount val="1"/>
                <c:pt idx="0">
                  <c:v>Norme</c:v>
                </c:pt>
              </c:strCache>
            </c:strRef>
          </c:tx>
          <c:spPr>
            <a:solidFill>
              <a:srgbClr val="000080"/>
            </a:solidFill>
            <a:ln w="12700">
              <a:solidFill>
                <a:srgbClr val="000000"/>
              </a:solidFill>
              <a:prstDash val="solid"/>
            </a:ln>
          </c:spPr>
          <c:invertIfNegative val="0"/>
          <c:cat>
            <c:strRef>
              <c:f>'Normes pleine production'!$A$143:$A$146</c:f>
              <c:strCache>
                <c:ptCount val="4"/>
                <c:pt idx="0">
                  <c:v>Déductions   </c:v>
                </c:pt>
                <c:pt idx="1">
                  <c:v>Amortissement de la culture</c:v>
                </c:pt>
                <c:pt idx="2">
                  <c:v>Machines et équipements</c:v>
                </c:pt>
                <c:pt idx="3">
                  <c:v>Coûts divers (y compris PTP et engrais)</c:v>
                </c:pt>
              </c:strCache>
            </c:strRef>
          </c:cat>
          <c:val>
            <c:numRef>
              <c:f>'Normes pleine production'!$B$143:$B$146</c:f>
              <c:numCache>
                <c:formatCode>\ #,##0\ "Fr."</c:formatCode>
                <c:ptCount val="4"/>
                <c:pt idx="0">
                  <c:v>338.25</c:v>
                </c:pt>
                <c:pt idx="1">
                  <c:v>7289.3019969236857</c:v>
                </c:pt>
                <c:pt idx="2">
                  <c:v>6147.9383522727276</c:v>
                </c:pt>
                <c:pt idx="3">
                  <c:v>717.46632542419593</c:v>
                </c:pt>
              </c:numCache>
            </c:numRef>
          </c:val>
          <c:extLst>
            <c:ext xmlns:c16="http://schemas.microsoft.com/office/drawing/2014/chart" uri="{C3380CC4-5D6E-409C-BE32-E72D297353CC}">
              <c16:uniqueId val="{00000000-6D5D-4B76-9C36-CA4C1A27D40E}"/>
            </c:ext>
          </c:extLst>
        </c:ser>
        <c:ser>
          <c:idx val="1"/>
          <c:order val="1"/>
          <c:tx>
            <c:strRef>
              <c:f>'Page variable'!$J$144</c:f>
              <c:strCache>
                <c:ptCount val="1"/>
                <c:pt idx="0">
                  <c:v>Variante </c:v>
                </c:pt>
              </c:strCache>
            </c:strRef>
          </c:tx>
          <c:spPr>
            <a:solidFill>
              <a:srgbClr val="339933"/>
            </a:solidFill>
            <a:ln w="12700">
              <a:solidFill>
                <a:srgbClr val="000000"/>
              </a:solidFill>
              <a:prstDash val="solid"/>
            </a:ln>
          </c:spPr>
          <c:invertIfNegative val="0"/>
          <c:cat>
            <c:strRef>
              <c:f>'Normes pleine production'!$A$143:$A$146</c:f>
              <c:strCache>
                <c:ptCount val="4"/>
                <c:pt idx="0">
                  <c:v>Déductions   </c:v>
                </c:pt>
                <c:pt idx="1">
                  <c:v>Amortissement de la culture</c:v>
                </c:pt>
                <c:pt idx="2">
                  <c:v>Machines et équipements</c:v>
                </c:pt>
                <c:pt idx="3">
                  <c:v>Coûts divers (y compris PTP et engrais)</c:v>
                </c:pt>
              </c:strCache>
            </c:strRef>
          </c:cat>
          <c:val>
            <c:numRef>
              <c:f>'Page variable'!$J$145:$J$148</c:f>
              <c:numCache>
                <c:formatCode>\ #,##0\ "Fr."</c:formatCode>
                <c:ptCount val="4"/>
                <c:pt idx="0">
                  <c:v>338.25</c:v>
                </c:pt>
                <c:pt idx="1">
                  <c:v>7289.3019969236857</c:v>
                </c:pt>
                <c:pt idx="2">
                  <c:v>6147.9383522727276</c:v>
                </c:pt>
                <c:pt idx="3">
                  <c:v>717.46632542419593</c:v>
                </c:pt>
              </c:numCache>
            </c:numRef>
          </c:val>
          <c:extLst>
            <c:ext xmlns:c16="http://schemas.microsoft.com/office/drawing/2014/chart" uri="{C3380CC4-5D6E-409C-BE32-E72D297353CC}">
              <c16:uniqueId val="{00000001-6D5D-4B76-9C36-CA4C1A27D40E}"/>
            </c:ext>
          </c:extLst>
        </c:ser>
        <c:dLbls>
          <c:showLegendKey val="0"/>
          <c:showVal val="0"/>
          <c:showCatName val="0"/>
          <c:showSerName val="0"/>
          <c:showPercent val="0"/>
          <c:showBubbleSize val="0"/>
        </c:dLbls>
        <c:gapWidth val="150"/>
        <c:axId val="86108472"/>
        <c:axId val="293059624"/>
      </c:barChart>
      <c:catAx>
        <c:axId val="86108472"/>
        <c:scaling>
          <c:orientation val="maxMin"/>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293059624"/>
        <c:crosses val="autoZero"/>
        <c:auto val="1"/>
        <c:lblAlgn val="ctr"/>
        <c:lblOffset val="100"/>
        <c:tickLblSkip val="1"/>
        <c:tickMarkSkip val="1"/>
        <c:noMultiLvlLbl val="0"/>
      </c:catAx>
      <c:valAx>
        <c:axId val="293059624"/>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86108472"/>
        <c:crosses val="max"/>
        <c:crossBetween val="between"/>
      </c:valAx>
      <c:spPr>
        <a:noFill/>
        <a:ln w="3175">
          <a:solidFill>
            <a:srgbClr val="000000"/>
          </a:solidFill>
          <a:prstDash val="solid"/>
        </a:ln>
      </c:spPr>
    </c:plotArea>
    <c:legend>
      <c:legendPos val="r"/>
      <c:layout>
        <c:manualLayout>
          <c:xMode val="edge"/>
          <c:yMode val="edge"/>
          <c:x val="0.7201603695426666"/>
          <c:y val="0.64427007147821935"/>
          <c:w val="0.16976162130927275"/>
          <c:h val="0.21541553847271067"/>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25400">
      <a:solidFill>
        <a:srgbClr val="00008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de-CH" sz="1400" b="1" i="0" u="none" strike="noStrike" baseline="0">
                <a:solidFill>
                  <a:srgbClr val="000000"/>
                </a:solidFill>
                <a:latin typeface="Arial"/>
                <a:cs typeface="Arial"/>
              </a:rPr>
              <a:t>Comparaison des coûts de production et du rendement</a:t>
            </a:r>
          </a:p>
          <a:p>
            <a:pPr>
              <a:defRPr sz="1400" b="1" i="0" u="none" strike="noStrike" baseline="0">
                <a:solidFill>
                  <a:srgbClr val="000000"/>
                </a:solidFill>
                <a:latin typeface="Arial"/>
                <a:ea typeface="Arial"/>
                <a:cs typeface="Arial"/>
              </a:defRPr>
            </a:pPr>
            <a:endParaRPr lang="de-CH" sz="1400"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r>
              <a:rPr lang="de-CH" sz="1400" b="1" i="0" u="none" strike="noStrike" baseline="0">
                <a:solidFill>
                  <a:srgbClr val="3366FF"/>
                </a:solidFill>
                <a:latin typeface="Arial"/>
                <a:cs typeface="Arial"/>
              </a:rPr>
              <a:t>Norme</a:t>
            </a:r>
            <a:endParaRPr lang="de-CH" sz="1525" b="1" i="0" u="none" strike="noStrike" baseline="0">
              <a:solidFill>
                <a:srgbClr val="000000"/>
              </a:solidFill>
              <a:latin typeface="Arial"/>
              <a:cs typeface="Arial"/>
            </a:endParaRPr>
          </a:p>
          <a:p>
            <a:pPr>
              <a:defRPr sz="1400" b="1" i="0" u="none" strike="noStrike" baseline="0">
                <a:solidFill>
                  <a:srgbClr val="000000"/>
                </a:solidFill>
                <a:latin typeface="Arial"/>
                <a:ea typeface="Arial"/>
                <a:cs typeface="Arial"/>
              </a:defRPr>
            </a:pPr>
            <a:endParaRPr lang="de-CH" sz="1525" b="1" i="1" u="none" strike="noStrike" baseline="0">
              <a:solidFill>
                <a:srgbClr val="000080"/>
              </a:solidFill>
              <a:latin typeface="Arial"/>
              <a:cs typeface="Arial"/>
            </a:endParaRPr>
          </a:p>
          <a:p>
            <a:pPr>
              <a:defRPr sz="1400" b="1" i="0" u="none" strike="noStrike" baseline="0">
                <a:solidFill>
                  <a:srgbClr val="000000"/>
                </a:solidFill>
                <a:latin typeface="Arial"/>
                <a:ea typeface="Arial"/>
                <a:cs typeface="Arial"/>
              </a:defRPr>
            </a:pPr>
            <a:endParaRPr lang="de-CH" sz="1525" b="1" i="1" u="none" strike="noStrike" baseline="0">
              <a:solidFill>
                <a:srgbClr val="000080"/>
              </a:solidFill>
              <a:latin typeface="Arial"/>
              <a:cs typeface="Arial"/>
            </a:endParaRPr>
          </a:p>
        </c:rich>
      </c:tx>
      <c:layout>
        <c:manualLayout>
          <c:xMode val="edge"/>
          <c:yMode val="edge"/>
          <c:x val="0.13499108773229071"/>
          <c:y val="2.4669253621403833E-2"/>
        </c:manualLayout>
      </c:layout>
      <c:overlay val="0"/>
      <c:spPr>
        <a:noFill/>
        <a:ln w="25400">
          <a:noFill/>
        </a:ln>
      </c:spPr>
    </c:title>
    <c:autoTitleDeleted val="0"/>
    <c:plotArea>
      <c:layout>
        <c:manualLayout>
          <c:layoutTarget val="inner"/>
          <c:xMode val="edge"/>
          <c:yMode val="edge"/>
          <c:x val="0.2024866785079929"/>
          <c:y val="0.17054010231400596"/>
          <c:w val="0.77264653641207814"/>
          <c:h val="0.71541036631095578"/>
        </c:manualLayout>
      </c:layout>
      <c:barChart>
        <c:barDir val="col"/>
        <c:grouping val="clustered"/>
        <c:varyColors val="0"/>
        <c:ser>
          <c:idx val="0"/>
          <c:order val="0"/>
          <c:tx>
            <c:strRef>
              <c:f>'Normes cashflow'!$D$21</c:f>
              <c:strCache>
                <c:ptCount val="1"/>
                <c:pt idx="0">
                  <c:v>Rendement</c:v>
                </c:pt>
              </c:strCache>
            </c:strRef>
          </c:tx>
          <c:spPr>
            <a:solidFill>
              <a:srgbClr val="69FFFF"/>
            </a:solidFill>
            <a:ln w="12700">
              <a:solidFill>
                <a:srgbClr val="000000"/>
              </a:solidFill>
              <a:prstDash val="solid"/>
            </a:ln>
          </c:spPr>
          <c:invertIfNegative val="0"/>
          <c:cat>
            <c:numRef>
              <c:f>'Normes cashflow'!$B$22:$B$37</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'Normes cashflow'!$D$22:$D$37</c:f>
              <c:numCache>
                <c:formatCode>#,##0\ "Fr."</c:formatCode>
                <c:ptCount val="16"/>
                <c:pt idx="0">
                  <c:v>0</c:v>
                </c:pt>
                <c:pt idx="1">
                  <c:v>1100</c:v>
                </c:pt>
                <c:pt idx="2">
                  <c:v>5585</c:v>
                </c:pt>
                <c:pt idx="3">
                  <c:v>17246</c:v>
                </c:pt>
                <c:pt idx="4">
                  <c:v>23525.000000000004</c:v>
                </c:pt>
                <c:pt idx="5">
                  <c:v>32495.000000000004</c:v>
                </c:pt>
                <c:pt idx="6">
                  <c:v>41465</c:v>
                </c:pt>
                <c:pt idx="7">
                  <c:v>41465</c:v>
                </c:pt>
                <c:pt idx="8">
                  <c:v>41465</c:v>
                </c:pt>
                <c:pt idx="9">
                  <c:v>41465</c:v>
                </c:pt>
                <c:pt idx="10">
                  <c:v>39957.5</c:v>
                </c:pt>
                <c:pt idx="11">
                  <c:v>39957.5</c:v>
                </c:pt>
                <c:pt idx="12">
                  <c:v>39957.5</c:v>
                </c:pt>
                <c:pt idx="13">
                  <c:v>38450</c:v>
                </c:pt>
                <c:pt idx="14">
                  <c:v>38450</c:v>
                </c:pt>
                <c:pt idx="15">
                  <c:v>38450</c:v>
                </c:pt>
              </c:numCache>
            </c:numRef>
          </c:val>
          <c:extLst>
            <c:ext xmlns:c16="http://schemas.microsoft.com/office/drawing/2014/chart" uri="{C3380CC4-5D6E-409C-BE32-E72D297353CC}">
              <c16:uniqueId val="{00000000-6853-4A92-9AAC-C155FE46C29A}"/>
            </c:ext>
          </c:extLst>
        </c:ser>
        <c:ser>
          <c:idx val="1"/>
          <c:order val="1"/>
          <c:tx>
            <c:strRef>
              <c:f>'Normes cashflow'!$E$21</c:f>
              <c:strCache>
                <c:ptCount val="1"/>
                <c:pt idx="0">
                  <c:v>Coûts de production</c:v>
                </c:pt>
              </c:strCache>
            </c:strRef>
          </c:tx>
          <c:spPr>
            <a:solidFill>
              <a:srgbClr val="0000FF"/>
            </a:solidFill>
            <a:ln w="12700">
              <a:solidFill>
                <a:srgbClr val="000000"/>
              </a:solidFill>
              <a:prstDash val="solid"/>
            </a:ln>
          </c:spPr>
          <c:invertIfNegative val="0"/>
          <c:cat>
            <c:numRef>
              <c:f>'Normes cashflow'!$B$22:$B$37</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cat>
          <c:val>
            <c:numRef>
              <c:f>'Normes cashflow'!$E$22:$E$37</c:f>
              <c:numCache>
                <c:formatCode>#,##0\ "Fr."</c:formatCode>
                <c:ptCount val="16"/>
                <c:pt idx="0">
                  <c:v>59539.32327272727</c:v>
                </c:pt>
                <c:pt idx="1">
                  <c:v>11721.289849090908</c:v>
                </c:pt>
                <c:pt idx="2">
                  <c:v>13905.82226500909</c:v>
                </c:pt>
                <c:pt idx="3">
                  <c:v>26236.188576256955</c:v>
                </c:pt>
                <c:pt idx="4">
                  <c:v>28523.789700355352</c:v>
                </c:pt>
                <c:pt idx="5">
                  <c:v>31165.697682224323</c:v>
                </c:pt>
                <c:pt idx="6">
                  <c:v>33712.68428382132</c:v>
                </c:pt>
                <c:pt idx="7">
                  <c:v>33596.39954807864</c:v>
                </c:pt>
                <c:pt idx="8">
                  <c:v>33478.370541299824</c:v>
                </c:pt>
                <c:pt idx="9">
                  <c:v>33358.571099419321</c:v>
                </c:pt>
                <c:pt idx="10">
                  <c:v>33236.974665910609</c:v>
                </c:pt>
                <c:pt idx="11">
                  <c:v>33136.166785899266</c:v>
                </c:pt>
                <c:pt idx="12">
                  <c:v>33033.846787687755</c:v>
                </c:pt>
                <c:pt idx="13">
                  <c:v>32929.991989503076</c:v>
                </c:pt>
                <c:pt idx="14">
                  <c:v>32847.191869345617</c:v>
                </c:pt>
                <c:pt idx="15">
                  <c:v>39263.149747385803</c:v>
                </c:pt>
              </c:numCache>
            </c:numRef>
          </c:val>
          <c:extLst>
            <c:ext xmlns:c16="http://schemas.microsoft.com/office/drawing/2014/chart" uri="{C3380CC4-5D6E-409C-BE32-E72D297353CC}">
              <c16:uniqueId val="{00000001-6853-4A92-9AAC-C155FE46C29A}"/>
            </c:ext>
          </c:extLst>
        </c:ser>
        <c:dLbls>
          <c:showLegendKey val="0"/>
          <c:showVal val="0"/>
          <c:showCatName val="0"/>
          <c:showSerName val="0"/>
          <c:showPercent val="0"/>
          <c:showBubbleSize val="0"/>
        </c:dLbls>
        <c:gapWidth val="150"/>
        <c:axId val="293324768"/>
        <c:axId val="292823304"/>
      </c:barChart>
      <c:catAx>
        <c:axId val="293324768"/>
        <c:scaling>
          <c:orientation val="minMax"/>
        </c:scaling>
        <c:delete val="0"/>
        <c:axPos val="b"/>
        <c:title>
          <c:tx>
            <c:rich>
              <a:bodyPr/>
              <a:lstStyle/>
              <a:p>
                <a:pPr>
                  <a:defRPr sz="975" b="1" i="0" u="none" strike="noStrike" baseline="0">
                    <a:solidFill>
                      <a:srgbClr val="000000"/>
                    </a:solidFill>
                    <a:latin typeface="Arial"/>
                    <a:ea typeface="Arial"/>
                    <a:cs typeface="Arial"/>
                  </a:defRPr>
                </a:pPr>
                <a:r>
                  <a:rPr lang="de-CH"/>
                  <a:t>Années de végétation</a:t>
                </a:r>
              </a:p>
            </c:rich>
          </c:tx>
          <c:layout>
            <c:manualLayout>
              <c:xMode val="edge"/>
              <c:yMode val="edge"/>
              <c:x val="0.46358785027390248"/>
              <c:y val="0.91276493544815784"/>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292823304"/>
        <c:crosses val="autoZero"/>
        <c:auto val="1"/>
        <c:lblAlgn val="ctr"/>
        <c:lblOffset val="100"/>
        <c:tickLblSkip val="1"/>
        <c:tickMarkSkip val="1"/>
        <c:noMultiLvlLbl val="0"/>
      </c:catAx>
      <c:valAx>
        <c:axId val="2928233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de-CH"/>
                  <a:t>Fr. / ha</a:t>
                </a:r>
              </a:p>
            </c:rich>
          </c:tx>
          <c:layout>
            <c:manualLayout>
              <c:xMode val="edge"/>
              <c:yMode val="edge"/>
              <c:x val="3.9076391384686875E-2"/>
              <c:y val="0.50196706180958151"/>
            </c:manualLayout>
          </c:layout>
          <c:overlay val="0"/>
          <c:spPr>
            <a:noFill/>
            <a:ln w="25400">
              <a:noFill/>
            </a:ln>
          </c:spPr>
        </c:title>
        <c:numFmt formatCode="#,##0\ &quot;Fr.&quot;"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a:ea typeface="Arial"/>
                <a:cs typeface="Arial"/>
              </a:defRPr>
            </a:pPr>
            <a:endParaRPr lang="de-DE"/>
          </a:p>
        </c:txPr>
        <c:crossAx val="293324768"/>
        <c:crosses val="autoZero"/>
        <c:crossBetween val="between"/>
      </c:valAx>
      <c:spPr>
        <a:noFill/>
        <a:ln w="3175">
          <a:solidFill>
            <a:srgbClr val="000000"/>
          </a:solidFill>
          <a:prstDash val="solid"/>
        </a:ln>
      </c:spPr>
    </c:plotArea>
    <c:legend>
      <c:legendPos val="r"/>
      <c:layout>
        <c:manualLayout>
          <c:xMode val="edge"/>
          <c:yMode val="edge"/>
          <c:x val="0.36929515034687055"/>
          <c:y val="0.95858121285135234"/>
          <c:w val="0.38036015726249983"/>
          <c:h val="2.4513947590870666E-2"/>
        </c:manualLayout>
      </c:layout>
      <c:overlay val="0"/>
      <c:spPr>
        <a:solidFill>
          <a:srgbClr val="FFFFFF"/>
        </a:solidFill>
        <a:ln w="3175">
          <a:solidFill>
            <a:srgbClr val="000000"/>
          </a:solidFill>
          <a:prstDash val="solid"/>
        </a:ln>
      </c:spPr>
      <c:txPr>
        <a:bodyPr/>
        <a:lstStyle/>
        <a:p>
          <a:pPr>
            <a:defRPr sz="89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sng" strike="noStrike" baseline="0">
                <a:solidFill>
                  <a:srgbClr val="000000"/>
                </a:solidFill>
                <a:latin typeface="Arial"/>
                <a:ea typeface="Arial"/>
                <a:cs typeface="Arial"/>
              </a:defRPr>
            </a:pPr>
            <a:r>
              <a:rPr lang="de-CH"/>
              <a:t>Part des coûts de main d'oeuvre, des coûts du capital et de matériel</a:t>
            </a:r>
          </a:p>
        </c:rich>
      </c:tx>
      <c:layout>
        <c:manualLayout>
          <c:xMode val="edge"/>
          <c:yMode val="edge"/>
          <c:x val="0.14957540029718505"/>
          <c:y val="1.6501635925646282E-2"/>
        </c:manualLayout>
      </c:layout>
      <c:overlay val="0"/>
      <c:spPr>
        <a:noFill/>
        <a:ln w="25400">
          <a:noFill/>
        </a:ln>
      </c:spPr>
    </c:title>
    <c:autoTitleDeleted val="0"/>
    <c:plotArea>
      <c:layout>
        <c:manualLayout>
          <c:layoutTarget val="inner"/>
          <c:xMode val="edge"/>
          <c:yMode val="edge"/>
          <c:x val="0.2549580713484228"/>
          <c:y val="0.15841584158415842"/>
          <c:w val="0.67648874931114844"/>
          <c:h val="0.72937293729372932"/>
        </c:manualLayout>
      </c:layout>
      <c:barChart>
        <c:barDir val="bar"/>
        <c:grouping val="clustered"/>
        <c:varyColors val="0"/>
        <c:ser>
          <c:idx val="0"/>
          <c:order val="0"/>
          <c:tx>
            <c:strRef>
              <c:f>'Normes pleine production'!$B$118</c:f>
              <c:strCache>
                <c:ptCount val="1"/>
                <c:pt idx="0">
                  <c:v>Norme</c:v>
                </c:pt>
              </c:strCache>
            </c:strRef>
          </c:tx>
          <c:spPr>
            <a:solidFill>
              <a:srgbClr val="000080"/>
            </a:solidFill>
            <a:ln w="12700">
              <a:solidFill>
                <a:srgbClr val="000000"/>
              </a:solidFill>
              <a:prstDash val="solid"/>
            </a:ln>
          </c:spPr>
          <c:invertIfNegative val="0"/>
          <c:cat>
            <c:strRef>
              <c:f>'Page variable'!$G$90:$G$92</c:f>
              <c:strCache>
                <c:ptCount val="3"/>
                <c:pt idx="0">
                  <c:v>Coûts de main-d'oeuvre</c:v>
                </c:pt>
                <c:pt idx="1">
                  <c:v>Coûts du capital (intérêt calculé)</c:v>
                </c:pt>
                <c:pt idx="2">
                  <c:v>Coûts de matériel</c:v>
                </c:pt>
              </c:strCache>
            </c:strRef>
          </c:cat>
          <c:val>
            <c:numRef>
              <c:f>'Normes pleine production'!$B$119:$B$121</c:f>
              <c:numCache>
                <c:formatCode>\ #,##0\ "Fr."</c:formatCode>
                <c:ptCount val="3"/>
                <c:pt idx="0">
                  <c:v>23437.647727272728</c:v>
                </c:pt>
                <c:pt idx="1">
                  <c:v>1972.0743594462635</c:v>
                </c:pt>
                <c:pt idx="2">
                  <c:v>14492.956674620609</c:v>
                </c:pt>
              </c:numCache>
            </c:numRef>
          </c:val>
          <c:extLst>
            <c:ext xmlns:c16="http://schemas.microsoft.com/office/drawing/2014/chart" uri="{C3380CC4-5D6E-409C-BE32-E72D297353CC}">
              <c16:uniqueId val="{00000000-94E3-4DB7-8DAC-2B03EE5B9428}"/>
            </c:ext>
          </c:extLst>
        </c:ser>
        <c:ser>
          <c:idx val="1"/>
          <c:order val="1"/>
          <c:tx>
            <c:strRef>
              <c:f>'Page variable'!$J$89</c:f>
              <c:strCache>
                <c:ptCount val="1"/>
                <c:pt idx="0">
                  <c:v>Variante </c:v>
                </c:pt>
              </c:strCache>
            </c:strRef>
          </c:tx>
          <c:spPr>
            <a:solidFill>
              <a:srgbClr val="339933"/>
            </a:solidFill>
            <a:ln w="12700">
              <a:solidFill>
                <a:srgbClr val="000000"/>
              </a:solidFill>
              <a:prstDash val="solid"/>
            </a:ln>
          </c:spPr>
          <c:invertIfNegative val="0"/>
          <c:cat>
            <c:strRef>
              <c:f>'Page variable'!$G$90:$G$92</c:f>
              <c:strCache>
                <c:ptCount val="3"/>
                <c:pt idx="0">
                  <c:v>Coûts de main-d'oeuvre</c:v>
                </c:pt>
                <c:pt idx="1">
                  <c:v>Coûts du capital (intérêt calculé)</c:v>
                </c:pt>
                <c:pt idx="2">
                  <c:v>Coûts de matériel</c:v>
                </c:pt>
              </c:strCache>
            </c:strRef>
          </c:cat>
          <c:val>
            <c:numRef>
              <c:f>'Page variable'!$J$90:$J$92</c:f>
              <c:numCache>
                <c:formatCode>#,##0\ "Fr."</c:formatCode>
                <c:ptCount val="3"/>
                <c:pt idx="0">
                  <c:v>23437.647727272728</c:v>
                </c:pt>
                <c:pt idx="1">
                  <c:v>1972.0743594462635</c:v>
                </c:pt>
                <c:pt idx="2">
                  <c:v>14492.956674620609</c:v>
                </c:pt>
              </c:numCache>
            </c:numRef>
          </c:val>
          <c:extLst>
            <c:ext xmlns:c16="http://schemas.microsoft.com/office/drawing/2014/chart" uri="{C3380CC4-5D6E-409C-BE32-E72D297353CC}">
              <c16:uniqueId val="{00000001-94E3-4DB7-8DAC-2B03EE5B9428}"/>
            </c:ext>
          </c:extLst>
        </c:ser>
        <c:dLbls>
          <c:showLegendKey val="0"/>
          <c:showVal val="0"/>
          <c:showCatName val="0"/>
          <c:showSerName val="0"/>
          <c:showPercent val="0"/>
          <c:showBubbleSize val="0"/>
        </c:dLbls>
        <c:gapWidth val="100"/>
        <c:axId val="292377144"/>
        <c:axId val="292909136"/>
      </c:barChart>
      <c:catAx>
        <c:axId val="2923771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292909136"/>
        <c:crosses val="autoZero"/>
        <c:auto val="1"/>
        <c:lblAlgn val="ctr"/>
        <c:lblOffset val="100"/>
        <c:tickLblSkip val="1"/>
        <c:tickMarkSkip val="1"/>
        <c:noMultiLvlLbl val="0"/>
      </c:catAx>
      <c:valAx>
        <c:axId val="292909136"/>
        <c:scaling>
          <c:orientation val="minMax"/>
        </c:scaling>
        <c:delete val="0"/>
        <c:axPos val="b"/>
        <c:majorGridlines>
          <c:spPr>
            <a:ln w="3175">
              <a:solidFill>
                <a:srgbClr val="000000"/>
              </a:solidFill>
              <a:prstDash val="solid"/>
            </a:ln>
          </c:spPr>
        </c:majorGridlines>
        <c:numFmt formatCode="\ #,##0\ &quot;Fr.&quot;" sourceLinked="1"/>
        <c:majorTickMark val="out"/>
        <c:minorTickMark val="out"/>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292377144"/>
        <c:crosses val="max"/>
        <c:crossBetween val="between"/>
        <c:minorUnit val="1000"/>
      </c:valAx>
      <c:spPr>
        <a:noFill/>
        <a:ln w="3175">
          <a:solidFill>
            <a:srgbClr val="000000"/>
          </a:solidFill>
          <a:prstDash val="solid"/>
        </a:ln>
      </c:spPr>
    </c:plotArea>
    <c:legend>
      <c:legendPos val="r"/>
      <c:layout>
        <c:manualLayout>
          <c:xMode val="edge"/>
          <c:yMode val="edge"/>
          <c:x val="0.65211779083170152"/>
          <c:y val="0.17260345881422356"/>
          <c:w val="0.16931251649099421"/>
          <c:h val="0.27123395534462302"/>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horizontalDpi="200" verticalDpi="2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rgbClr val="000000"/>
                </a:solidFill>
                <a:latin typeface="Arial"/>
                <a:ea typeface="Arial"/>
                <a:cs typeface="Arial"/>
              </a:defRPr>
            </a:pPr>
            <a:r>
              <a:rPr lang="de-CH" sz="1600" b="1" i="0" u="none" strike="noStrike" baseline="0">
                <a:solidFill>
                  <a:srgbClr val="000000"/>
                </a:solidFill>
                <a:latin typeface="Arial"/>
                <a:cs typeface="Arial"/>
              </a:rPr>
              <a:t>Comparaison des coûts de production et du rendement</a:t>
            </a:r>
          </a:p>
          <a:p>
            <a:pPr>
              <a:defRPr sz="1600" b="1" i="0" u="none" strike="noStrike" baseline="0">
                <a:solidFill>
                  <a:srgbClr val="000000"/>
                </a:solidFill>
                <a:latin typeface="Arial"/>
                <a:ea typeface="Arial"/>
                <a:cs typeface="Arial"/>
              </a:defRPr>
            </a:pPr>
            <a:endParaRPr lang="de-CH" sz="1600" b="1" i="0" u="none" strike="noStrike" baseline="0">
              <a:solidFill>
                <a:srgbClr val="339933"/>
              </a:solidFill>
              <a:latin typeface="Arial"/>
              <a:cs typeface="Arial"/>
            </a:endParaRPr>
          </a:p>
          <a:p>
            <a:pPr>
              <a:defRPr sz="1600" b="1" i="0" u="none" strike="noStrike" baseline="0">
                <a:solidFill>
                  <a:srgbClr val="000000"/>
                </a:solidFill>
                <a:latin typeface="Arial"/>
                <a:ea typeface="Arial"/>
                <a:cs typeface="Arial"/>
              </a:defRPr>
            </a:pPr>
            <a:r>
              <a:rPr lang="de-CH" sz="1600" b="1" i="0" u="none" strike="noStrike" baseline="0">
                <a:solidFill>
                  <a:srgbClr val="339933"/>
                </a:solidFill>
                <a:latin typeface="Arial"/>
                <a:cs typeface="Arial"/>
              </a:rPr>
              <a:t>Variante</a:t>
            </a:r>
          </a:p>
        </c:rich>
      </c:tx>
      <c:layout>
        <c:manualLayout>
          <c:xMode val="edge"/>
          <c:yMode val="edge"/>
          <c:x val="0.17957261592300963"/>
          <c:y val="2.4740090751367943E-2"/>
        </c:manualLayout>
      </c:layout>
      <c:overlay val="0"/>
      <c:spPr>
        <a:noFill/>
        <a:ln w="25400">
          <a:noFill/>
        </a:ln>
      </c:spPr>
    </c:title>
    <c:autoTitleDeleted val="0"/>
    <c:plotArea>
      <c:layout>
        <c:manualLayout>
          <c:layoutTarget val="inner"/>
          <c:xMode val="edge"/>
          <c:yMode val="edge"/>
          <c:x val="0.20522584362552296"/>
          <c:y val="0.17748309309668922"/>
          <c:w val="0.77387245200457622"/>
          <c:h val="0.69379754574160324"/>
        </c:manualLayout>
      </c:layout>
      <c:barChart>
        <c:barDir val="col"/>
        <c:grouping val="clustered"/>
        <c:varyColors val="0"/>
        <c:ser>
          <c:idx val="2"/>
          <c:order val="0"/>
          <c:tx>
            <c:strRef>
              <c:f>'Variante Cashflow'!$D$21</c:f>
              <c:strCache>
                <c:ptCount val="1"/>
                <c:pt idx="0">
                  <c:v>Rendement</c:v>
                </c:pt>
              </c:strCache>
            </c:strRef>
          </c:tx>
          <c:spPr>
            <a:solidFill>
              <a:srgbClr val="00FF00"/>
            </a:solidFill>
            <a:ln w="12700">
              <a:solidFill>
                <a:srgbClr val="000000"/>
              </a:solidFill>
              <a:prstDash val="solid"/>
            </a:ln>
          </c:spPr>
          <c:invertIfNegative val="0"/>
          <c:val>
            <c:numRef>
              <c:f>'Variante Cashflow'!$D$22:$D$37</c:f>
              <c:numCache>
                <c:formatCode>#,##0\ "Fr."</c:formatCode>
                <c:ptCount val="16"/>
                <c:pt idx="0">
                  <c:v>0</c:v>
                </c:pt>
                <c:pt idx="1">
                  <c:v>1100</c:v>
                </c:pt>
                <c:pt idx="2">
                  <c:v>5585</c:v>
                </c:pt>
                <c:pt idx="3">
                  <c:v>17246</c:v>
                </c:pt>
                <c:pt idx="4">
                  <c:v>23525.000000000004</c:v>
                </c:pt>
                <c:pt idx="5">
                  <c:v>32495.000000000004</c:v>
                </c:pt>
                <c:pt idx="6">
                  <c:v>41465</c:v>
                </c:pt>
                <c:pt idx="7">
                  <c:v>41465</c:v>
                </c:pt>
                <c:pt idx="8">
                  <c:v>41465</c:v>
                </c:pt>
                <c:pt idx="9">
                  <c:v>41465</c:v>
                </c:pt>
                <c:pt idx="10">
                  <c:v>39957.5</c:v>
                </c:pt>
                <c:pt idx="11">
                  <c:v>39957.5</c:v>
                </c:pt>
                <c:pt idx="12">
                  <c:v>39957.5</c:v>
                </c:pt>
                <c:pt idx="13">
                  <c:v>38450</c:v>
                </c:pt>
                <c:pt idx="14">
                  <c:v>38450</c:v>
                </c:pt>
                <c:pt idx="15">
                  <c:v>38450</c:v>
                </c:pt>
              </c:numCache>
            </c:numRef>
          </c:val>
          <c:extLst>
            <c:ext xmlns:c16="http://schemas.microsoft.com/office/drawing/2014/chart" uri="{C3380CC4-5D6E-409C-BE32-E72D297353CC}">
              <c16:uniqueId val="{00000000-855B-460F-AFC2-02EE72B1B981}"/>
            </c:ext>
          </c:extLst>
        </c:ser>
        <c:ser>
          <c:idx val="3"/>
          <c:order val="1"/>
          <c:tx>
            <c:strRef>
              <c:f>'Variante Cashflow'!$E$21</c:f>
              <c:strCache>
                <c:ptCount val="1"/>
                <c:pt idx="0">
                  <c:v>Coûts de production</c:v>
                </c:pt>
              </c:strCache>
            </c:strRef>
          </c:tx>
          <c:spPr>
            <a:solidFill>
              <a:srgbClr val="008000"/>
            </a:solidFill>
            <a:ln w="12700">
              <a:solidFill>
                <a:srgbClr val="000000"/>
              </a:solidFill>
              <a:prstDash val="solid"/>
            </a:ln>
          </c:spPr>
          <c:invertIfNegative val="0"/>
          <c:val>
            <c:numRef>
              <c:f>'Variante Cashflow'!$E$22:$E$37</c:f>
              <c:numCache>
                <c:formatCode>#,##0\ "Fr."</c:formatCode>
                <c:ptCount val="16"/>
                <c:pt idx="0">
                  <c:v>59539.32327272727</c:v>
                </c:pt>
                <c:pt idx="1">
                  <c:v>11721.289849090908</c:v>
                </c:pt>
                <c:pt idx="2">
                  <c:v>13905.82226500909</c:v>
                </c:pt>
                <c:pt idx="3">
                  <c:v>26236.188576256955</c:v>
                </c:pt>
                <c:pt idx="4">
                  <c:v>28523.789700355352</c:v>
                </c:pt>
                <c:pt idx="5">
                  <c:v>31165.697682224323</c:v>
                </c:pt>
                <c:pt idx="6">
                  <c:v>33712.68428382132</c:v>
                </c:pt>
                <c:pt idx="7">
                  <c:v>33596.39954807864</c:v>
                </c:pt>
                <c:pt idx="8">
                  <c:v>33478.370541299824</c:v>
                </c:pt>
                <c:pt idx="9">
                  <c:v>33358.571099419321</c:v>
                </c:pt>
                <c:pt idx="10">
                  <c:v>33236.974665910609</c:v>
                </c:pt>
                <c:pt idx="11">
                  <c:v>33136.166785899266</c:v>
                </c:pt>
                <c:pt idx="12">
                  <c:v>33033.846787687755</c:v>
                </c:pt>
                <c:pt idx="13">
                  <c:v>32929.991989503076</c:v>
                </c:pt>
                <c:pt idx="14">
                  <c:v>32847.191869345617</c:v>
                </c:pt>
                <c:pt idx="15">
                  <c:v>39263.149747385803</c:v>
                </c:pt>
              </c:numCache>
            </c:numRef>
          </c:val>
          <c:extLst>
            <c:ext xmlns:c16="http://schemas.microsoft.com/office/drawing/2014/chart" uri="{C3380CC4-5D6E-409C-BE32-E72D297353CC}">
              <c16:uniqueId val="{00000001-855B-460F-AFC2-02EE72B1B981}"/>
            </c:ext>
          </c:extLst>
        </c:ser>
        <c:dLbls>
          <c:showLegendKey val="0"/>
          <c:showVal val="0"/>
          <c:showCatName val="0"/>
          <c:showSerName val="0"/>
          <c:showPercent val="0"/>
          <c:showBubbleSize val="0"/>
        </c:dLbls>
        <c:gapWidth val="150"/>
        <c:axId val="292947504"/>
        <c:axId val="290736240"/>
      </c:barChart>
      <c:catAx>
        <c:axId val="292947504"/>
        <c:scaling>
          <c:orientation val="minMax"/>
        </c:scaling>
        <c:delete val="0"/>
        <c:axPos val="b"/>
        <c:title>
          <c:tx>
            <c:rich>
              <a:bodyPr/>
              <a:lstStyle/>
              <a:p>
                <a:pPr>
                  <a:defRPr sz="1200" b="1" i="0" u="none" strike="noStrike" baseline="0">
                    <a:solidFill>
                      <a:srgbClr val="000000"/>
                    </a:solidFill>
                    <a:latin typeface="Arial"/>
                    <a:ea typeface="Arial"/>
                    <a:cs typeface="Arial"/>
                  </a:defRPr>
                </a:pPr>
                <a:r>
                  <a:rPr lang="de-CH"/>
                  <a:t>Années de végétation</a:t>
                </a:r>
              </a:p>
            </c:rich>
          </c:tx>
          <c:layout>
            <c:manualLayout>
              <c:xMode val="edge"/>
              <c:yMode val="edge"/>
              <c:x val="0.47030927384076987"/>
              <c:y val="0.91000422616664445"/>
            </c:manualLayout>
          </c:layout>
          <c:overlay val="0"/>
          <c:spPr>
            <a:noFill/>
            <a:ln w="25400">
              <a:noFill/>
            </a:ln>
          </c:spPr>
        </c:title>
        <c:numFmt formatCode="General" sourceLinked="1"/>
        <c:majorTickMark val="out"/>
        <c:minorTickMark val="out"/>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290736240"/>
        <c:crosses val="autoZero"/>
        <c:auto val="1"/>
        <c:lblAlgn val="ctr"/>
        <c:lblOffset val="100"/>
        <c:tickLblSkip val="1"/>
        <c:tickMarkSkip val="1"/>
        <c:noMultiLvlLbl val="0"/>
      </c:catAx>
      <c:valAx>
        <c:axId val="290736240"/>
        <c:scaling>
          <c:orientation val="minMax"/>
        </c:scaling>
        <c:delete val="0"/>
        <c:axPos val="l"/>
        <c:majorGridlines>
          <c:spPr>
            <a:ln w="3175">
              <a:solidFill>
                <a:srgbClr val="000000"/>
              </a:solidFill>
              <a:prstDash val="solid"/>
            </a:ln>
          </c:spPr>
        </c:majorGridlines>
        <c:title>
          <c:tx>
            <c:rich>
              <a:bodyPr/>
              <a:lstStyle/>
              <a:p>
                <a:pPr>
                  <a:defRPr sz="1200" b="1" i="0" u="none" strike="noStrike" baseline="0">
                    <a:solidFill>
                      <a:srgbClr val="000000"/>
                    </a:solidFill>
                    <a:latin typeface="Arial"/>
                    <a:ea typeface="Arial"/>
                    <a:cs typeface="Arial"/>
                  </a:defRPr>
                </a:pPr>
                <a:r>
                  <a:rPr lang="de-CH"/>
                  <a:t>Fr. / ha</a:t>
                </a:r>
              </a:p>
            </c:rich>
          </c:tx>
          <c:layout>
            <c:manualLayout>
              <c:xMode val="edge"/>
              <c:yMode val="edge"/>
              <c:x val="3.9905074365704285E-2"/>
              <c:y val="0.49372569954179452"/>
            </c:manualLayout>
          </c:layout>
          <c:overlay val="0"/>
          <c:spPr>
            <a:noFill/>
            <a:ln w="25400">
              <a:noFill/>
            </a:ln>
          </c:spPr>
        </c:title>
        <c:numFmt formatCode="#,##0\ &quot;Fr.&quot;"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292947504"/>
        <c:crosses val="autoZero"/>
        <c:crossBetween val="between"/>
      </c:valAx>
      <c:spPr>
        <a:noFill/>
        <a:ln w="3175">
          <a:solidFill>
            <a:srgbClr val="000000"/>
          </a:solidFill>
          <a:prstDash val="solid"/>
        </a:ln>
      </c:spPr>
    </c:plotArea>
    <c:legend>
      <c:legendPos val="r"/>
      <c:layout>
        <c:manualLayout>
          <c:xMode val="edge"/>
          <c:yMode val="edge"/>
          <c:x val="0.41888903470399536"/>
          <c:y val="0.95593287067930066"/>
          <c:w val="0.34777792359288423"/>
          <c:h val="2.6271186440677941E-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sng" strike="noStrike" baseline="0">
                <a:solidFill>
                  <a:srgbClr val="000000"/>
                </a:solidFill>
                <a:latin typeface="Arial"/>
                <a:ea typeface="Arial"/>
                <a:cs typeface="Arial"/>
              </a:defRPr>
            </a:pPr>
            <a:r>
              <a:rPr lang="de-CH"/>
              <a:t>Répartition des coûts du capital</a:t>
            </a:r>
          </a:p>
        </c:rich>
      </c:tx>
      <c:layout>
        <c:manualLayout>
          <c:xMode val="edge"/>
          <c:yMode val="edge"/>
          <c:x val="0.29914084101786742"/>
          <c:y val="1.5806172962556896E-2"/>
        </c:manualLayout>
      </c:layout>
      <c:overlay val="0"/>
      <c:spPr>
        <a:noFill/>
        <a:ln w="25400">
          <a:noFill/>
        </a:ln>
      </c:spPr>
    </c:title>
    <c:autoTitleDeleted val="0"/>
    <c:plotArea>
      <c:layout>
        <c:manualLayout>
          <c:layoutTarget val="inner"/>
          <c:xMode val="edge"/>
          <c:yMode val="edge"/>
          <c:x val="0.2389687488457522"/>
          <c:y val="0.1454168261691014"/>
          <c:w val="0.7186254461692404"/>
          <c:h val="0.63540830565194306"/>
        </c:manualLayout>
      </c:layout>
      <c:barChart>
        <c:barDir val="bar"/>
        <c:grouping val="clustered"/>
        <c:varyColors val="0"/>
        <c:ser>
          <c:idx val="0"/>
          <c:order val="0"/>
          <c:tx>
            <c:strRef>
              <c:f>'Normes pleine production'!$B$124</c:f>
              <c:strCache>
                <c:ptCount val="1"/>
                <c:pt idx="0">
                  <c:v>Norme</c:v>
                </c:pt>
              </c:strCache>
            </c:strRef>
          </c:tx>
          <c:spPr>
            <a:solidFill>
              <a:srgbClr val="000080"/>
            </a:solidFill>
            <a:ln w="12700">
              <a:solidFill>
                <a:srgbClr val="000000"/>
              </a:solidFill>
              <a:prstDash val="solid"/>
            </a:ln>
          </c:spPr>
          <c:invertIfNegative val="0"/>
          <c:cat>
            <c:strRef>
              <c:f>'Normes pleine production'!$A$125:$A$126</c:f>
              <c:strCache>
                <c:ptCount val="2"/>
                <c:pt idx="0">
                  <c:v>Pour le terrain</c:v>
                </c:pt>
                <c:pt idx="1">
                  <c:v>Pour l'investissement de la culture fruitière</c:v>
                </c:pt>
              </c:strCache>
            </c:strRef>
          </c:cat>
          <c:val>
            <c:numRef>
              <c:f>'Normes pleine production'!$B$125:$B$126</c:f>
              <c:numCache>
                <c:formatCode>\ #,##0\ "Fr."</c:formatCode>
                <c:ptCount val="2"/>
                <c:pt idx="0">
                  <c:v>660</c:v>
                </c:pt>
                <c:pt idx="1">
                  <c:v>1312.0743594462635</c:v>
                </c:pt>
              </c:numCache>
            </c:numRef>
          </c:val>
          <c:extLst>
            <c:ext xmlns:c16="http://schemas.microsoft.com/office/drawing/2014/chart" uri="{C3380CC4-5D6E-409C-BE32-E72D297353CC}">
              <c16:uniqueId val="{00000000-34A8-4C4B-A5C6-6286D034D9E2}"/>
            </c:ext>
          </c:extLst>
        </c:ser>
        <c:ser>
          <c:idx val="1"/>
          <c:order val="1"/>
          <c:tx>
            <c:strRef>
              <c:f>'Page variable'!$J$104</c:f>
              <c:strCache>
                <c:ptCount val="1"/>
                <c:pt idx="0">
                  <c:v>Variante </c:v>
                </c:pt>
              </c:strCache>
            </c:strRef>
          </c:tx>
          <c:spPr>
            <a:solidFill>
              <a:srgbClr val="339933"/>
            </a:solidFill>
            <a:ln w="12700">
              <a:solidFill>
                <a:srgbClr val="000000"/>
              </a:solidFill>
              <a:prstDash val="solid"/>
            </a:ln>
          </c:spPr>
          <c:invertIfNegative val="0"/>
          <c:cat>
            <c:strRef>
              <c:f>'Normes pleine production'!$A$125:$A$126</c:f>
              <c:strCache>
                <c:ptCount val="2"/>
                <c:pt idx="0">
                  <c:v>Pour le terrain</c:v>
                </c:pt>
                <c:pt idx="1">
                  <c:v>Pour l'investissement de la culture fruitière</c:v>
                </c:pt>
              </c:strCache>
            </c:strRef>
          </c:cat>
          <c:val>
            <c:numRef>
              <c:f>'Page variable'!$J$105:$J$106</c:f>
              <c:numCache>
                <c:formatCode>#,##0\ "Fr."</c:formatCode>
                <c:ptCount val="2"/>
                <c:pt idx="0">
                  <c:v>660</c:v>
                </c:pt>
                <c:pt idx="1">
                  <c:v>1312.0743594462635</c:v>
                </c:pt>
              </c:numCache>
            </c:numRef>
          </c:val>
          <c:extLst>
            <c:ext xmlns:c16="http://schemas.microsoft.com/office/drawing/2014/chart" uri="{C3380CC4-5D6E-409C-BE32-E72D297353CC}">
              <c16:uniqueId val="{00000001-34A8-4C4B-A5C6-6286D034D9E2}"/>
            </c:ext>
          </c:extLst>
        </c:ser>
        <c:dLbls>
          <c:showLegendKey val="0"/>
          <c:showVal val="0"/>
          <c:showCatName val="0"/>
          <c:showSerName val="0"/>
          <c:showPercent val="0"/>
          <c:showBubbleSize val="0"/>
        </c:dLbls>
        <c:gapWidth val="150"/>
        <c:axId val="292997144"/>
        <c:axId val="292997536"/>
      </c:barChart>
      <c:catAx>
        <c:axId val="2929971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292997536"/>
        <c:crosses val="autoZero"/>
        <c:auto val="1"/>
        <c:lblAlgn val="ctr"/>
        <c:lblOffset val="100"/>
        <c:tickLblSkip val="1"/>
        <c:tickMarkSkip val="1"/>
        <c:noMultiLvlLbl val="0"/>
      </c:catAx>
      <c:valAx>
        <c:axId val="292997536"/>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292997144"/>
        <c:crosses val="max"/>
        <c:crossBetween val="between"/>
      </c:valAx>
      <c:spPr>
        <a:noFill/>
        <a:ln w="3175">
          <a:solidFill>
            <a:srgbClr val="000000"/>
          </a:solidFill>
          <a:prstDash val="solid"/>
        </a:ln>
      </c:spPr>
    </c:plotArea>
    <c:legend>
      <c:legendPos val="r"/>
      <c:layout>
        <c:manualLayout>
          <c:xMode val="edge"/>
          <c:yMode val="edge"/>
          <c:x val="0.69518856934327056"/>
          <c:y val="0.21772218346124456"/>
          <c:w val="0.17647093912726153"/>
          <c:h val="0.2430389713943985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25400">
      <a:solidFill>
        <a:srgbClr val="008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sng" strike="noStrike" baseline="0">
                <a:solidFill>
                  <a:srgbClr val="000000"/>
                </a:solidFill>
                <a:latin typeface="Arial"/>
                <a:ea typeface="Arial"/>
                <a:cs typeface="Arial"/>
              </a:defRPr>
            </a:pPr>
            <a:r>
              <a:rPr lang="de-CH"/>
              <a:t>Répartition des coûts de main-d'oeuvre</a:t>
            </a:r>
          </a:p>
        </c:rich>
      </c:tx>
      <c:layout>
        <c:manualLayout>
          <c:xMode val="edge"/>
          <c:yMode val="edge"/>
          <c:x val="0.26405452634070609"/>
          <c:y val="4.0191435860727202E-2"/>
        </c:manualLayout>
      </c:layout>
      <c:overlay val="0"/>
      <c:spPr>
        <a:noFill/>
        <a:ln w="25400">
          <a:noFill/>
        </a:ln>
      </c:spPr>
    </c:title>
    <c:autoTitleDeleted val="0"/>
    <c:plotArea>
      <c:layout>
        <c:manualLayout>
          <c:layoutTarget val="inner"/>
          <c:xMode val="edge"/>
          <c:yMode val="edge"/>
          <c:x val="0.26235093696763201"/>
          <c:y val="0.11196214100680699"/>
          <c:w val="0.66439522998296419"/>
          <c:h val="0.75215592163547262"/>
        </c:manualLayout>
      </c:layout>
      <c:barChart>
        <c:barDir val="bar"/>
        <c:grouping val="clustered"/>
        <c:varyColors val="0"/>
        <c:ser>
          <c:idx val="0"/>
          <c:order val="0"/>
          <c:tx>
            <c:strRef>
              <c:f>'Normes pleine production'!$B$129</c:f>
              <c:strCache>
                <c:ptCount val="1"/>
                <c:pt idx="0">
                  <c:v>Norme</c:v>
                </c:pt>
              </c:strCache>
            </c:strRef>
          </c:tx>
          <c:spPr>
            <a:solidFill>
              <a:srgbClr val="000080"/>
            </a:solidFill>
            <a:ln w="12700">
              <a:solidFill>
                <a:srgbClr val="000000"/>
              </a:solidFill>
              <a:prstDash val="solid"/>
            </a:ln>
          </c:spPr>
          <c:invertIfNegative val="0"/>
          <c:cat>
            <c:strRef>
              <c:f>'Page variable'!$G$123:$G$126</c:f>
              <c:strCache>
                <c:ptCount val="4"/>
                <c:pt idx="0">
                  <c:v>Récolte sur l'arbre et au sol</c:v>
                </c:pt>
                <c:pt idx="1">
                  <c:v>Conduite de l'arbre</c:v>
                </c:pt>
                <c:pt idx="2">
                  <c:v>Régulation de la charge</c:v>
                </c:pt>
                <c:pt idx="3">
                  <c:v>Autres travaux</c:v>
                </c:pt>
              </c:strCache>
            </c:strRef>
          </c:cat>
          <c:val>
            <c:numRef>
              <c:f>'Page variable'!$H$123:$H$126</c:f>
              <c:numCache>
                <c:formatCode>#,##0\ "Fr."</c:formatCode>
                <c:ptCount val="4"/>
                <c:pt idx="0">
                  <c:v>9416.6477272727279</c:v>
                </c:pt>
                <c:pt idx="1">
                  <c:v>2950</c:v>
                </c:pt>
                <c:pt idx="2">
                  <c:v>1767.5</c:v>
                </c:pt>
                <c:pt idx="3">
                  <c:v>2993</c:v>
                </c:pt>
              </c:numCache>
            </c:numRef>
          </c:val>
          <c:extLst>
            <c:ext xmlns:c16="http://schemas.microsoft.com/office/drawing/2014/chart" uri="{C3380CC4-5D6E-409C-BE32-E72D297353CC}">
              <c16:uniqueId val="{00000000-184A-4CE9-AE8B-FF96C7796457}"/>
            </c:ext>
          </c:extLst>
        </c:ser>
        <c:ser>
          <c:idx val="1"/>
          <c:order val="1"/>
          <c:tx>
            <c:strRef>
              <c:f>'Page variable'!$J$122</c:f>
              <c:strCache>
                <c:ptCount val="1"/>
                <c:pt idx="0">
                  <c:v>Variante </c:v>
                </c:pt>
              </c:strCache>
            </c:strRef>
          </c:tx>
          <c:spPr>
            <a:solidFill>
              <a:srgbClr val="339933"/>
            </a:solidFill>
            <a:ln w="12700">
              <a:solidFill>
                <a:srgbClr val="000000"/>
              </a:solidFill>
              <a:prstDash val="solid"/>
            </a:ln>
          </c:spPr>
          <c:invertIfNegative val="0"/>
          <c:cat>
            <c:strRef>
              <c:f>'Page variable'!$G$123:$G$126</c:f>
              <c:strCache>
                <c:ptCount val="4"/>
                <c:pt idx="0">
                  <c:v>Récolte sur l'arbre et au sol</c:v>
                </c:pt>
                <c:pt idx="1">
                  <c:v>Conduite de l'arbre</c:v>
                </c:pt>
                <c:pt idx="2">
                  <c:v>Régulation de la charge</c:v>
                </c:pt>
                <c:pt idx="3">
                  <c:v>Autres travaux</c:v>
                </c:pt>
              </c:strCache>
            </c:strRef>
          </c:cat>
          <c:val>
            <c:numRef>
              <c:f>'Page variable'!$J$123:$J$126</c:f>
              <c:numCache>
                <c:formatCode>#,##0\ "Fr."</c:formatCode>
                <c:ptCount val="4"/>
                <c:pt idx="0">
                  <c:v>9416.6477272727279</c:v>
                </c:pt>
                <c:pt idx="1">
                  <c:v>2950</c:v>
                </c:pt>
                <c:pt idx="2">
                  <c:v>1767.5</c:v>
                </c:pt>
                <c:pt idx="3">
                  <c:v>2993</c:v>
                </c:pt>
              </c:numCache>
            </c:numRef>
          </c:val>
          <c:extLst>
            <c:ext xmlns:c16="http://schemas.microsoft.com/office/drawing/2014/chart" uri="{C3380CC4-5D6E-409C-BE32-E72D297353CC}">
              <c16:uniqueId val="{00000001-184A-4CE9-AE8B-FF96C7796457}"/>
            </c:ext>
          </c:extLst>
        </c:ser>
        <c:dLbls>
          <c:showLegendKey val="0"/>
          <c:showVal val="0"/>
          <c:showCatName val="0"/>
          <c:showSerName val="0"/>
          <c:showPercent val="0"/>
          <c:showBubbleSize val="0"/>
        </c:dLbls>
        <c:gapWidth val="150"/>
        <c:axId val="290735848"/>
        <c:axId val="290735456"/>
      </c:barChart>
      <c:catAx>
        <c:axId val="290735848"/>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290735456"/>
        <c:crosses val="autoZero"/>
        <c:auto val="1"/>
        <c:lblAlgn val="ctr"/>
        <c:lblOffset val="100"/>
        <c:tickLblSkip val="1"/>
        <c:tickMarkSkip val="1"/>
        <c:noMultiLvlLbl val="0"/>
      </c:catAx>
      <c:valAx>
        <c:axId val="290735456"/>
        <c:scaling>
          <c:orientation val="minMax"/>
        </c:scaling>
        <c:delete val="0"/>
        <c:axPos val="b"/>
        <c:majorGridlines>
          <c:spPr>
            <a:ln w="3175">
              <a:solidFill>
                <a:srgbClr val="000000"/>
              </a:solidFill>
              <a:prstDash val="solid"/>
            </a:ln>
          </c:spPr>
        </c:majorGridlines>
        <c:numFmt formatCode="#,##0\ &quot;Fr.&quot;"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de-DE"/>
          </a:p>
        </c:txPr>
        <c:crossAx val="290735848"/>
        <c:crosses val="max"/>
        <c:crossBetween val="between"/>
      </c:valAx>
      <c:spPr>
        <a:noFill/>
        <a:ln w="3175">
          <a:solidFill>
            <a:srgbClr val="000000"/>
          </a:solidFill>
          <a:prstDash val="solid"/>
        </a:ln>
      </c:spPr>
    </c:plotArea>
    <c:legend>
      <c:legendPos val="r"/>
      <c:layout>
        <c:manualLayout>
          <c:xMode val="edge"/>
          <c:yMode val="edge"/>
          <c:x val="0.70822403002012013"/>
          <c:y val="0.61072352844006395"/>
          <c:w val="0.16313032157452467"/>
          <c:h val="0.2400935459990578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25400">
      <a:solidFill>
        <a:srgbClr val="008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sng" strike="noStrike" baseline="0">
                <a:solidFill>
                  <a:srgbClr val="000000"/>
                </a:solidFill>
                <a:latin typeface="Arial"/>
                <a:ea typeface="Arial"/>
                <a:cs typeface="Arial"/>
              </a:defRPr>
            </a:pPr>
            <a:r>
              <a:rPr lang="de-CH"/>
              <a:t>Répartition des coûts de protection phytosanitaire</a:t>
            </a:r>
          </a:p>
        </c:rich>
      </c:tx>
      <c:layout>
        <c:manualLayout>
          <c:xMode val="edge"/>
          <c:yMode val="edge"/>
          <c:x val="0.18475123065157212"/>
          <c:y val="3.0590046436503128E-2"/>
        </c:manualLayout>
      </c:layout>
      <c:overlay val="0"/>
      <c:spPr>
        <a:noFill/>
        <a:ln w="25400">
          <a:noFill/>
        </a:ln>
      </c:spPr>
    </c:title>
    <c:autoTitleDeleted val="0"/>
    <c:plotArea>
      <c:layout>
        <c:manualLayout>
          <c:layoutTarget val="inner"/>
          <c:xMode val="edge"/>
          <c:yMode val="edge"/>
          <c:x val="0.14604139030743746"/>
          <c:y val="8.9584978128667447E-2"/>
          <c:w val="0.80410741410239672"/>
          <c:h val="0.80407980369145415"/>
        </c:manualLayout>
      </c:layout>
      <c:barChart>
        <c:barDir val="bar"/>
        <c:grouping val="clustered"/>
        <c:varyColors val="0"/>
        <c:ser>
          <c:idx val="0"/>
          <c:order val="0"/>
          <c:tx>
            <c:strRef>
              <c:f>'Normes pleine production'!$B$174</c:f>
              <c:strCache>
                <c:ptCount val="1"/>
                <c:pt idx="0">
                  <c:v>Norme</c:v>
                </c:pt>
              </c:strCache>
            </c:strRef>
          </c:tx>
          <c:spPr>
            <a:solidFill>
              <a:srgbClr val="000080"/>
            </a:solidFill>
            <a:ln w="12700">
              <a:solidFill>
                <a:srgbClr val="000000"/>
              </a:solidFill>
              <a:prstDash val="solid"/>
            </a:ln>
          </c:spPr>
          <c:invertIfNegative val="0"/>
          <c:cat>
            <c:strRef>
              <c:f>'Page variable'!$G$217:$G$219</c:f>
              <c:strCache>
                <c:ptCount val="3"/>
                <c:pt idx="0">
                  <c:v>Matériel</c:v>
                </c:pt>
                <c:pt idx="1">
                  <c:v>Machines</c:v>
                </c:pt>
                <c:pt idx="2">
                  <c:v>Travail</c:v>
                </c:pt>
              </c:strCache>
            </c:strRef>
          </c:cat>
          <c:val>
            <c:numRef>
              <c:f>'Normes pleine production'!$B$175:$B$177</c:f>
              <c:numCache>
                <c:formatCode>\ #,##0\ "Fr."</c:formatCode>
                <c:ptCount val="3"/>
                <c:pt idx="0">
                  <c:v>5347.8</c:v>
                </c:pt>
                <c:pt idx="1">
                  <c:v>2668.6</c:v>
                </c:pt>
                <c:pt idx="2">
                  <c:v>1268.5</c:v>
                </c:pt>
              </c:numCache>
            </c:numRef>
          </c:val>
          <c:extLst>
            <c:ext xmlns:c16="http://schemas.microsoft.com/office/drawing/2014/chart" uri="{C3380CC4-5D6E-409C-BE32-E72D297353CC}">
              <c16:uniqueId val="{00000000-B664-4A02-B889-1C365BAE36E7}"/>
            </c:ext>
          </c:extLst>
        </c:ser>
        <c:ser>
          <c:idx val="1"/>
          <c:order val="1"/>
          <c:tx>
            <c:strRef>
              <c:f>'Page variable'!$J$216</c:f>
              <c:strCache>
                <c:ptCount val="1"/>
                <c:pt idx="0">
                  <c:v>Variante </c:v>
                </c:pt>
              </c:strCache>
            </c:strRef>
          </c:tx>
          <c:spPr>
            <a:solidFill>
              <a:srgbClr val="339933"/>
            </a:solidFill>
            <a:ln w="12700">
              <a:solidFill>
                <a:srgbClr val="000000"/>
              </a:solidFill>
              <a:prstDash val="solid"/>
            </a:ln>
          </c:spPr>
          <c:invertIfNegative val="0"/>
          <c:cat>
            <c:strRef>
              <c:f>'Page variable'!$G$217:$G$219</c:f>
              <c:strCache>
                <c:ptCount val="3"/>
                <c:pt idx="0">
                  <c:v>Matériel</c:v>
                </c:pt>
                <c:pt idx="1">
                  <c:v>Machines</c:v>
                </c:pt>
                <c:pt idx="2">
                  <c:v>Travail</c:v>
                </c:pt>
              </c:strCache>
            </c:strRef>
          </c:cat>
          <c:val>
            <c:numRef>
              <c:f>'Page variable'!$J$217:$J$219</c:f>
              <c:numCache>
                <c:formatCode>#,##0\ "Fr."</c:formatCode>
                <c:ptCount val="3"/>
                <c:pt idx="0">
                  <c:v>5347.8</c:v>
                </c:pt>
                <c:pt idx="1">
                  <c:v>2668.6</c:v>
                </c:pt>
                <c:pt idx="2">
                  <c:v>1268.5</c:v>
                </c:pt>
              </c:numCache>
            </c:numRef>
          </c:val>
          <c:extLst>
            <c:ext xmlns:c16="http://schemas.microsoft.com/office/drawing/2014/chart" uri="{C3380CC4-5D6E-409C-BE32-E72D297353CC}">
              <c16:uniqueId val="{00000001-B664-4A02-B889-1C365BAE36E7}"/>
            </c:ext>
          </c:extLst>
        </c:ser>
        <c:dLbls>
          <c:showLegendKey val="0"/>
          <c:showVal val="0"/>
          <c:showCatName val="0"/>
          <c:showSerName val="0"/>
          <c:showPercent val="0"/>
          <c:showBubbleSize val="0"/>
        </c:dLbls>
        <c:gapWidth val="100"/>
        <c:axId val="292998320"/>
        <c:axId val="292998712"/>
      </c:barChart>
      <c:catAx>
        <c:axId val="292998320"/>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292998712"/>
        <c:crosses val="autoZero"/>
        <c:auto val="1"/>
        <c:lblAlgn val="ctr"/>
        <c:lblOffset val="100"/>
        <c:tickLblSkip val="1"/>
        <c:tickMarkSkip val="1"/>
        <c:noMultiLvlLbl val="0"/>
      </c:catAx>
      <c:valAx>
        <c:axId val="292998712"/>
        <c:scaling>
          <c:orientation val="minMax"/>
          <c:max val="3000"/>
        </c:scaling>
        <c:delete val="0"/>
        <c:axPos val="b"/>
        <c:majorGridlines>
          <c:spPr>
            <a:ln w="3175">
              <a:solidFill>
                <a:srgbClr val="000000"/>
              </a:solidFill>
              <a:prstDash val="solid"/>
            </a:ln>
          </c:spPr>
        </c:majorGridlines>
        <c:numFmt formatCode="\ #,##0\ &quot;Fr.&quot;" sourceLinked="1"/>
        <c:majorTickMark val="out"/>
        <c:minorTickMark val="out"/>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de-DE"/>
          </a:p>
        </c:txPr>
        <c:crossAx val="292998320"/>
        <c:crosses val="max"/>
        <c:crossBetween val="between"/>
        <c:majorUnit val="500"/>
        <c:minorUnit val="100"/>
      </c:valAx>
      <c:spPr>
        <a:noFill/>
        <a:ln w="3175">
          <a:solidFill>
            <a:srgbClr val="000000"/>
          </a:solidFill>
          <a:prstDash val="solid"/>
        </a:ln>
      </c:spPr>
    </c:plotArea>
    <c:legend>
      <c:legendPos val="r"/>
      <c:layout>
        <c:manualLayout>
          <c:xMode val="edge"/>
          <c:yMode val="edge"/>
          <c:x val="0.72777125499531437"/>
          <c:y val="0.11188834131747519"/>
          <c:w val="0.1778387568175045"/>
          <c:h val="0.18007015949929336"/>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sng" strike="noStrike" baseline="0">
                <a:solidFill>
                  <a:srgbClr val="000000"/>
                </a:solidFill>
                <a:latin typeface="Arial"/>
                <a:ea typeface="Arial"/>
                <a:cs typeface="Arial"/>
              </a:defRPr>
            </a:pPr>
            <a:r>
              <a:rPr lang="de-CH"/>
              <a:t>Part des coûts de protection phytosanitaire</a:t>
            </a:r>
          </a:p>
        </c:rich>
      </c:tx>
      <c:layout>
        <c:manualLayout>
          <c:xMode val="edge"/>
          <c:yMode val="edge"/>
          <c:x val="0.22873961890194638"/>
          <c:y val="3.3361956298672536E-2"/>
        </c:manualLayout>
      </c:layout>
      <c:overlay val="0"/>
      <c:spPr>
        <a:noFill/>
        <a:ln w="25400">
          <a:noFill/>
        </a:ln>
      </c:spPr>
    </c:title>
    <c:autoTitleDeleted val="0"/>
    <c:plotArea>
      <c:layout>
        <c:manualLayout>
          <c:layoutTarget val="inner"/>
          <c:xMode val="edge"/>
          <c:yMode val="edge"/>
          <c:x val="0.25865161897823263"/>
          <c:y val="0.1514117157621962"/>
          <c:w val="0.68621858096265798"/>
          <c:h val="0.73909447694088992"/>
        </c:manualLayout>
      </c:layout>
      <c:barChart>
        <c:barDir val="bar"/>
        <c:grouping val="clustered"/>
        <c:varyColors val="0"/>
        <c:ser>
          <c:idx val="0"/>
          <c:order val="0"/>
          <c:tx>
            <c:strRef>
              <c:f>'Normes pleine production'!$B$174</c:f>
              <c:strCache>
                <c:ptCount val="1"/>
                <c:pt idx="0">
                  <c:v>Norme</c:v>
                </c:pt>
              </c:strCache>
            </c:strRef>
          </c:tx>
          <c:spPr>
            <a:solidFill>
              <a:srgbClr val="000080"/>
            </a:solidFill>
            <a:ln w="12700">
              <a:solidFill>
                <a:srgbClr val="000000"/>
              </a:solidFill>
              <a:prstDash val="solid"/>
            </a:ln>
          </c:spPr>
          <c:invertIfNegative val="0"/>
          <c:cat>
            <c:strRef>
              <c:f>'Page variable'!$G$199:$G$200</c:f>
              <c:strCache>
                <c:ptCount val="2"/>
                <c:pt idx="0">
                  <c:v>Protection des plantes (matériel, machines, travail)</c:v>
                </c:pt>
                <c:pt idx="1">
                  <c:v>Autres coûts de production</c:v>
                </c:pt>
              </c:strCache>
            </c:strRef>
          </c:cat>
          <c:val>
            <c:numRef>
              <c:f>'Normes pleine production'!$B$171:$B$172</c:f>
              <c:numCache>
                <c:formatCode>\ #,##0\ "Fr."</c:formatCode>
                <c:ptCount val="2"/>
                <c:pt idx="0">
                  <c:v>9284.9</c:v>
                </c:pt>
                <c:pt idx="1">
                  <c:v>30617.778761339599</c:v>
                </c:pt>
              </c:numCache>
            </c:numRef>
          </c:val>
          <c:extLst>
            <c:ext xmlns:c16="http://schemas.microsoft.com/office/drawing/2014/chart" uri="{C3380CC4-5D6E-409C-BE32-E72D297353CC}">
              <c16:uniqueId val="{00000000-DA3D-4596-84D1-488DCD6D07B8}"/>
            </c:ext>
          </c:extLst>
        </c:ser>
        <c:ser>
          <c:idx val="1"/>
          <c:order val="1"/>
          <c:tx>
            <c:strRef>
              <c:f>'Page variable'!$J$198</c:f>
              <c:strCache>
                <c:ptCount val="1"/>
                <c:pt idx="0">
                  <c:v>Variante </c:v>
                </c:pt>
              </c:strCache>
            </c:strRef>
          </c:tx>
          <c:spPr>
            <a:solidFill>
              <a:srgbClr val="008000"/>
            </a:solidFill>
            <a:ln w="12700">
              <a:solidFill>
                <a:srgbClr val="000000"/>
              </a:solidFill>
              <a:prstDash val="solid"/>
            </a:ln>
          </c:spPr>
          <c:invertIfNegative val="0"/>
          <c:cat>
            <c:strRef>
              <c:f>'Page variable'!$G$199:$G$200</c:f>
              <c:strCache>
                <c:ptCount val="2"/>
                <c:pt idx="0">
                  <c:v>Protection des plantes (matériel, machines, travail)</c:v>
                </c:pt>
                <c:pt idx="1">
                  <c:v>Autres coûts de production</c:v>
                </c:pt>
              </c:strCache>
            </c:strRef>
          </c:cat>
          <c:val>
            <c:numRef>
              <c:f>'Page variable'!$J$199:$J$200</c:f>
              <c:numCache>
                <c:formatCode>#,##0\ "Fr."</c:formatCode>
                <c:ptCount val="2"/>
                <c:pt idx="0">
                  <c:v>9284.9</c:v>
                </c:pt>
                <c:pt idx="1">
                  <c:v>30617.778761339599</c:v>
                </c:pt>
              </c:numCache>
            </c:numRef>
          </c:val>
          <c:extLst>
            <c:ext xmlns:c16="http://schemas.microsoft.com/office/drawing/2014/chart" uri="{C3380CC4-5D6E-409C-BE32-E72D297353CC}">
              <c16:uniqueId val="{00000001-DA3D-4596-84D1-488DCD6D07B8}"/>
            </c:ext>
          </c:extLst>
        </c:ser>
        <c:dLbls>
          <c:showLegendKey val="0"/>
          <c:showVal val="0"/>
          <c:showCatName val="0"/>
          <c:showSerName val="0"/>
          <c:showPercent val="0"/>
          <c:showBubbleSize val="0"/>
        </c:dLbls>
        <c:gapWidth val="150"/>
        <c:axId val="292999496"/>
        <c:axId val="292999888"/>
      </c:barChart>
      <c:catAx>
        <c:axId val="2929994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de-DE"/>
          </a:p>
        </c:txPr>
        <c:crossAx val="292999888"/>
        <c:crosses val="autoZero"/>
        <c:auto val="1"/>
        <c:lblAlgn val="ctr"/>
        <c:lblOffset val="100"/>
        <c:tickLblSkip val="1"/>
        <c:tickMarkSkip val="1"/>
        <c:noMultiLvlLbl val="0"/>
      </c:catAx>
      <c:valAx>
        <c:axId val="292999888"/>
        <c:scaling>
          <c:orientation val="minMax"/>
        </c:scaling>
        <c:delete val="0"/>
        <c:axPos val="b"/>
        <c:majorGridlines>
          <c:spPr>
            <a:ln w="3175">
              <a:solidFill>
                <a:srgbClr val="000000"/>
              </a:solidFill>
              <a:prstDash val="solid"/>
            </a:ln>
          </c:spPr>
        </c:majorGridlines>
        <c:numFmt formatCode="\ #,##0\ &quot;Fr.&quot;"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de-DE"/>
          </a:p>
        </c:txPr>
        <c:crossAx val="292999496"/>
        <c:crosses val="max"/>
        <c:crossBetween val="between"/>
      </c:valAx>
      <c:spPr>
        <a:noFill/>
        <a:ln w="3175">
          <a:solidFill>
            <a:srgbClr val="000000"/>
          </a:solidFill>
          <a:prstDash val="solid"/>
        </a:ln>
      </c:spPr>
    </c:plotArea>
    <c:legend>
      <c:legendPos val="r"/>
      <c:layout>
        <c:manualLayout>
          <c:xMode val="edge"/>
          <c:yMode val="edge"/>
          <c:x val="0.6990434848174758"/>
          <c:y val="0.1810704989036864"/>
          <c:w val="0.17510277870532942"/>
          <c:h val="0.21193496646252549"/>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image" Target="../media/image1.jpeg"/><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chart" Target="../charts/chart13.xml"/></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76200</xdr:colOff>
      <xdr:row>10</xdr:row>
      <xdr:rowOff>106680</xdr:rowOff>
    </xdr:from>
    <xdr:to>
      <xdr:col>10</xdr:col>
      <xdr:colOff>144780</xdr:colOff>
      <xdr:row>35</xdr:row>
      <xdr:rowOff>160020</xdr:rowOff>
    </xdr:to>
    <xdr:graphicFrame macro="">
      <xdr:nvGraphicFramePr>
        <xdr:cNvPr id="276145" name="Chart 3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6</xdr:row>
      <xdr:rowOff>38100</xdr:rowOff>
    </xdr:from>
    <xdr:to>
      <xdr:col>0</xdr:col>
      <xdr:colOff>927638</xdr:colOff>
      <xdr:row>8</xdr:row>
      <xdr:rowOff>66675</xdr:rowOff>
    </xdr:to>
    <xdr:sp macro="" textlink="">
      <xdr:nvSpPr>
        <xdr:cNvPr id="22598" name="Text Box 70"/>
        <xdr:cNvSpPr txBox="1">
          <a:spLocks noChangeArrowheads="1"/>
        </xdr:cNvSpPr>
      </xdr:nvSpPr>
      <xdr:spPr bwMode="auto">
        <a:xfrm>
          <a:off x="9525" y="1476375"/>
          <a:ext cx="895350" cy="73342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endParaRPr lang="de-CH" sz="1400" b="1" i="0" u="none" strike="noStrike" baseline="0">
            <a:solidFill>
              <a:srgbClr val="000000"/>
            </a:solidFill>
            <a:latin typeface="Arial"/>
            <a:cs typeface="Arial"/>
          </a:endParaRPr>
        </a:p>
        <a:p>
          <a:pPr algn="l" rtl="0">
            <a:defRPr sz="1000"/>
          </a:pPr>
          <a:r>
            <a:rPr lang="de-CH" sz="1400" b="1" i="0" u="none" strike="noStrike" baseline="0">
              <a:solidFill>
                <a:srgbClr val="000000"/>
              </a:solidFill>
              <a:latin typeface="Arial"/>
              <a:cs typeface="Arial"/>
            </a:rPr>
            <a:t>Preis</a:t>
          </a:r>
        </a:p>
      </xdr:txBody>
    </xdr:sp>
    <xdr:clientData/>
  </xdr:twoCellAnchor>
  <xdr:twoCellAnchor>
    <xdr:from>
      <xdr:col>0</xdr:col>
      <xdr:colOff>28575</xdr:colOff>
      <xdr:row>9</xdr:row>
      <xdr:rowOff>28575</xdr:rowOff>
    </xdr:from>
    <xdr:to>
      <xdr:col>0</xdr:col>
      <xdr:colOff>918160</xdr:colOff>
      <xdr:row>12</xdr:row>
      <xdr:rowOff>66675</xdr:rowOff>
    </xdr:to>
    <xdr:sp macro="" textlink="">
      <xdr:nvSpPr>
        <xdr:cNvPr id="22599" name="Text Box 71"/>
        <xdr:cNvSpPr txBox="1">
          <a:spLocks noChangeArrowheads="1"/>
        </xdr:cNvSpPr>
      </xdr:nvSpPr>
      <xdr:spPr bwMode="auto">
        <a:xfrm>
          <a:off x="28575" y="2438400"/>
          <a:ext cx="866775" cy="62865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endParaRPr lang="de-CH" sz="1400" b="1" i="0" u="none" strike="noStrike" baseline="0">
            <a:solidFill>
              <a:srgbClr val="000000"/>
            </a:solidFill>
            <a:latin typeface="Arial"/>
            <a:cs typeface="Arial"/>
          </a:endParaRPr>
        </a:p>
        <a:p>
          <a:pPr algn="l" rtl="0">
            <a:defRPr sz="1000"/>
          </a:pPr>
          <a:r>
            <a:rPr lang="de-CH" sz="1400" b="1" i="0" u="none" strike="noStrike" baseline="0">
              <a:solidFill>
                <a:srgbClr val="000000"/>
              </a:solidFill>
              <a:latin typeface="Arial"/>
              <a:cs typeface="Arial"/>
            </a:rPr>
            <a:t>Qualität</a:t>
          </a:r>
        </a:p>
      </xdr:txBody>
    </xdr:sp>
    <xdr:clientData/>
  </xdr:twoCellAnchor>
  <xdr:twoCellAnchor>
    <xdr:from>
      <xdr:col>0</xdr:col>
      <xdr:colOff>68580</xdr:colOff>
      <xdr:row>139</xdr:row>
      <xdr:rowOff>99060</xdr:rowOff>
    </xdr:from>
    <xdr:to>
      <xdr:col>5</xdr:col>
      <xdr:colOff>167640</xdr:colOff>
      <xdr:row>161</xdr:row>
      <xdr:rowOff>76200</xdr:rowOff>
    </xdr:to>
    <xdr:graphicFrame macro="">
      <xdr:nvGraphicFramePr>
        <xdr:cNvPr id="276148" name="Chart 5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68580</xdr:colOff>
      <xdr:row>288</xdr:row>
      <xdr:rowOff>129540</xdr:rowOff>
    </xdr:from>
    <xdr:to>
      <xdr:col>4</xdr:col>
      <xdr:colOff>7620</xdr:colOff>
      <xdr:row>342</xdr:row>
      <xdr:rowOff>91440</xdr:rowOff>
    </xdr:to>
    <xdr:graphicFrame macro="">
      <xdr:nvGraphicFramePr>
        <xdr:cNvPr id="276149" name="Chart 2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60960</xdr:colOff>
      <xdr:row>86</xdr:row>
      <xdr:rowOff>205740</xdr:rowOff>
    </xdr:from>
    <xdr:to>
      <xdr:col>5</xdr:col>
      <xdr:colOff>175260</xdr:colOff>
      <xdr:row>98</xdr:row>
      <xdr:rowOff>182880</xdr:rowOff>
    </xdr:to>
    <xdr:graphicFrame macro="">
      <xdr:nvGraphicFramePr>
        <xdr:cNvPr id="276150" name="Chart 7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7620</xdr:colOff>
      <xdr:row>288</xdr:row>
      <xdr:rowOff>129540</xdr:rowOff>
    </xdr:from>
    <xdr:to>
      <xdr:col>9</xdr:col>
      <xdr:colOff>1630680</xdr:colOff>
      <xdr:row>342</xdr:row>
      <xdr:rowOff>68580</xdr:rowOff>
    </xdr:to>
    <xdr:graphicFrame macro="">
      <xdr:nvGraphicFramePr>
        <xdr:cNvPr id="276151" name="Chart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60960</xdr:colOff>
      <xdr:row>102</xdr:row>
      <xdr:rowOff>114300</xdr:rowOff>
    </xdr:from>
    <xdr:to>
      <xdr:col>5</xdr:col>
      <xdr:colOff>114300</xdr:colOff>
      <xdr:row>115</xdr:row>
      <xdr:rowOff>106680</xdr:rowOff>
    </xdr:to>
    <xdr:graphicFrame macro="">
      <xdr:nvGraphicFramePr>
        <xdr:cNvPr id="276152" name="Chart 1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38100</xdr:colOff>
      <xdr:row>119</xdr:row>
      <xdr:rowOff>30480</xdr:rowOff>
    </xdr:from>
    <xdr:to>
      <xdr:col>5</xdr:col>
      <xdr:colOff>137160</xdr:colOff>
      <xdr:row>136</xdr:row>
      <xdr:rowOff>38100</xdr:rowOff>
    </xdr:to>
    <xdr:graphicFrame macro="">
      <xdr:nvGraphicFramePr>
        <xdr:cNvPr id="276153" name="Chart 1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30480</xdr:colOff>
      <xdr:row>215</xdr:row>
      <xdr:rowOff>137160</xdr:rowOff>
    </xdr:from>
    <xdr:to>
      <xdr:col>4</xdr:col>
      <xdr:colOff>30480</xdr:colOff>
      <xdr:row>230</xdr:row>
      <xdr:rowOff>0</xdr:rowOff>
    </xdr:to>
    <xdr:graphicFrame macro="">
      <xdr:nvGraphicFramePr>
        <xdr:cNvPr id="276154" name="Chart 1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38100</xdr:colOff>
      <xdr:row>192</xdr:row>
      <xdr:rowOff>137160</xdr:rowOff>
    </xdr:from>
    <xdr:to>
      <xdr:col>4</xdr:col>
      <xdr:colOff>38100</xdr:colOff>
      <xdr:row>208</xdr:row>
      <xdr:rowOff>160020</xdr:rowOff>
    </xdr:to>
    <xdr:graphicFrame macro="">
      <xdr:nvGraphicFramePr>
        <xdr:cNvPr id="276155" name="Chart 1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99060</xdr:colOff>
      <xdr:row>233</xdr:row>
      <xdr:rowOff>137160</xdr:rowOff>
    </xdr:from>
    <xdr:to>
      <xdr:col>4</xdr:col>
      <xdr:colOff>76200</xdr:colOff>
      <xdr:row>255</xdr:row>
      <xdr:rowOff>68580</xdr:rowOff>
    </xdr:to>
    <xdr:graphicFrame macro="">
      <xdr:nvGraphicFramePr>
        <xdr:cNvPr id="276156" name="Chart 13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259</xdr:row>
      <xdr:rowOff>144780</xdr:rowOff>
    </xdr:from>
    <xdr:to>
      <xdr:col>4</xdr:col>
      <xdr:colOff>60960</xdr:colOff>
      <xdr:row>281</xdr:row>
      <xdr:rowOff>38100</xdr:rowOff>
    </xdr:to>
    <xdr:graphicFrame macro="">
      <xdr:nvGraphicFramePr>
        <xdr:cNvPr id="276157" name="Chart 13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76200</xdr:colOff>
      <xdr:row>165</xdr:row>
      <xdr:rowOff>114300</xdr:rowOff>
    </xdr:from>
    <xdr:to>
      <xdr:col>4</xdr:col>
      <xdr:colOff>76200</xdr:colOff>
      <xdr:row>188</xdr:row>
      <xdr:rowOff>30480</xdr:rowOff>
    </xdr:to>
    <xdr:graphicFrame macro="">
      <xdr:nvGraphicFramePr>
        <xdr:cNvPr id="276158" name="Chart 15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7258</xdr:colOff>
      <xdr:row>6</xdr:row>
      <xdr:rowOff>8709</xdr:rowOff>
    </xdr:from>
    <xdr:to>
      <xdr:col>8</xdr:col>
      <xdr:colOff>14878</xdr:colOff>
      <xdr:row>9</xdr:row>
      <xdr:rowOff>198120</xdr:rowOff>
    </xdr:to>
    <xdr:sp macro="" textlink="">
      <xdr:nvSpPr>
        <xdr:cNvPr id="276159" name="Rectangle 234"/>
        <xdr:cNvSpPr>
          <a:spLocks noChangeArrowheads="1"/>
        </xdr:cNvSpPr>
      </xdr:nvSpPr>
      <xdr:spPr bwMode="auto">
        <a:xfrm>
          <a:off x="9296401" y="1438366"/>
          <a:ext cx="1430020" cy="1161869"/>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6</xdr:row>
      <xdr:rowOff>7620</xdr:rowOff>
    </xdr:from>
    <xdr:to>
      <xdr:col>10</xdr:col>
      <xdr:colOff>0</xdr:colOff>
      <xdr:row>9</xdr:row>
      <xdr:rowOff>320040</xdr:rowOff>
    </xdr:to>
    <xdr:sp macro="" textlink="">
      <xdr:nvSpPr>
        <xdr:cNvPr id="276160" name="Rectangle 235"/>
        <xdr:cNvSpPr>
          <a:spLocks noChangeArrowheads="1"/>
        </xdr:cNvSpPr>
      </xdr:nvSpPr>
      <xdr:spPr bwMode="auto">
        <a:xfrm>
          <a:off x="11193780" y="1440180"/>
          <a:ext cx="1318260" cy="117348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978021</xdr:colOff>
      <xdr:row>6</xdr:row>
      <xdr:rowOff>2418</xdr:rowOff>
    </xdr:from>
    <xdr:to>
      <xdr:col>4</xdr:col>
      <xdr:colOff>45841</xdr:colOff>
      <xdr:row>43</xdr:row>
      <xdr:rowOff>18022</xdr:rowOff>
    </xdr:to>
    <xdr:sp macro="" textlink="">
      <xdr:nvSpPr>
        <xdr:cNvPr id="276161" name="Rectangle 236"/>
        <xdr:cNvSpPr>
          <a:spLocks noChangeArrowheads="1"/>
        </xdr:cNvSpPr>
      </xdr:nvSpPr>
      <xdr:spPr bwMode="auto">
        <a:xfrm>
          <a:off x="4403393" y="1432075"/>
          <a:ext cx="1382848" cy="10001432"/>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8466</xdr:colOff>
      <xdr:row>6</xdr:row>
      <xdr:rowOff>0</xdr:rowOff>
    </xdr:from>
    <xdr:to>
      <xdr:col>1</xdr:col>
      <xdr:colOff>1298787</xdr:colOff>
      <xdr:row>42</xdr:row>
      <xdr:rowOff>335280</xdr:rowOff>
    </xdr:to>
    <xdr:sp macro="" textlink="">
      <xdr:nvSpPr>
        <xdr:cNvPr id="276162" name="Rectangle 237"/>
        <xdr:cNvSpPr>
          <a:spLocks noChangeArrowheads="1"/>
        </xdr:cNvSpPr>
      </xdr:nvSpPr>
      <xdr:spPr bwMode="auto">
        <a:xfrm>
          <a:off x="2074333" y="1439333"/>
          <a:ext cx="1290321" cy="1001268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49</xdr:row>
      <xdr:rowOff>30480</xdr:rowOff>
    </xdr:from>
    <xdr:to>
      <xdr:col>2</xdr:col>
      <xdr:colOff>0</xdr:colOff>
      <xdr:row>64</xdr:row>
      <xdr:rowOff>0</xdr:rowOff>
    </xdr:to>
    <xdr:sp macro="" textlink="">
      <xdr:nvSpPr>
        <xdr:cNvPr id="276163" name="Rectangle 238"/>
        <xdr:cNvSpPr>
          <a:spLocks noChangeArrowheads="1"/>
        </xdr:cNvSpPr>
      </xdr:nvSpPr>
      <xdr:spPr bwMode="auto">
        <a:xfrm>
          <a:off x="2026920" y="13213080"/>
          <a:ext cx="1295400" cy="634746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xdr:colOff>
      <xdr:row>49</xdr:row>
      <xdr:rowOff>7620</xdr:rowOff>
    </xdr:from>
    <xdr:to>
      <xdr:col>3</xdr:col>
      <xdr:colOff>1325880</xdr:colOff>
      <xdr:row>64</xdr:row>
      <xdr:rowOff>7620</xdr:rowOff>
    </xdr:to>
    <xdr:sp macro="" textlink="">
      <xdr:nvSpPr>
        <xdr:cNvPr id="276164" name="Rectangle 239"/>
        <xdr:cNvSpPr>
          <a:spLocks noChangeArrowheads="1"/>
        </xdr:cNvSpPr>
      </xdr:nvSpPr>
      <xdr:spPr bwMode="auto">
        <a:xfrm>
          <a:off x="4282440" y="13190220"/>
          <a:ext cx="1287780" cy="637794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49</xdr:row>
      <xdr:rowOff>30480</xdr:rowOff>
    </xdr:from>
    <xdr:to>
      <xdr:col>8</xdr:col>
      <xdr:colOff>7620</xdr:colOff>
      <xdr:row>64</xdr:row>
      <xdr:rowOff>0</xdr:rowOff>
    </xdr:to>
    <xdr:sp macro="" textlink="">
      <xdr:nvSpPr>
        <xdr:cNvPr id="276165" name="Rectangle 240"/>
        <xdr:cNvSpPr>
          <a:spLocks noChangeArrowheads="1"/>
        </xdr:cNvSpPr>
      </xdr:nvSpPr>
      <xdr:spPr bwMode="auto">
        <a:xfrm>
          <a:off x="9052560" y="13213080"/>
          <a:ext cx="1386840" cy="634746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49</xdr:row>
      <xdr:rowOff>7620</xdr:rowOff>
    </xdr:from>
    <xdr:to>
      <xdr:col>10</xdr:col>
      <xdr:colOff>30480</xdr:colOff>
      <xdr:row>64</xdr:row>
      <xdr:rowOff>0</xdr:rowOff>
    </xdr:to>
    <xdr:sp macro="" textlink="">
      <xdr:nvSpPr>
        <xdr:cNvPr id="276166" name="Rectangle 241"/>
        <xdr:cNvSpPr>
          <a:spLocks noChangeArrowheads="1"/>
        </xdr:cNvSpPr>
      </xdr:nvSpPr>
      <xdr:spPr bwMode="auto">
        <a:xfrm>
          <a:off x="11193780" y="13190220"/>
          <a:ext cx="1348740" cy="637032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89</xdr:row>
      <xdr:rowOff>30480</xdr:rowOff>
    </xdr:from>
    <xdr:to>
      <xdr:col>8</xdr:col>
      <xdr:colOff>0</xdr:colOff>
      <xdr:row>96</xdr:row>
      <xdr:rowOff>220980</xdr:rowOff>
    </xdr:to>
    <xdr:sp macro="" textlink="">
      <xdr:nvSpPr>
        <xdr:cNvPr id="276167" name="Rectangle 242"/>
        <xdr:cNvSpPr>
          <a:spLocks noChangeArrowheads="1"/>
        </xdr:cNvSpPr>
      </xdr:nvSpPr>
      <xdr:spPr bwMode="auto">
        <a:xfrm>
          <a:off x="9052560" y="28818840"/>
          <a:ext cx="1379220" cy="174498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104</xdr:row>
      <xdr:rowOff>30480</xdr:rowOff>
    </xdr:from>
    <xdr:to>
      <xdr:col>7</xdr:col>
      <xdr:colOff>1379220</xdr:colOff>
      <xdr:row>110</xdr:row>
      <xdr:rowOff>0</xdr:rowOff>
    </xdr:to>
    <xdr:sp macro="" textlink="">
      <xdr:nvSpPr>
        <xdr:cNvPr id="276168" name="Rectangle 243"/>
        <xdr:cNvSpPr>
          <a:spLocks noChangeArrowheads="1"/>
        </xdr:cNvSpPr>
      </xdr:nvSpPr>
      <xdr:spPr bwMode="auto">
        <a:xfrm>
          <a:off x="9052560" y="31988760"/>
          <a:ext cx="1379220" cy="153162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122</xdr:row>
      <xdr:rowOff>30480</xdr:rowOff>
    </xdr:from>
    <xdr:to>
      <xdr:col>8</xdr:col>
      <xdr:colOff>0</xdr:colOff>
      <xdr:row>131</xdr:row>
      <xdr:rowOff>160020</xdr:rowOff>
    </xdr:to>
    <xdr:sp macro="" textlink="">
      <xdr:nvSpPr>
        <xdr:cNvPr id="276169" name="Rectangle 244"/>
        <xdr:cNvSpPr>
          <a:spLocks noChangeArrowheads="1"/>
        </xdr:cNvSpPr>
      </xdr:nvSpPr>
      <xdr:spPr bwMode="auto">
        <a:xfrm>
          <a:off x="9052560" y="35714940"/>
          <a:ext cx="1379220" cy="195072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144</xdr:row>
      <xdr:rowOff>30480</xdr:rowOff>
    </xdr:from>
    <xdr:to>
      <xdr:col>8</xdr:col>
      <xdr:colOff>0</xdr:colOff>
      <xdr:row>154</xdr:row>
      <xdr:rowOff>38100</xdr:rowOff>
    </xdr:to>
    <xdr:sp macro="" textlink="">
      <xdr:nvSpPr>
        <xdr:cNvPr id="276170" name="Rectangle 245"/>
        <xdr:cNvSpPr>
          <a:spLocks noChangeArrowheads="1"/>
        </xdr:cNvSpPr>
      </xdr:nvSpPr>
      <xdr:spPr bwMode="auto">
        <a:xfrm>
          <a:off x="9052560" y="39814500"/>
          <a:ext cx="1379220" cy="180594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167</xdr:row>
      <xdr:rowOff>30480</xdr:rowOff>
    </xdr:from>
    <xdr:to>
      <xdr:col>8</xdr:col>
      <xdr:colOff>30480</xdr:colOff>
      <xdr:row>173</xdr:row>
      <xdr:rowOff>0</xdr:rowOff>
    </xdr:to>
    <xdr:sp macro="" textlink="">
      <xdr:nvSpPr>
        <xdr:cNvPr id="276171" name="Rectangle 246"/>
        <xdr:cNvSpPr>
          <a:spLocks noChangeArrowheads="1"/>
        </xdr:cNvSpPr>
      </xdr:nvSpPr>
      <xdr:spPr bwMode="auto">
        <a:xfrm>
          <a:off x="9052560" y="44577000"/>
          <a:ext cx="1409700" cy="102108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198</xdr:row>
      <xdr:rowOff>30480</xdr:rowOff>
    </xdr:from>
    <xdr:to>
      <xdr:col>7</xdr:col>
      <xdr:colOff>1371600</xdr:colOff>
      <xdr:row>204</xdr:row>
      <xdr:rowOff>7620</xdr:rowOff>
    </xdr:to>
    <xdr:sp macro="" textlink="">
      <xdr:nvSpPr>
        <xdr:cNvPr id="276172" name="Rectangle 247"/>
        <xdr:cNvSpPr>
          <a:spLocks noChangeArrowheads="1"/>
        </xdr:cNvSpPr>
      </xdr:nvSpPr>
      <xdr:spPr bwMode="auto">
        <a:xfrm>
          <a:off x="9052560" y="50025300"/>
          <a:ext cx="1371600" cy="189738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216</xdr:row>
      <xdr:rowOff>7620</xdr:rowOff>
    </xdr:from>
    <xdr:to>
      <xdr:col>7</xdr:col>
      <xdr:colOff>1379220</xdr:colOff>
      <xdr:row>230</xdr:row>
      <xdr:rowOff>0</xdr:rowOff>
    </xdr:to>
    <xdr:sp macro="" textlink="">
      <xdr:nvSpPr>
        <xdr:cNvPr id="276173" name="Rectangle 248"/>
        <xdr:cNvSpPr>
          <a:spLocks noChangeArrowheads="1"/>
        </xdr:cNvSpPr>
      </xdr:nvSpPr>
      <xdr:spPr bwMode="auto">
        <a:xfrm>
          <a:off x="9052560" y="54002940"/>
          <a:ext cx="1379220" cy="447294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238</xdr:row>
      <xdr:rowOff>30480</xdr:rowOff>
    </xdr:from>
    <xdr:to>
      <xdr:col>8</xdr:col>
      <xdr:colOff>0</xdr:colOff>
      <xdr:row>245</xdr:row>
      <xdr:rowOff>0</xdr:rowOff>
    </xdr:to>
    <xdr:sp macro="" textlink="">
      <xdr:nvSpPr>
        <xdr:cNvPr id="276174" name="Rectangle 249"/>
        <xdr:cNvSpPr>
          <a:spLocks noChangeArrowheads="1"/>
        </xdr:cNvSpPr>
      </xdr:nvSpPr>
      <xdr:spPr bwMode="auto">
        <a:xfrm>
          <a:off x="9052560" y="60121800"/>
          <a:ext cx="1379220" cy="161544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261</xdr:row>
      <xdr:rowOff>30480</xdr:rowOff>
    </xdr:from>
    <xdr:to>
      <xdr:col>8</xdr:col>
      <xdr:colOff>30480</xdr:colOff>
      <xdr:row>267</xdr:row>
      <xdr:rowOff>220980</xdr:rowOff>
    </xdr:to>
    <xdr:sp macro="" textlink="">
      <xdr:nvSpPr>
        <xdr:cNvPr id="276175" name="Rectangle 250"/>
        <xdr:cNvSpPr>
          <a:spLocks noChangeArrowheads="1"/>
        </xdr:cNvSpPr>
      </xdr:nvSpPr>
      <xdr:spPr bwMode="auto">
        <a:xfrm>
          <a:off x="9052560" y="64686180"/>
          <a:ext cx="1409700" cy="123444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89</xdr:row>
      <xdr:rowOff>7620</xdr:rowOff>
    </xdr:from>
    <xdr:to>
      <xdr:col>10</xdr:col>
      <xdr:colOff>30480</xdr:colOff>
      <xdr:row>96</xdr:row>
      <xdr:rowOff>213360</xdr:rowOff>
    </xdr:to>
    <xdr:sp macro="" textlink="">
      <xdr:nvSpPr>
        <xdr:cNvPr id="276176" name="Rectangle 251"/>
        <xdr:cNvSpPr>
          <a:spLocks noChangeArrowheads="1"/>
        </xdr:cNvSpPr>
      </xdr:nvSpPr>
      <xdr:spPr bwMode="auto">
        <a:xfrm>
          <a:off x="11193780" y="28795980"/>
          <a:ext cx="1348740" cy="176022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104</xdr:row>
      <xdr:rowOff>7620</xdr:rowOff>
    </xdr:from>
    <xdr:to>
      <xdr:col>10</xdr:col>
      <xdr:colOff>0</xdr:colOff>
      <xdr:row>110</xdr:row>
      <xdr:rowOff>7620</xdr:rowOff>
    </xdr:to>
    <xdr:sp macro="" textlink="">
      <xdr:nvSpPr>
        <xdr:cNvPr id="276177" name="Rectangle 252"/>
        <xdr:cNvSpPr>
          <a:spLocks noChangeArrowheads="1"/>
        </xdr:cNvSpPr>
      </xdr:nvSpPr>
      <xdr:spPr bwMode="auto">
        <a:xfrm>
          <a:off x="11193780" y="31965900"/>
          <a:ext cx="1318260" cy="156210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122</xdr:row>
      <xdr:rowOff>7620</xdr:rowOff>
    </xdr:from>
    <xdr:to>
      <xdr:col>10</xdr:col>
      <xdr:colOff>7620</xdr:colOff>
      <xdr:row>132</xdr:row>
      <xdr:rowOff>30480</xdr:rowOff>
    </xdr:to>
    <xdr:sp macro="" textlink="">
      <xdr:nvSpPr>
        <xdr:cNvPr id="276178" name="Rectangle 253"/>
        <xdr:cNvSpPr>
          <a:spLocks noChangeArrowheads="1"/>
        </xdr:cNvSpPr>
      </xdr:nvSpPr>
      <xdr:spPr bwMode="auto">
        <a:xfrm>
          <a:off x="11193780" y="35692080"/>
          <a:ext cx="1325880" cy="204216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144</xdr:row>
      <xdr:rowOff>7620</xdr:rowOff>
    </xdr:from>
    <xdr:to>
      <xdr:col>10</xdr:col>
      <xdr:colOff>0</xdr:colOff>
      <xdr:row>154</xdr:row>
      <xdr:rowOff>30480</xdr:rowOff>
    </xdr:to>
    <xdr:sp macro="" textlink="">
      <xdr:nvSpPr>
        <xdr:cNvPr id="276179" name="Rectangle 254"/>
        <xdr:cNvSpPr>
          <a:spLocks noChangeArrowheads="1"/>
        </xdr:cNvSpPr>
      </xdr:nvSpPr>
      <xdr:spPr bwMode="auto">
        <a:xfrm>
          <a:off x="11193780" y="39791640"/>
          <a:ext cx="1318260" cy="182118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167</xdr:row>
      <xdr:rowOff>7620</xdr:rowOff>
    </xdr:from>
    <xdr:to>
      <xdr:col>9</xdr:col>
      <xdr:colOff>1729740</xdr:colOff>
      <xdr:row>173</xdr:row>
      <xdr:rowOff>0</xdr:rowOff>
    </xdr:to>
    <xdr:sp macro="" textlink="">
      <xdr:nvSpPr>
        <xdr:cNvPr id="276180" name="Rectangle 255"/>
        <xdr:cNvSpPr>
          <a:spLocks noChangeArrowheads="1"/>
        </xdr:cNvSpPr>
      </xdr:nvSpPr>
      <xdr:spPr bwMode="auto">
        <a:xfrm>
          <a:off x="11193780" y="44554140"/>
          <a:ext cx="1318260" cy="104394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198</xdr:row>
      <xdr:rowOff>7620</xdr:rowOff>
    </xdr:from>
    <xdr:to>
      <xdr:col>10</xdr:col>
      <xdr:colOff>30480</xdr:colOff>
      <xdr:row>204</xdr:row>
      <xdr:rowOff>7620</xdr:rowOff>
    </xdr:to>
    <xdr:sp macro="" textlink="">
      <xdr:nvSpPr>
        <xdr:cNvPr id="276181" name="Rectangle 256"/>
        <xdr:cNvSpPr>
          <a:spLocks noChangeArrowheads="1"/>
        </xdr:cNvSpPr>
      </xdr:nvSpPr>
      <xdr:spPr bwMode="auto">
        <a:xfrm>
          <a:off x="11193780" y="50002440"/>
          <a:ext cx="1348740" cy="192024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216</xdr:row>
      <xdr:rowOff>7620</xdr:rowOff>
    </xdr:from>
    <xdr:to>
      <xdr:col>10</xdr:col>
      <xdr:colOff>7620</xdr:colOff>
      <xdr:row>230</xdr:row>
      <xdr:rowOff>0</xdr:rowOff>
    </xdr:to>
    <xdr:sp macro="" textlink="">
      <xdr:nvSpPr>
        <xdr:cNvPr id="276182" name="Rectangle 257"/>
        <xdr:cNvSpPr>
          <a:spLocks noChangeArrowheads="1"/>
        </xdr:cNvSpPr>
      </xdr:nvSpPr>
      <xdr:spPr bwMode="auto">
        <a:xfrm>
          <a:off x="11193780" y="54002940"/>
          <a:ext cx="1325880" cy="449580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238</xdr:row>
      <xdr:rowOff>7620</xdr:rowOff>
    </xdr:from>
    <xdr:to>
      <xdr:col>10</xdr:col>
      <xdr:colOff>30480</xdr:colOff>
      <xdr:row>245</xdr:row>
      <xdr:rowOff>0</xdr:rowOff>
    </xdr:to>
    <xdr:sp macro="" textlink="">
      <xdr:nvSpPr>
        <xdr:cNvPr id="276183" name="Rectangle 258"/>
        <xdr:cNvSpPr>
          <a:spLocks noChangeArrowheads="1"/>
        </xdr:cNvSpPr>
      </xdr:nvSpPr>
      <xdr:spPr bwMode="auto">
        <a:xfrm>
          <a:off x="11193780" y="60098940"/>
          <a:ext cx="1348740" cy="163830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754380</xdr:colOff>
      <xdr:row>261</xdr:row>
      <xdr:rowOff>7620</xdr:rowOff>
    </xdr:from>
    <xdr:to>
      <xdr:col>9</xdr:col>
      <xdr:colOff>1318260</xdr:colOff>
      <xdr:row>267</xdr:row>
      <xdr:rowOff>220980</xdr:rowOff>
    </xdr:to>
    <xdr:sp macro="" textlink="">
      <xdr:nvSpPr>
        <xdr:cNvPr id="276184" name="Rectangle 259"/>
        <xdr:cNvSpPr>
          <a:spLocks noChangeArrowheads="1"/>
        </xdr:cNvSpPr>
      </xdr:nvSpPr>
      <xdr:spPr bwMode="auto">
        <a:xfrm>
          <a:off x="11186160" y="64663320"/>
          <a:ext cx="1318260" cy="125730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7620</xdr:colOff>
      <xdr:row>70</xdr:row>
      <xdr:rowOff>182880</xdr:rowOff>
    </xdr:from>
    <xdr:to>
      <xdr:col>4</xdr:col>
      <xdr:colOff>0</xdr:colOff>
      <xdr:row>83</xdr:row>
      <xdr:rowOff>7620</xdr:rowOff>
    </xdr:to>
    <xdr:sp macro="" textlink="">
      <xdr:nvSpPr>
        <xdr:cNvPr id="276185" name="Rectangle 311"/>
        <xdr:cNvSpPr>
          <a:spLocks noChangeArrowheads="1"/>
        </xdr:cNvSpPr>
      </xdr:nvSpPr>
      <xdr:spPr bwMode="auto">
        <a:xfrm>
          <a:off x="4282440" y="21755100"/>
          <a:ext cx="1287780" cy="531876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70</xdr:row>
      <xdr:rowOff>30480</xdr:rowOff>
    </xdr:from>
    <xdr:to>
      <xdr:col>1</xdr:col>
      <xdr:colOff>1363980</xdr:colOff>
      <xdr:row>83</xdr:row>
      <xdr:rowOff>0</xdr:rowOff>
    </xdr:to>
    <xdr:sp macro="" textlink="">
      <xdr:nvSpPr>
        <xdr:cNvPr id="276186" name="Rectangle 312"/>
        <xdr:cNvSpPr>
          <a:spLocks noChangeArrowheads="1"/>
        </xdr:cNvSpPr>
      </xdr:nvSpPr>
      <xdr:spPr bwMode="auto">
        <a:xfrm>
          <a:off x="2026920" y="21602700"/>
          <a:ext cx="1295400" cy="546354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7620</xdr:colOff>
      <xdr:row>70</xdr:row>
      <xdr:rowOff>7620</xdr:rowOff>
    </xdr:from>
    <xdr:to>
      <xdr:col>10</xdr:col>
      <xdr:colOff>7620</xdr:colOff>
      <xdr:row>80</xdr:row>
      <xdr:rowOff>335280</xdr:rowOff>
    </xdr:to>
    <xdr:sp macro="" textlink="">
      <xdr:nvSpPr>
        <xdr:cNvPr id="276187" name="Rectangle 313"/>
        <xdr:cNvSpPr>
          <a:spLocks noChangeArrowheads="1"/>
        </xdr:cNvSpPr>
      </xdr:nvSpPr>
      <xdr:spPr bwMode="auto">
        <a:xfrm>
          <a:off x="11193780" y="21579840"/>
          <a:ext cx="1325880" cy="4747260"/>
        </a:xfrm>
        <a:prstGeom prst="rect">
          <a:avLst/>
        </a:prstGeom>
        <a:noFill/>
        <a:ln w="38100">
          <a:solidFill>
            <a:srgbClr val="339933"/>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6</xdr:row>
      <xdr:rowOff>38100</xdr:rowOff>
    </xdr:from>
    <xdr:to>
      <xdr:col>0</xdr:col>
      <xdr:colOff>927638</xdr:colOff>
      <xdr:row>8</xdr:row>
      <xdr:rowOff>66675</xdr:rowOff>
    </xdr:to>
    <xdr:sp macro="" textlink="">
      <xdr:nvSpPr>
        <xdr:cNvPr id="22862" name="Text Box 334"/>
        <xdr:cNvSpPr txBox="1">
          <a:spLocks noChangeArrowheads="1"/>
        </xdr:cNvSpPr>
      </xdr:nvSpPr>
      <xdr:spPr bwMode="auto">
        <a:xfrm>
          <a:off x="9525" y="1476375"/>
          <a:ext cx="895350" cy="73342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endParaRPr lang="de-CH" sz="1400" b="1" i="0" u="none" strike="noStrike" baseline="0">
            <a:solidFill>
              <a:srgbClr val="000000"/>
            </a:solidFill>
            <a:latin typeface="Arial"/>
            <a:cs typeface="Arial"/>
          </a:endParaRPr>
        </a:p>
        <a:p>
          <a:pPr algn="l" rtl="0">
            <a:defRPr sz="1000"/>
          </a:pPr>
          <a:r>
            <a:rPr lang="de-CH" sz="1400" b="1" i="0" u="none" strike="noStrike" baseline="0">
              <a:solidFill>
                <a:srgbClr val="000000"/>
              </a:solidFill>
              <a:latin typeface="Arial"/>
              <a:cs typeface="Arial"/>
            </a:rPr>
            <a:t>Prix</a:t>
          </a:r>
        </a:p>
      </xdr:txBody>
    </xdr:sp>
    <xdr:clientData/>
  </xdr:twoCellAnchor>
  <xdr:twoCellAnchor>
    <xdr:from>
      <xdr:col>0</xdr:col>
      <xdr:colOff>28575</xdr:colOff>
      <xdr:row>9</xdr:row>
      <xdr:rowOff>28575</xdr:rowOff>
    </xdr:from>
    <xdr:to>
      <xdr:col>0</xdr:col>
      <xdr:colOff>927735</xdr:colOff>
      <xdr:row>12</xdr:row>
      <xdr:rowOff>160068</xdr:rowOff>
    </xdr:to>
    <xdr:sp macro="" textlink="">
      <xdr:nvSpPr>
        <xdr:cNvPr id="22863" name="Text Box 335"/>
        <xdr:cNvSpPr txBox="1">
          <a:spLocks noChangeArrowheads="1"/>
        </xdr:cNvSpPr>
      </xdr:nvSpPr>
      <xdr:spPr bwMode="auto">
        <a:xfrm>
          <a:off x="28575" y="2438400"/>
          <a:ext cx="876300" cy="7143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de-CH" sz="1400" b="1" i="0" u="none" strike="noStrike" baseline="0">
              <a:solidFill>
                <a:srgbClr val="000000"/>
              </a:solidFill>
              <a:latin typeface="Arial"/>
              <a:cs typeface="Arial"/>
            </a:rPr>
            <a:t>Qualité</a:t>
          </a:r>
        </a:p>
        <a:p>
          <a:pPr algn="l" rtl="0">
            <a:defRPr sz="1000"/>
          </a:pPr>
          <a:r>
            <a:rPr lang="de-CH" sz="1400" b="1" i="0" u="none" strike="noStrike" baseline="0">
              <a:solidFill>
                <a:srgbClr val="000000"/>
              </a:solidFill>
              <a:latin typeface="Arial"/>
              <a:cs typeface="Arial"/>
            </a:rPr>
            <a:t>1.- 9.</a:t>
          </a:r>
        </a:p>
        <a:p>
          <a:pPr algn="l" rtl="0">
            <a:defRPr sz="1000"/>
          </a:pPr>
          <a:r>
            <a:rPr lang="de-CH" sz="1400" b="1" i="0" u="none" strike="noStrike" baseline="0">
              <a:solidFill>
                <a:srgbClr val="000000"/>
              </a:solidFill>
              <a:latin typeface="Arial"/>
              <a:cs typeface="Arial"/>
            </a:rPr>
            <a:t>année</a:t>
          </a:r>
        </a:p>
      </xdr:txBody>
    </xdr:sp>
    <xdr:clientData/>
  </xdr:twoCellAnchor>
  <xdr:twoCellAnchor>
    <xdr:from>
      <xdr:col>7</xdr:col>
      <xdr:colOff>7620</xdr:colOff>
      <xdr:row>69</xdr:row>
      <xdr:rowOff>30480</xdr:rowOff>
    </xdr:from>
    <xdr:to>
      <xdr:col>8</xdr:col>
      <xdr:colOff>7620</xdr:colOff>
      <xdr:row>80</xdr:row>
      <xdr:rowOff>297180</xdr:rowOff>
    </xdr:to>
    <xdr:sp macro="" textlink="">
      <xdr:nvSpPr>
        <xdr:cNvPr id="276190" name="Rectangle 341"/>
        <xdr:cNvSpPr>
          <a:spLocks noChangeArrowheads="1"/>
        </xdr:cNvSpPr>
      </xdr:nvSpPr>
      <xdr:spPr bwMode="auto">
        <a:xfrm>
          <a:off x="9060180" y="21526500"/>
          <a:ext cx="1379220" cy="4762500"/>
        </a:xfrm>
        <a:prstGeom prst="rect">
          <a:avLst/>
        </a:prstGeom>
        <a:noFill/>
        <a:ln w="38100">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13</xdr:row>
      <xdr:rowOff>28575</xdr:rowOff>
    </xdr:from>
    <xdr:to>
      <xdr:col>0</xdr:col>
      <xdr:colOff>927735</xdr:colOff>
      <xdr:row>17</xdr:row>
      <xdr:rowOff>9525</xdr:rowOff>
    </xdr:to>
    <xdr:sp macro="" textlink="">
      <xdr:nvSpPr>
        <xdr:cNvPr id="22872" name="Text Box 344"/>
        <xdr:cNvSpPr txBox="1">
          <a:spLocks noChangeArrowheads="1"/>
        </xdr:cNvSpPr>
      </xdr:nvSpPr>
      <xdr:spPr bwMode="auto">
        <a:xfrm>
          <a:off x="28575" y="3190875"/>
          <a:ext cx="876300" cy="66675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de-CH" sz="1400" b="1" i="0" u="none" strike="noStrike" baseline="0">
              <a:solidFill>
                <a:srgbClr val="000000"/>
              </a:solidFill>
              <a:latin typeface="Arial"/>
              <a:cs typeface="Arial"/>
            </a:rPr>
            <a:t>Qualité</a:t>
          </a:r>
        </a:p>
        <a:p>
          <a:pPr algn="l" rtl="0">
            <a:defRPr sz="1000"/>
          </a:pPr>
          <a:r>
            <a:rPr lang="de-CH" sz="1400" b="1" i="0" u="none" strike="noStrike" baseline="0">
              <a:solidFill>
                <a:srgbClr val="000000"/>
              </a:solidFill>
              <a:latin typeface="Arial"/>
              <a:cs typeface="Arial"/>
            </a:rPr>
            <a:t>5.- 9. année</a:t>
          </a:r>
        </a:p>
      </xdr:txBody>
    </xdr:sp>
    <xdr:clientData/>
  </xdr:twoCellAnchor>
  <xdr:twoCellAnchor>
    <xdr:from>
      <xdr:col>0</xdr:col>
      <xdr:colOff>28575</xdr:colOff>
      <xdr:row>13</xdr:row>
      <xdr:rowOff>28575</xdr:rowOff>
    </xdr:from>
    <xdr:to>
      <xdr:col>0</xdr:col>
      <xdr:colOff>918160</xdr:colOff>
      <xdr:row>16</xdr:row>
      <xdr:rowOff>66675</xdr:rowOff>
    </xdr:to>
    <xdr:sp macro="" textlink="">
      <xdr:nvSpPr>
        <xdr:cNvPr id="22873" name="Text Box 345"/>
        <xdr:cNvSpPr txBox="1">
          <a:spLocks noChangeArrowheads="1"/>
        </xdr:cNvSpPr>
      </xdr:nvSpPr>
      <xdr:spPr bwMode="auto">
        <a:xfrm>
          <a:off x="28575" y="3190875"/>
          <a:ext cx="866775" cy="5619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endParaRPr lang="de-CH" sz="1400" b="1" i="0" u="none" strike="noStrike" baseline="0">
            <a:solidFill>
              <a:srgbClr val="000000"/>
            </a:solidFill>
            <a:latin typeface="Arial"/>
            <a:cs typeface="Arial"/>
          </a:endParaRPr>
        </a:p>
        <a:p>
          <a:pPr algn="l" rtl="0">
            <a:defRPr sz="1000"/>
          </a:pPr>
          <a:r>
            <a:rPr lang="de-CH" sz="1400" b="1" i="0" u="none" strike="noStrike" baseline="0">
              <a:solidFill>
                <a:srgbClr val="000000"/>
              </a:solidFill>
              <a:latin typeface="Arial"/>
              <a:cs typeface="Arial"/>
            </a:rPr>
            <a:t>Qualität</a:t>
          </a:r>
        </a:p>
      </xdr:txBody>
    </xdr:sp>
    <xdr:clientData/>
  </xdr:twoCellAnchor>
  <xdr:twoCellAnchor>
    <xdr:from>
      <xdr:col>0</xdr:col>
      <xdr:colOff>28575</xdr:colOff>
      <xdr:row>13</xdr:row>
      <xdr:rowOff>9525</xdr:rowOff>
    </xdr:from>
    <xdr:to>
      <xdr:col>0</xdr:col>
      <xdr:colOff>927735</xdr:colOff>
      <xdr:row>16</xdr:row>
      <xdr:rowOff>142875</xdr:rowOff>
    </xdr:to>
    <xdr:sp macro="" textlink="">
      <xdr:nvSpPr>
        <xdr:cNvPr id="22874" name="Text Box 346"/>
        <xdr:cNvSpPr txBox="1">
          <a:spLocks noChangeArrowheads="1"/>
        </xdr:cNvSpPr>
      </xdr:nvSpPr>
      <xdr:spPr bwMode="auto">
        <a:xfrm>
          <a:off x="28575" y="3171825"/>
          <a:ext cx="876300" cy="65722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de-CH" sz="1400" b="1" i="0" u="none" strike="noStrike" baseline="0">
              <a:solidFill>
                <a:srgbClr val="000000"/>
              </a:solidFill>
              <a:latin typeface="Arial"/>
              <a:cs typeface="Arial"/>
            </a:rPr>
            <a:t>Qualité</a:t>
          </a:r>
        </a:p>
        <a:p>
          <a:pPr algn="l" rtl="0">
            <a:defRPr sz="1000"/>
          </a:pPr>
          <a:r>
            <a:rPr lang="de-CH" sz="1400" b="1" i="0" u="none" strike="noStrike" baseline="0">
              <a:solidFill>
                <a:srgbClr val="000000"/>
              </a:solidFill>
              <a:latin typeface="Arial"/>
              <a:cs typeface="Arial"/>
            </a:rPr>
            <a:t>10.- 12 année</a:t>
          </a:r>
        </a:p>
      </xdr:txBody>
    </xdr:sp>
    <xdr:clientData/>
  </xdr:twoCellAnchor>
  <xdr:twoCellAnchor>
    <xdr:from>
      <xdr:col>0</xdr:col>
      <xdr:colOff>28575</xdr:colOff>
      <xdr:row>16</xdr:row>
      <xdr:rowOff>160020</xdr:rowOff>
    </xdr:from>
    <xdr:to>
      <xdr:col>0</xdr:col>
      <xdr:colOff>927735</xdr:colOff>
      <xdr:row>20</xdr:row>
      <xdr:rowOff>172694</xdr:rowOff>
    </xdr:to>
    <xdr:sp macro="" textlink="">
      <xdr:nvSpPr>
        <xdr:cNvPr id="22875" name="Text Box 347"/>
        <xdr:cNvSpPr txBox="1">
          <a:spLocks noChangeArrowheads="1"/>
        </xdr:cNvSpPr>
      </xdr:nvSpPr>
      <xdr:spPr bwMode="auto">
        <a:xfrm>
          <a:off x="28575" y="3838575"/>
          <a:ext cx="876300" cy="69532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de-CH" sz="1400" b="1" i="0" u="none" strike="noStrike" baseline="0">
              <a:solidFill>
                <a:srgbClr val="000000"/>
              </a:solidFill>
              <a:latin typeface="Arial"/>
              <a:cs typeface="Arial"/>
            </a:rPr>
            <a:t>Qualité</a:t>
          </a:r>
        </a:p>
        <a:p>
          <a:pPr algn="l" rtl="0">
            <a:defRPr sz="1000"/>
          </a:pPr>
          <a:r>
            <a:rPr lang="de-CH" sz="1400" b="1" i="0" u="none" strike="noStrike" baseline="0">
              <a:solidFill>
                <a:srgbClr val="000000"/>
              </a:solidFill>
              <a:latin typeface="Arial"/>
              <a:cs typeface="Arial"/>
            </a:rPr>
            <a:t>13.- 15. année</a:t>
          </a:r>
        </a:p>
      </xdr:txBody>
    </xdr:sp>
    <xdr:clientData/>
  </xdr:twoCellAnchor>
  <xdr:twoCellAnchor>
    <xdr:from>
      <xdr:col>0</xdr:col>
      <xdr:colOff>28575</xdr:colOff>
      <xdr:row>17</xdr:row>
      <xdr:rowOff>36195</xdr:rowOff>
    </xdr:from>
    <xdr:to>
      <xdr:col>0</xdr:col>
      <xdr:colOff>927735</xdr:colOff>
      <xdr:row>21</xdr:row>
      <xdr:rowOff>2042</xdr:rowOff>
    </xdr:to>
    <xdr:sp macro="" textlink="">
      <xdr:nvSpPr>
        <xdr:cNvPr id="22877" name="Text Box 349"/>
        <xdr:cNvSpPr txBox="1">
          <a:spLocks noChangeArrowheads="1"/>
        </xdr:cNvSpPr>
      </xdr:nvSpPr>
      <xdr:spPr bwMode="auto">
        <a:xfrm>
          <a:off x="28575" y="3876675"/>
          <a:ext cx="876300" cy="666750"/>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de-CH" sz="1400" b="1" i="0" u="none" strike="noStrike" baseline="0">
              <a:solidFill>
                <a:srgbClr val="000000"/>
              </a:solidFill>
              <a:latin typeface="Arial"/>
              <a:cs typeface="Arial"/>
            </a:rPr>
            <a:t>Qualité</a:t>
          </a:r>
        </a:p>
        <a:p>
          <a:pPr algn="l" rtl="0">
            <a:defRPr sz="1000"/>
          </a:pPr>
          <a:r>
            <a:rPr lang="de-CH" sz="1400" b="1" i="0" u="none" strike="noStrike" baseline="0">
              <a:solidFill>
                <a:srgbClr val="000000"/>
              </a:solidFill>
              <a:latin typeface="Arial"/>
              <a:cs typeface="Arial"/>
            </a:rPr>
            <a:t>5.- 9. année</a:t>
          </a:r>
        </a:p>
      </xdr:txBody>
    </xdr:sp>
    <xdr:clientData/>
  </xdr:twoCellAnchor>
  <xdr:twoCellAnchor>
    <xdr:from>
      <xdr:col>0</xdr:col>
      <xdr:colOff>28575</xdr:colOff>
      <xdr:row>17</xdr:row>
      <xdr:rowOff>36195</xdr:rowOff>
    </xdr:from>
    <xdr:to>
      <xdr:col>0</xdr:col>
      <xdr:colOff>918160</xdr:colOff>
      <xdr:row>20</xdr:row>
      <xdr:rowOff>74295</xdr:rowOff>
    </xdr:to>
    <xdr:sp macro="" textlink="">
      <xdr:nvSpPr>
        <xdr:cNvPr id="22878" name="Text Box 350"/>
        <xdr:cNvSpPr txBox="1">
          <a:spLocks noChangeArrowheads="1"/>
        </xdr:cNvSpPr>
      </xdr:nvSpPr>
      <xdr:spPr bwMode="auto">
        <a:xfrm>
          <a:off x="28575" y="3876675"/>
          <a:ext cx="866775" cy="56197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endParaRPr lang="de-CH" sz="1400" b="1" i="0" u="none" strike="noStrike" baseline="0">
            <a:solidFill>
              <a:srgbClr val="000000"/>
            </a:solidFill>
            <a:latin typeface="Arial"/>
            <a:cs typeface="Arial"/>
          </a:endParaRPr>
        </a:p>
        <a:p>
          <a:pPr algn="l" rtl="0">
            <a:defRPr sz="1000"/>
          </a:pPr>
          <a:r>
            <a:rPr lang="de-CH" sz="1400" b="1" i="0" u="none" strike="noStrike" baseline="0">
              <a:solidFill>
                <a:srgbClr val="000000"/>
              </a:solidFill>
              <a:latin typeface="Arial"/>
              <a:cs typeface="Arial"/>
            </a:rPr>
            <a:t>Qualität</a:t>
          </a:r>
        </a:p>
      </xdr:txBody>
    </xdr:sp>
    <xdr:clientData/>
  </xdr:twoCellAnchor>
  <xdr:twoCellAnchor>
    <xdr:from>
      <xdr:col>0</xdr:col>
      <xdr:colOff>28575</xdr:colOff>
      <xdr:row>17</xdr:row>
      <xdr:rowOff>9525</xdr:rowOff>
    </xdr:from>
    <xdr:to>
      <xdr:col>0</xdr:col>
      <xdr:colOff>927735</xdr:colOff>
      <xdr:row>20</xdr:row>
      <xdr:rowOff>150538</xdr:rowOff>
    </xdr:to>
    <xdr:sp macro="" textlink="">
      <xdr:nvSpPr>
        <xdr:cNvPr id="22879" name="Text Box 351"/>
        <xdr:cNvSpPr txBox="1">
          <a:spLocks noChangeArrowheads="1"/>
        </xdr:cNvSpPr>
      </xdr:nvSpPr>
      <xdr:spPr bwMode="auto">
        <a:xfrm>
          <a:off x="28575" y="3857625"/>
          <a:ext cx="876300" cy="657225"/>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defRPr sz="1000"/>
          </a:pPr>
          <a:r>
            <a:rPr lang="de-CH" sz="1400" b="1" i="0" u="none" strike="noStrike" baseline="0">
              <a:solidFill>
                <a:srgbClr val="000000"/>
              </a:solidFill>
              <a:latin typeface="Arial"/>
              <a:cs typeface="Arial"/>
            </a:rPr>
            <a:t>Qualité</a:t>
          </a:r>
        </a:p>
        <a:p>
          <a:pPr algn="l" rtl="0">
            <a:defRPr sz="1000"/>
          </a:pPr>
          <a:r>
            <a:rPr lang="de-CH" sz="1400" b="1" i="0" u="none" strike="noStrike" baseline="0">
              <a:solidFill>
                <a:srgbClr val="000000"/>
              </a:solidFill>
              <a:latin typeface="Arial"/>
              <a:cs typeface="Arial"/>
            </a:rPr>
            <a:t>13.- 15 année</a:t>
          </a:r>
        </a:p>
      </xdr:txBody>
    </xdr:sp>
    <xdr:clientData/>
  </xdr:twoCellAnchor>
  <xdr:twoCellAnchor editAs="oneCell">
    <xdr:from>
      <xdr:col>6</xdr:col>
      <xdr:colOff>2336800</xdr:colOff>
      <xdr:row>0</xdr:row>
      <xdr:rowOff>314960</xdr:rowOff>
    </xdr:from>
    <xdr:to>
      <xdr:col>10</xdr:col>
      <xdr:colOff>282231</xdr:colOff>
      <xdr:row>2</xdr:row>
      <xdr:rowOff>142240</xdr:rowOff>
    </xdr:to>
    <xdr:pic>
      <xdr:nvPicPr>
        <xdr:cNvPr id="2" name="Grafik 1"/>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8534400" y="314960"/>
          <a:ext cx="4128516" cy="48768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425196</xdr:colOff>
      <xdr:row>1</xdr:row>
      <xdr:rowOff>175260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86100" y="0"/>
          <a:ext cx="4128516" cy="48768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446313</xdr:colOff>
      <xdr:row>0</xdr:row>
      <xdr:rowOff>65315</xdr:rowOff>
    </xdr:from>
    <xdr:to>
      <xdr:col>5</xdr:col>
      <xdr:colOff>1330887</xdr:colOff>
      <xdr:row>2</xdr:row>
      <xdr:rowOff>19595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5742" y="65315"/>
          <a:ext cx="4128516" cy="48768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4128516</xdr:colOff>
      <xdr:row>0</xdr:row>
      <xdr:rowOff>487680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4880" y="0"/>
          <a:ext cx="4128516" cy="48768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99</xdr:col>
      <xdr:colOff>1638300</xdr:colOff>
      <xdr:row>75</xdr:row>
      <xdr:rowOff>99060</xdr:rowOff>
    </xdr:from>
    <xdr:to>
      <xdr:col>103</xdr:col>
      <xdr:colOff>38100</xdr:colOff>
      <xdr:row>81</xdr:row>
      <xdr:rowOff>99060</xdr:rowOff>
    </xdr:to>
    <xdr:sp macro="" textlink="">
      <xdr:nvSpPr>
        <xdr:cNvPr id="24198" name="Line 300"/>
        <xdr:cNvSpPr>
          <a:spLocks noChangeShapeType="1"/>
        </xdr:cNvSpPr>
      </xdr:nvSpPr>
      <xdr:spPr bwMode="auto">
        <a:xfrm flipV="1">
          <a:off x="152460960" y="16215360"/>
          <a:ext cx="4351020" cy="13868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0</xdr:colOff>
      <xdr:row>0</xdr:row>
      <xdr:rowOff>0</xdr:rowOff>
    </xdr:from>
    <xdr:to>
      <xdr:col>5</xdr:col>
      <xdr:colOff>764830</xdr:colOff>
      <xdr:row>0</xdr:row>
      <xdr:rowOff>487680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14257" y="0"/>
          <a:ext cx="4128516" cy="48768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4</xdr:col>
      <xdr:colOff>1171956</xdr:colOff>
      <xdr:row>0</xdr:row>
      <xdr:rowOff>487680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2720" y="0"/>
          <a:ext cx="4128516" cy="48768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457200</xdr:colOff>
      <xdr:row>4</xdr:row>
      <xdr:rowOff>335280</xdr:rowOff>
    </xdr:from>
    <xdr:to>
      <xdr:col>5</xdr:col>
      <xdr:colOff>7620</xdr:colOff>
      <xdr:row>15</xdr:row>
      <xdr:rowOff>0</xdr:rowOff>
    </xdr:to>
    <xdr:graphicFrame macro="">
      <xdr:nvGraphicFramePr>
        <xdr:cNvPr id="108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4</xdr:col>
      <xdr:colOff>1212596</xdr:colOff>
      <xdr:row>1</xdr:row>
      <xdr:rowOff>172720</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75840" y="0"/>
          <a:ext cx="4128516" cy="4876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704596</xdr:colOff>
      <xdr:row>0</xdr:row>
      <xdr:rowOff>487680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48560" y="0"/>
          <a:ext cx="4128516" cy="48768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67056</xdr:colOff>
      <xdr:row>1</xdr:row>
      <xdr:rowOff>175260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54680" y="0"/>
          <a:ext cx="4128516" cy="4876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865363</xdr:colOff>
      <xdr:row>1</xdr:row>
      <xdr:rowOff>173915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1882" y="0"/>
          <a:ext cx="4128516" cy="48768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4128516</xdr:colOff>
      <xdr:row>0</xdr:row>
      <xdr:rowOff>487680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25040" y="0"/>
          <a:ext cx="4128516" cy="48768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99</xdr:col>
      <xdr:colOff>1638300</xdr:colOff>
      <xdr:row>75</xdr:row>
      <xdr:rowOff>99060</xdr:rowOff>
    </xdr:from>
    <xdr:to>
      <xdr:col>103</xdr:col>
      <xdr:colOff>38100</xdr:colOff>
      <xdr:row>81</xdr:row>
      <xdr:rowOff>99060</xdr:rowOff>
    </xdr:to>
    <xdr:sp macro="" textlink="">
      <xdr:nvSpPr>
        <xdr:cNvPr id="71925" name="Line 14"/>
        <xdr:cNvSpPr>
          <a:spLocks noChangeShapeType="1"/>
        </xdr:cNvSpPr>
      </xdr:nvSpPr>
      <xdr:spPr bwMode="auto">
        <a:xfrm flipV="1">
          <a:off x="153931620" y="16207740"/>
          <a:ext cx="4922520" cy="13868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editAs="oneCell">
    <xdr:from>
      <xdr:col>2</xdr:col>
      <xdr:colOff>0</xdr:colOff>
      <xdr:row>0</xdr:row>
      <xdr:rowOff>0</xdr:rowOff>
    </xdr:from>
    <xdr:to>
      <xdr:col>5</xdr:col>
      <xdr:colOff>558002</xdr:colOff>
      <xdr:row>0</xdr:row>
      <xdr:rowOff>487680</xdr:rowOff>
    </xdr:to>
    <xdr:pic>
      <xdr:nvPicPr>
        <xdr:cNvPr id="3" name="Grafik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25143" y="0"/>
          <a:ext cx="4128516" cy="48768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5</xdr:col>
      <xdr:colOff>94996</xdr:colOff>
      <xdr:row>0</xdr:row>
      <xdr:rowOff>487680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52720" y="0"/>
          <a:ext cx="4128516" cy="4876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441960</xdr:colOff>
      <xdr:row>4</xdr:row>
      <xdr:rowOff>335280</xdr:rowOff>
    </xdr:from>
    <xdr:to>
      <xdr:col>4</xdr:col>
      <xdr:colOff>1493520</xdr:colOff>
      <xdr:row>14</xdr:row>
      <xdr:rowOff>297180</xdr:rowOff>
    </xdr:to>
    <xdr:graphicFrame macro="">
      <xdr:nvGraphicFramePr>
        <xdr:cNvPr id="73796"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0</xdr:rowOff>
    </xdr:from>
    <xdr:to>
      <xdr:col>4</xdr:col>
      <xdr:colOff>1212596</xdr:colOff>
      <xdr:row>1</xdr:row>
      <xdr:rowOff>172720</xdr:rowOff>
    </xdr:to>
    <xdr:pic>
      <xdr:nvPicPr>
        <xdr:cNvPr id="3" name="Grafik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75840" y="0"/>
          <a:ext cx="4128516" cy="48768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232229</xdr:colOff>
      <xdr:row>0</xdr:row>
      <xdr:rowOff>87085</xdr:rowOff>
    </xdr:from>
    <xdr:to>
      <xdr:col>3</xdr:col>
      <xdr:colOff>920858</xdr:colOff>
      <xdr:row>1</xdr:row>
      <xdr:rowOff>15965</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41601" y="87085"/>
          <a:ext cx="4244629" cy="4876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_04230402_ExtObReb\Oekonomie\Arbokost\Aprikose\ArbokostAprikosen\Internet\Arbokost_AbricotsPlain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ge variables"/>
      <sheetName val="Standard données"/>
      <sheetName val="Standard installation"/>
      <sheetName val="Standard années de végétation"/>
      <sheetName val="Standard pleine production"/>
      <sheetName val="Standard Cashflow"/>
      <sheetName val="Var données"/>
      <sheetName val="Var installation"/>
      <sheetName val="Var années de végétation"/>
      <sheetName val="Var pleine production"/>
      <sheetName val="Var Cashflow"/>
    </sheetNames>
    <sheetDataSet>
      <sheetData sheetId="0"/>
      <sheetData sheetId="1">
        <row r="2">
          <cell r="A2" t="str">
            <v>Standard 1ha</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2.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5.bin"/><Relationship Id="rId4" Type="http://schemas.openxmlformats.org/officeDocument/2006/relationships/comments" Target="../comments13.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Eingabeseite">
    <tabColor indexed="48"/>
  </sheetPr>
  <dimension ref="A1:M288"/>
  <sheetViews>
    <sheetView tabSelected="1" zoomScale="75" zoomScaleNormal="75" workbookViewId="0">
      <selection activeCell="A5" sqref="A5:G5"/>
    </sheetView>
  </sheetViews>
  <sheetFormatPr baseColWidth="10" defaultRowHeight="13" x14ac:dyDescent="0.3"/>
  <cols>
    <col min="1" max="1" width="29.54296875" customWidth="1"/>
    <col min="2" max="2" width="18.81640625" style="10" customWidth="1"/>
    <col min="3" max="3" width="13.81640625" style="10" customWidth="1"/>
    <col min="4" max="4" width="18.81640625" style="46" customWidth="1"/>
    <col min="5" max="5" width="0.36328125" customWidth="1"/>
    <col min="6" max="6" width="7.7265625" customWidth="1"/>
    <col min="7" max="7" width="42" customWidth="1"/>
    <col min="8" max="8" width="20.08984375" customWidth="1"/>
    <col min="9" max="9" width="8.6328125" customWidth="1"/>
    <col min="10" max="10" width="19.26953125" customWidth="1"/>
    <col min="11" max="11" width="18.54296875" customWidth="1"/>
    <col min="12" max="12" width="6" customWidth="1"/>
  </cols>
  <sheetData>
    <row r="1" spans="1:13" s="13" customFormat="1" ht="31.65" customHeight="1" x14ac:dyDescent="0.6">
      <c r="A1" s="1442" t="s">
        <v>714</v>
      </c>
      <c r="B1" s="1474" t="s">
        <v>725</v>
      </c>
      <c r="C1" s="1474"/>
      <c r="D1" s="1474"/>
      <c r="E1" s="1474"/>
      <c r="F1" s="1474"/>
      <c r="G1" s="1474"/>
      <c r="H1" s="1474"/>
      <c r="I1" s="765"/>
      <c r="J1" s="1"/>
      <c r="L1" s="688"/>
      <c r="M1" s="84"/>
    </row>
    <row r="2" spans="1:13" s="13" customFormat="1" ht="20" x14ac:dyDescent="0.4">
      <c r="A2" s="1478" t="s">
        <v>702</v>
      </c>
      <c r="B2" s="1478"/>
      <c r="C2" s="1478"/>
      <c r="D2" s="1478"/>
      <c r="E2" s="1478"/>
      <c r="F2" s="1478"/>
      <c r="G2" s="1037"/>
      <c r="H2" s="818"/>
      <c r="I2" s="818"/>
      <c r="J2" s="819"/>
      <c r="K2" s="18"/>
      <c r="L2" s="907"/>
      <c r="M2" s="84"/>
    </row>
    <row r="3" spans="1:13" s="13" customFormat="1" ht="13.65" customHeight="1" x14ac:dyDescent="0.25">
      <c r="A3" s="1478"/>
      <c r="B3" s="1478"/>
      <c r="C3" s="1478"/>
      <c r="D3" s="1478"/>
      <c r="E3" s="1478"/>
      <c r="F3" s="1478"/>
      <c r="G3" s="1038"/>
      <c r="H3" s="765"/>
      <c r="I3" s="765"/>
      <c r="J3" s="765"/>
    </row>
    <row r="4" spans="1:13" s="13" customFormat="1" ht="13.65" customHeight="1" x14ac:dyDescent="0.25">
      <c r="A4" s="1479" t="s">
        <v>727</v>
      </c>
      <c r="B4" s="1479"/>
      <c r="C4" s="1479"/>
      <c r="D4" s="1479"/>
      <c r="E4" s="1479"/>
      <c r="F4" s="1479"/>
      <c r="G4" s="1479"/>
      <c r="H4" s="765"/>
      <c r="I4" s="765"/>
      <c r="J4" s="765"/>
    </row>
    <row r="5" spans="1:13" s="13" customFormat="1" ht="21.15" customHeight="1" x14ac:dyDescent="0.25">
      <c r="A5" s="1479" t="s">
        <v>728</v>
      </c>
      <c r="B5" s="1479"/>
      <c r="C5" s="1479"/>
      <c r="D5" s="1479"/>
      <c r="E5" s="1479"/>
      <c r="F5" s="1479"/>
      <c r="G5" s="1479"/>
      <c r="H5" s="765"/>
      <c r="I5" s="765"/>
      <c r="J5" s="765"/>
      <c r="K5" s="114"/>
    </row>
    <row r="6" spans="1:13" s="13" customFormat="1" ht="27" customHeight="1" x14ac:dyDescent="0.4">
      <c r="A6" s="822" t="s">
        <v>68</v>
      </c>
      <c r="B6" s="823" t="s">
        <v>110</v>
      </c>
      <c r="C6" s="115" t="s">
        <v>62</v>
      </c>
      <c r="D6" s="824" t="s">
        <v>66</v>
      </c>
      <c r="E6" s="18"/>
      <c r="F6" s="825"/>
      <c r="G6" s="820"/>
      <c r="H6" s="823" t="s">
        <v>110</v>
      </c>
      <c r="I6" s="115" t="s">
        <v>61</v>
      </c>
      <c r="J6" s="824" t="s">
        <v>60</v>
      </c>
      <c r="K6" s="908"/>
    </row>
    <row r="7" spans="1:13" ht="31.65" customHeight="1" x14ac:dyDescent="0.25">
      <c r="A7" s="502" t="s">
        <v>92</v>
      </c>
      <c r="B7" s="489">
        <f>'Données normes'!B66</f>
        <v>1.1200000000000006</v>
      </c>
      <c r="C7" s="270">
        <f t="shared" ref="C7:C22" si="0">IF(OR(B7=0,B7=""),0,(D7/B7)-1)</f>
        <v>-4.4408920985006262E-16</v>
      </c>
      <c r="D7" s="474">
        <v>1.1200000000000001</v>
      </c>
      <c r="E7" s="1"/>
      <c r="F7" s="1477" t="s">
        <v>111</v>
      </c>
      <c r="G7" s="1477"/>
      <c r="H7" s="466">
        <f>H78</f>
        <v>24.322003246639564</v>
      </c>
      <c r="I7" s="470">
        <f>I78</f>
        <v>0</v>
      </c>
      <c r="J7" s="466">
        <f>J78</f>
        <v>24.322003246639564</v>
      </c>
      <c r="K7" s="13"/>
    </row>
    <row r="8" spans="1:13" ht="24" customHeight="1" x14ac:dyDescent="0.25">
      <c r="A8" s="503" t="s">
        <v>93</v>
      </c>
      <c r="B8" s="490">
        <f>'Données normes'!C66</f>
        <v>0.45000000000000012</v>
      </c>
      <c r="C8" s="187">
        <f t="shared" si="0"/>
        <v>-2.2204460492503131E-16</v>
      </c>
      <c r="D8" s="475">
        <v>0.45</v>
      </c>
      <c r="E8" s="1"/>
      <c r="F8" s="1475" t="s">
        <v>112</v>
      </c>
      <c r="G8" s="1475"/>
      <c r="H8" s="467">
        <f>H75</f>
        <v>23.191809414771281</v>
      </c>
      <c r="I8" s="471">
        <f>I75</f>
        <v>0</v>
      </c>
      <c r="J8" s="467">
        <f>J75</f>
        <v>23.191809414771281</v>
      </c>
      <c r="K8" s="13"/>
    </row>
    <row r="9" spans="1:13" ht="21.15" customHeight="1" x14ac:dyDescent="0.25">
      <c r="A9" s="504" t="s">
        <v>94</v>
      </c>
      <c r="B9" s="491">
        <f>'Données normes'!D66</f>
        <v>0.23</v>
      </c>
      <c r="C9" s="187">
        <f t="shared" si="0"/>
        <v>0</v>
      </c>
      <c r="D9" s="475">
        <v>0.23</v>
      </c>
      <c r="E9" s="1"/>
      <c r="F9" s="1477" t="s">
        <v>113</v>
      </c>
      <c r="G9" s="1477"/>
      <c r="H9" s="468">
        <f>B59</f>
        <v>1.2060822321791367</v>
      </c>
      <c r="I9" s="472">
        <f>C59</f>
        <v>0</v>
      </c>
      <c r="J9" s="468">
        <f>D59</f>
        <v>1.2060822321791367</v>
      </c>
      <c r="K9" s="13"/>
    </row>
    <row r="10" spans="1:13" ht="17.25" customHeight="1" x14ac:dyDescent="0.25">
      <c r="A10" s="505" t="s">
        <v>95</v>
      </c>
      <c r="B10" s="492">
        <f>'Données normes'!B71</f>
        <v>0.7</v>
      </c>
      <c r="C10" s="187">
        <f t="shared" si="0"/>
        <v>0</v>
      </c>
      <c r="D10" s="476">
        <v>0.7</v>
      </c>
      <c r="E10" s="1"/>
      <c r="F10" s="1475" t="s">
        <v>114</v>
      </c>
      <c r="G10" s="1476"/>
      <c r="H10" s="469">
        <f>B57</f>
        <v>0.93888655909034358</v>
      </c>
      <c r="I10" s="473">
        <f>C57</f>
        <v>0</v>
      </c>
      <c r="J10" s="469">
        <f>D57</f>
        <v>0.93888655909034358</v>
      </c>
      <c r="K10" s="13"/>
    </row>
    <row r="11" spans="1:13" ht="16.5" customHeight="1" x14ac:dyDescent="0.25">
      <c r="A11" s="503" t="s">
        <v>96</v>
      </c>
      <c r="B11" s="493">
        <f>'Données normes'!C71</f>
        <v>0.2</v>
      </c>
      <c r="C11" s="187">
        <f t="shared" si="0"/>
        <v>0</v>
      </c>
      <c r="D11" s="476">
        <v>0.2</v>
      </c>
      <c r="E11" s="1"/>
      <c r="K11" s="13"/>
    </row>
    <row r="12" spans="1:13" ht="12.5" x14ac:dyDescent="0.25">
      <c r="A12" s="506" t="s">
        <v>97</v>
      </c>
      <c r="B12" s="455">
        <f>'Données normes'!D71</f>
        <v>0.05</v>
      </c>
      <c r="C12" s="187">
        <f t="shared" si="0"/>
        <v>0</v>
      </c>
      <c r="D12" s="477">
        <v>0.05</v>
      </c>
      <c r="E12" s="1"/>
      <c r="K12" s="13"/>
    </row>
    <row r="13" spans="1:13" ht="12.5" x14ac:dyDescent="0.25">
      <c r="A13" s="507" t="s">
        <v>98</v>
      </c>
      <c r="B13" s="455">
        <f>'Données normes'!E71</f>
        <v>0.05</v>
      </c>
      <c r="C13" s="187">
        <f t="shared" si="0"/>
        <v>0</v>
      </c>
      <c r="D13" s="478">
        <v>0.05</v>
      </c>
      <c r="E13" s="1"/>
      <c r="K13" s="13"/>
    </row>
    <row r="14" spans="1:13" ht="15.5" x14ac:dyDescent="0.25">
      <c r="A14" s="505" t="s">
        <v>95</v>
      </c>
      <c r="B14" s="492">
        <f>'Données normes'!B80</f>
        <v>0.65</v>
      </c>
      <c r="C14" s="187">
        <f t="shared" si="0"/>
        <v>0</v>
      </c>
      <c r="D14" s="1153">
        <v>0.65</v>
      </c>
      <c r="E14" s="1"/>
      <c r="K14" s="13"/>
    </row>
    <row r="15" spans="1:13" x14ac:dyDescent="0.25">
      <c r="A15" s="503" t="s">
        <v>96</v>
      </c>
      <c r="B15" s="493">
        <f>'Données normes'!C80</f>
        <v>0.25</v>
      </c>
      <c r="C15" s="187">
        <f t="shared" si="0"/>
        <v>0</v>
      </c>
      <c r="D15" s="1153">
        <v>0.25</v>
      </c>
      <c r="E15" s="1"/>
      <c r="K15" s="13"/>
    </row>
    <row r="16" spans="1:13" ht="12.5" x14ac:dyDescent="0.25">
      <c r="A16" s="506" t="s">
        <v>97</v>
      </c>
      <c r="B16" s="455">
        <f>'Données normes'!D71</f>
        <v>0.05</v>
      </c>
      <c r="C16" s="187">
        <f t="shared" si="0"/>
        <v>0</v>
      </c>
      <c r="D16" s="478">
        <v>0.05</v>
      </c>
      <c r="E16" s="1"/>
      <c r="K16" s="13"/>
    </row>
    <row r="17" spans="1:12" ht="12.5" x14ac:dyDescent="0.25">
      <c r="A17" s="507" t="s">
        <v>98</v>
      </c>
      <c r="B17" s="455">
        <f>'Données normes'!E71</f>
        <v>0.05</v>
      </c>
      <c r="C17" s="187">
        <f t="shared" si="0"/>
        <v>0</v>
      </c>
      <c r="D17" s="478">
        <v>0.05</v>
      </c>
      <c r="E17" s="1"/>
      <c r="K17" s="13"/>
    </row>
    <row r="18" spans="1:12" ht="15.5" x14ac:dyDescent="0.25">
      <c r="A18" s="505" t="s">
        <v>95</v>
      </c>
      <c r="B18" s="492">
        <f>'Données normes'!B83</f>
        <v>0.6</v>
      </c>
      <c r="C18" s="187">
        <f t="shared" si="0"/>
        <v>0</v>
      </c>
      <c r="D18" s="1153">
        <v>0.6</v>
      </c>
      <c r="E18" s="1"/>
      <c r="K18" s="13"/>
    </row>
    <row r="19" spans="1:12" x14ac:dyDescent="0.25">
      <c r="A19" s="503" t="s">
        <v>96</v>
      </c>
      <c r="B19" s="493">
        <f>'Données normes'!C83</f>
        <v>0.3</v>
      </c>
      <c r="C19" s="187">
        <f t="shared" si="0"/>
        <v>0</v>
      </c>
      <c r="D19" s="1153">
        <v>0.3</v>
      </c>
      <c r="E19" s="1"/>
      <c r="K19" s="13"/>
    </row>
    <row r="20" spans="1:12" ht="12.5" x14ac:dyDescent="0.25">
      <c r="A20" s="506" t="s">
        <v>97</v>
      </c>
      <c r="B20" s="455">
        <f>'Données normes'!D71</f>
        <v>0.05</v>
      </c>
      <c r="C20" s="187">
        <f t="shared" si="0"/>
        <v>0</v>
      </c>
      <c r="D20" s="478">
        <v>0.05</v>
      </c>
      <c r="E20" s="1"/>
      <c r="K20" s="13"/>
    </row>
    <row r="21" spans="1:12" ht="12.5" x14ac:dyDescent="0.25">
      <c r="A21" s="507" t="s">
        <v>98</v>
      </c>
      <c r="B21" s="455">
        <f>'Données normes'!E71</f>
        <v>0.05</v>
      </c>
      <c r="C21" s="187">
        <f t="shared" si="0"/>
        <v>0</v>
      </c>
      <c r="D21" s="478">
        <v>0.05</v>
      </c>
      <c r="E21" s="1"/>
      <c r="K21" s="13"/>
    </row>
    <row r="22" spans="1:12" ht="57" customHeight="1" x14ac:dyDescent="0.25">
      <c r="A22" s="508" t="s">
        <v>45</v>
      </c>
      <c r="B22" s="494">
        <f>'Données normes'!E65</f>
        <v>42500</v>
      </c>
      <c r="C22" s="188">
        <f t="shared" si="0"/>
        <v>0</v>
      </c>
      <c r="D22" s="479">
        <v>42500</v>
      </c>
      <c r="E22" s="1"/>
      <c r="F22" s="13"/>
      <c r="G22" s="13"/>
      <c r="H22" s="13"/>
      <c r="I22" s="13"/>
      <c r="J22" s="13"/>
      <c r="K22" s="13"/>
      <c r="L22" s="228"/>
    </row>
    <row r="23" spans="1:12" x14ac:dyDescent="0.25">
      <c r="A23" s="509"/>
      <c r="B23" s="232"/>
      <c r="C23" s="230"/>
      <c r="D23" s="480"/>
      <c r="E23" s="1"/>
      <c r="F23" s="13"/>
      <c r="G23" s="13"/>
      <c r="H23" s="13"/>
      <c r="I23" s="13"/>
      <c r="J23" s="13"/>
      <c r="K23" s="13"/>
    </row>
    <row r="24" spans="1:12" ht="26.4" customHeight="1" x14ac:dyDescent="0.25">
      <c r="A24" s="510" t="s">
        <v>99</v>
      </c>
      <c r="B24" s="495">
        <f>'Données normes'!G86</f>
        <v>110</v>
      </c>
      <c r="C24" s="188">
        <f t="shared" ref="C24:C30" si="1">IF(OR(B24=0,B24=""),0,(D24/B24)-1)</f>
        <v>0</v>
      </c>
      <c r="D24" s="481">
        <v>110</v>
      </c>
      <c r="E24" s="1"/>
      <c r="F24" s="13"/>
      <c r="G24" s="13"/>
      <c r="H24" s="13"/>
      <c r="I24" s="13"/>
      <c r="J24" s="13"/>
      <c r="K24" s="13"/>
    </row>
    <row r="25" spans="1:12" ht="24.75" customHeight="1" x14ac:dyDescent="0.25">
      <c r="A25" s="511" t="s">
        <v>477</v>
      </c>
      <c r="B25" s="496">
        <f>'Données normes'!H86</f>
        <v>300</v>
      </c>
      <c r="C25" s="187">
        <f t="shared" si="1"/>
        <v>0</v>
      </c>
      <c r="D25" s="482">
        <v>300</v>
      </c>
      <c r="E25" s="1"/>
      <c r="F25" s="13"/>
      <c r="G25" s="13"/>
      <c r="H25" s="13"/>
      <c r="I25" s="13"/>
      <c r="J25" s="13"/>
      <c r="K25" s="13"/>
    </row>
    <row r="26" spans="1:12" ht="24.75" customHeight="1" x14ac:dyDescent="0.25">
      <c r="A26" s="510" t="s">
        <v>100</v>
      </c>
      <c r="B26" s="497">
        <f>'Données normes'!C32</f>
        <v>35</v>
      </c>
      <c r="C26" s="188">
        <f t="shared" si="1"/>
        <v>0</v>
      </c>
      <c r="D26" s="483">
        <v>35</v>
      </c>
      <c r="E26" s="1"/>
      <c r="F26" s="13"/>
      <c r="G26" s="13"/>
      <c r="H26" s="13"/>
      <c r="I26" s="13"/>
      <c r="J26" s="13"/>
      <c r="K26" s="13"/>
    </row>
    <row r="27" spans="1:12" ht="31.65" customHeight="1" x14ac:dyDescent="0.25">
      <c r="A27" s="510" t="s">
        <v>101</v>
      </c>
      <c r="B27" s="497">
        <f>'Données normes'!C33</f>
        <v>24</v>
      </c>
      <c r="C27" s="188">
        <f t="shared" si="1"/>
        <v>0</v>
      </c>
      <c r="D27" s="483">
        <v>24</v>
      </c>
      <c r="E27" s="1"/>
      <c r="F27" s="13"/>
      <c r="G27" s="13"/>
      <c r="H27" s="13"/>
      <c r="I27" s="13"/>
      <c r="J27" s="13"/>
      <c r="K27" s="13"/>
    </row>
    <row r="28" spans="1:12" ht="34.5" customHeight="1" x14ac:dyDescent="0.25">
      <c r="A28" s="510" t="s">
        <v>102</v>
      </c>
      <c r="B28" s="497">
        <f>'Données normes'!C34</f>
        <v>21</v>
      </c>
      <c r="C28" s="188">
        <f t="shared" si="1"/>
        <v>0</v>
      </c>
      <c r="D28" s="483">
        <v>21</v>
      </c>
      <c r="E28" s="1"/>
      <c r="F28" s="13"/>
      <c r="G28" s="13"/>
      <c r="H28" s="13"/>
      <c r="I28" s="13"/>
      <c r="J28" s="13"/>
      <c r="K28" s="13"/>
    </row>
    <row r="29" spans="1:12" ht="33.75" customHeight="1" x14ac:dyDescent="0.25">
      <c r="A29" s="511" t="s">
        <v>103</v>
      </c>
      <c r="B29" s="498">
        <f>'Données normes'!F34</f>
        <v>0.5</v>
      </c>
      <c r="C29" s="187">
        <f t="shared" si="1"/>
        <v>0</v>
      </c>
      <c r="D29" s="477">
        <v>0.5</v>
      </c>
      <c r="E29" s="1"/>
      <c r="F29" s="13"/>
      <c r="G29" s="13"/>
      <c r="H29" s="13"/>
      <c r="I29" s="13"/>
      <c r="J29" s="13"/>
      <c r="K29" s="13"/>
    </row>
    <row r="30" spans="1:12" ht="12.5" x14ac:dyDescent="0.25">
      <c r="A30" s="511" t="s">
        <v>104</v>
      </c>
      <c r="B30" s="499">
        <f>'Données normes'!E93</f>
        <v>70</v>
      </c>
      <c r="C30" s="187">
        <f t="shared" si="1"/>
        <v>0</v>
      </c>
      <c r="D30" s="484">
        <v>70</v>
      </c>
      <c r="E30" s="1"/>
      <c r="F30" s="13"/>
      <c r="G30" s="13"/>
      <c r="H30" s="13"/>
      <c r="I30" s="13"/>
      <c r="J30" s="13"/>
      <c r="K30" s="13"/>
    </row>
    <row r="31" spans="1:12" ht="27.75" customHeight="1" x14ac:dyDescent="0.25">
      <c r="A31" s="510" t="s">
        <v>105</v>
      </c>
      <c r="B31" s="500">
        <f>'Données normes'!B24</f>
        <v>2000</v>
      </c>
      <c r="C31" s="187">
        <f t="shared" ref="C31:C43" si="2">IF(OR(B31=0,B31=""),0,(D31/B31)-1)</f>
        <v>0</v>
      </c>
      <c r="D31" s="485">
        <v>2000</v>
      </c>
      <c r="E31" s="1"/>
      <c r="F31" s="13"/>
      <c r="G31" s="13"/>
      <c r="H31" s="13"/>
      <c r="I31" s="13"/>
      <c r="J31" s="13"/>
      <c r="K31" s="13"/>
    </row>
    <row r="32" spans="1:12" ht="19.5" customHeight="1" x14ac:dyDescent="0.25">
      <c r="A32" s="510" t="s">
        <v>106</v>
      </c>
      <c r="B32" s="491">
        <f>'Données normes'!C31</f>
        <v>8.5</v>
      </c>
      <c r="C32" s="187">
        <f t="shared" si="2"/>
        <v>0</v>
      </c>
      <c r="D32" s="486">
        <v>8.5</v>
      </c>
      <c r="E32" s="1"/>
      <c r="F32" s="13"/>
      <c r="G32" s="13"/>
      <c r="H32" s="13"/>
      <c r="I32" s="13"/>
      <c r="J32" s="13"/>
      <c r="K32" s="13"/>
    </row>
    <row r="33" spans="1:11" ht="19.5" customHeight="1" x14ac:dyDescent="0.25">
      <c r="A33" s="510" t="s">
        <v>107</v>
      </c>
      <c r="B33" s="501">
        <f>'Normes pleine production'!F60</f>
        <v>6147.9383522727276</v>
      </c>
      <c r="C33" s="187">
        <f t="shared" si="2"/>
        <v>0</v>
      </c>
      <c r="D33" s="487">
        <v>6147.9383522727276</v>
      </c>
      <c r="E33" s="1"/>
      <c r="F33" s="13"/>
      <c r="G33" s="13"/>
      <c r="H33" s="13"/>
      <c r="I33" s="13"/>
      <c r="J33" s="13"/>
      <c r="K33" s="13"/>
    </row>
    <row r="34" spans="1:11" ht="25.5" customHeight="1" x14ac:dyDescent="0.25">
      <c r="A34" s="510" t="s">
        <v>424</v>
      </c>
      <c r="B34" s="501">
        <f>'Normes pleine production'!F27</f>
        <v>5347.8</v>
      </c>
      <c r="C34" s="187">
        <f t="shared" si="2"/>
        <v>0</v>
      </c>
      <c r="D34" s="487">
        <v>5347.8</v>
      </c>
      <c r="E34" s="1"/>
      <c r="F34" s="13"/>
      <c r="G34" s="13"/>
      <c r="H34" s="13"/>
      <c r="I34" s="13"/>
      <c r="J34" s="13"/>
      <c r="K34" s="13"/>
    </row>
    <row r="35" spans="1:11" ht="19.25" customHeight="1" x14ac:dyDescent="0.25">
      <c r="A35" s="233" t="s">
        <v>108</v>
      </c>
      <c r="B35" s="501">
        <f>'Normes pleine production'!F19</f>
        <v>296.5</v>
      </c>
      <c r="C35" s="187">
        <f t="shared" si="2"/>
        <v>0</v>
      </c>
      <c r="D35" s="487">
        <v>296.5</v>
      </c>
      <c r="E35" s="1"/>
      <c r="F35" s="13"/>
      <c r="G35" s="13"/>
      <c r="H35" s="13"/>
      <c r="I35" s="13"/>
      <c r="J35" s="13"/>
      <c r="K35" s="13"/>
    </row>
    <row r="36" spans="1:11" ht="15.75" customHeight="1" x14ac:dyDescent="0.25">
      <c r="A36" s="510" t="s">
        <v>109</v>
      </c>
      <c r="B36" s="231">
        <f>'Données normes'!C40</f>
        <v>2.5000000000000001E-2</v>
      </c>
      <c r="C36" s="187">
        <f t="shared" si="2"/>
        <v>0</v>
      </c>
      <c r="D36" s="488">
        <v>2.5000000000000001E-2</v>
      </c>
      <c r="E36" s="1"/>
      <c r="F36" s="13"/>
      <c r="G36" s="13"/>
      <c r="H36" s="13"/>
      <c r="I36" s="13"/>
      <c r="J36" s="13"/>
      <c r="K36" s="13"/>
    </row>
    <row r="37" spans="1:11" ht="25.5" customHeight="1" x14ac:dyDescent="0.25">
      <c r="A37" s="510" t="s">
        <v>694</v>
      </c>
      <c r="B37" s="1155">
        <f>'Données normes'!C178</f>
        <v>0</v>
      </c>
      <c r="C37" s="187">
        <f t="shared" si="2"/>
        <v>0</v>
      </c>
      <c r="D37" s="1156">
        <v>0</v>
      </c>
      <c r="E37" s="1"/>
      <c r="F37" s="13"/>
      <c r="G37" s="13"/>
      <c r="H37" s="13"/>
      <c r="I37" s="13"/>
      <c r="J37" s="13"/>
      <c r="K37" s="13"/>
    </row>
    <row r="38" spans="1:11" ht="27.75" customHeight="1" x14ac:dyDescent="0.25">
      <c r="A38" s="510" t="s">
        <v>695</v>
      </c>
      <c r="B38" s="1155">
        <f>'Données normes'!C179</f>
        <v>0</v>
      </c>
      <c r="C38" s="187">
        <f t="shared" si="2"/>
        <v>0</v>
      </c>
      <c r="D38" s="1157">
        <v>0</v>
      </c>
      <c r="E38" s="1"/>
      <c r="F38" s="13"/>
      <c r="G38" s="13"/>
      <c r="H38" s="13"/>
      <c r="I38" s="13"/>
      <c r="J38" s="13"/>
      <c r="K38" s="13"/>
    </row>
    <row r="39" spans="1:11" ht="15.75" customHeight="1" x14ac:dyDescent="0.25">
      <c r="A39" s="510" t="s">
        <v>553</v>
      </c>
      <c r="B39" s="501">
        <f>'Normes grêle'!C95</f>
        <v>31430</v>
      </c>
      <c r="C39" s="187">
        <f t="shared" si="2"/>
        <v>0</v>
      </c>
      <c r="D39" s="1158">
        <v>31430</v>
      </c>
      <c r="E39" s="1"/>
      <c r="F39" s="13"/>
      <c r="G39" s="13"/>
      <c r="H39" s="13"/>
      <c r="I39" s="13"/>
      <c r="J39" s="13"/>
      <c r="K39" s="13"/>
    </row>
    <row r="40" spans="1:11" ht="15.75" customHeight="1" x14ac:dyDescent="0.25">
      <c r="A40" s="510" t="s">
        <v>679</v>
      </c>
      <c r="B40" s="501">
        <f>'Données normes'!C182</f>
        <v>0</v>
      </c>
      <c r="C40" s="187">
        <f t="shared" si="2"/>
        <v>0</v>
      </c>
      <c r="D40" s="1158">
        <v>0</v>
      </c>
      <c r="E40" s="1"/>
      <c r="F40" s="13"/>
      <c r="G40" s="13"/>
      <c r="H40" s="13"/>
      <c r="I40" s="13"/>
      <c r="J40" s="13"/>
      <c r="K40" s="13"/>
    </row>
    <row r="41" spans="1:11" ht="26.25" customHeight="1" x14ac:dyDescent="0.25">
      <c r="A41" s="510" t="s">
        <v>696</v>
      </c>
      <c r="B41" s="1155">
        <f>'Données normes'!C183</f>
        <v>1</v>
      </c>
      <c r="C41" s="187">
        <f t="shared" si="2"/>
        <v>0</v>
      </c>
      <c r="D41" s="1157">
        <v>1</v>
      </c>
      <c r="E41" s="1"/>
      <c r="F41" s="13"/>
      <c r="G41" s="13"/>
      <c r="H41" s="13"/>
      <c r="I41" s="13"/>
      <c r="J41" s="13"/>
      <c r="K41" s="13"/>
    </row>
    <row r="42" spans="1:11" ht="24.75" customHeight="1" x14ac:dyDescent="0.25">
      <c r="A42" s="510" t="s">
        <v>698</v>
      </c>
      <c r="B42" s="1155">
        <f>'Données normes'!C184</f>
        <v>0</v>
      </c>
      <c r="C42" s="187">
        <f t="shared" si="2"/>
        <v>0</v>
      </c>
      <c r="D42" s="1435">
        <v>0</v>
      </c>
      <c r="E42" s="1"/>
      <c r="F42" s="13"/>
      <c r="G42" s="13"/>
      <c r="H42" s="13"/>
      <c r="I42" s="13"/>
      <c r="J42" s="13"/>
      <c r="K42" s="13"/>
    </row>
    <row r="43" spans="1:11" ht="27.75" customHeight="1" x14ac:dyDescent="0.25">
      <c r="A43" s="510" t="s">
        <v>697</v>
      </c>
      <c r="B43" s="1155">
        <f>'Données normes'!C185</f>
        <v>0</v>
      </c>
      <c r="C43" s="187">
        <f t="shared" si="2"/>
        <v>0</v>
      </c>
      <c r="D43" s="1157">
        <v>0</v>
      </c>
      <c r="E43" s="1"/>
      <c r="F43" s="13"/>
      <c r="G43" s="13"/>
      <c r="H43" s="13"/>
      <c r="I43" s="13"/>
      <c r="J43" s="13"/>
      <c r="K43" s="13"/>
    </row>
    <row r="44" spans="1:11" x14ac:dyDescent="0.3">
      <c r="A44" s="1"/>
      <c r="B44" s="33"/>
      <c r="C44" s="33"/>
      <c r="D44" s="72"/>
      <c r="E44" s="1"/>
      <c r="F44" s="1"/>
      <c r="G44" s="1"/>
      <c r="H44" s="1"/>
      <c r="I44" s="1"/>
      <c r="J44" s="1"/>
    </row>
    <row r="45" spans="1:11" x14ac:dyDescent="0.3">
      <c r="A45" s="1"/>
      <c r="B45" s="33"/>
      <c r="C45" s="33"/>
      <c r="D45" s="72"/>
      <c r="E45" s="1"/>
      <c r="F45" s="1"/>
      <c r="G45" s="1"/>
      <c r="H45" s="1"/>
      <c r="I45" s="1"/>
      <c r="J45" s="1"/>
    </row>
    <row r="46" spans="1:11" x14ac:dyDescent="0.3">
      <c r="A46" s="1"/>
      <c r="B46" s="33"/>
      <c r="C46" s="33"/>
      <c r="D46" s="72"/>
      <c r="E46" s="1"/>
      <c r="F46" s="1"/>
      <c r="G46" s="1"/>
      <c r="H46" s="1"/>
      <c r="I46" s="1"/>
      <c r="J46" s="1"/>
    </row>
    <row r="47" spans="1:11" s="170" customFormat="1" ht="54" customHeight="1" x14ac:dyDescent="0.25">
      <c r="A47" s="1472" t="s">
        <v>483</v>
      </c>
      <c r="B47" s="1473"/>
      <c r="C47" s="1473"/>
      <c r="D47" s="1473"/>
      <c r="E47" s="513"/>
      <c r="F47" s="234"/>
      <c r="G47" s="1472" t="s">
        <v>115</v>
      </c>
      <c r="H47" s="1472"/>
      <c r="I47" s="1472"/>
      <c r="J47" s="1472"/>
    </row>
    <row r="48" spans="1:11" s="170" customFormat="1" ht="33" customHeight="1" x14ac:dyDescent="0.25">
      <c r="A48" s="945"/>
      <c r="B48" s="823" t="s">
        <v>110</v>
      </c>
      <c r="C48" s="190" t="s">
        <v>61</v>
      </c>
      <c r="D48" s="191" t="s">
        <v>60</v>
      </c>
      <c r="E48" s="173"/>
      <c r="F48" s="913"/>
      <c r="G48" s="906"/>
      <c r="H48" s="823" t="s">
        <v>110</v>
      </c>
      <c r="I48" s="190" t="s">
        <v>61</v>
      </c>
      <c r="J48" s="191" t="s">
        <v>60</v>
      </c>
      <c r="K48" s="920"/>
    </row>
    <row r="49" spans="1:11" s="1" customFormat="1" ht="6.75" customHeight="1" x14ac:dyDescent="0.4">
      <c r="A49" s="84"/>
      <c r="B49" s="189"/>
      <c r="C49" s="946"/>
      <c r="D49" s="947"/>
      <c r="F49" s="18"/>
      <c r="G49" s="41"/>
      <c r="H49" s="18"/>
      <c r="I49" s="18"/>
      <c r="J49" s="18"/>
      <c r="K49" s="18"/>
    </row>
    <row r="50" spans="1:11" s="170" customFormat="1" ht="77.5" x14ac:dyDescent="0.25">
      <c r="A50" s="931" t="s">
        <v>701</v>
      </c>
      <c r="B50" s="929">
        <f>'Normes pleine production'!F15</f>
        <v>38154.687500000015</v>
      </c>
      <c r="C50" s="930">
        <f>IF(OR(B50=0,B50=""),0,(D50/B50)-1)</f>
        <v>0</v>
      </c>
      <c r="D50" s="929">
        <f>'Variante pleine production'!F15</f>
        <v>38154.687500000015</v>
      </c>
      <c r="E50" s="913"/>
      <c r="F50" s="913"/>
      <c r="G50" s="939" t="s">
        <v>487</v>
      </c>
      <c r="H50" s="940">
        <f>'Normes pleine production'!$F$107</f>
        <v>31112.582945075759</v>
      </c>
      <c r="I50" s="935">
        <f>IF(OR(H50=0,H50=""),0,(J50/H50)-1)</f>
        <v>0</v>
      </c>
      <c r="J50" s="940">
        <f>'Variante pleine production'!F107</f>
        <v>31112.582945075759</v>
      </c>
      <c r="K50" s="920"/>
    </row>
    <row r="51" spans="1:11" s="170" customFormat="1" ht="12.15" customHeight="1" x14ac:dyDescent="0.25">
      <c r="A51" s="906"/>
      <c r="B51" s="198"/>
      <c r="C51" s="913"/>
      <c r="D51" s="198"/>
      <c r="E51" s="173"/>
      <c r="F51" s="913"/>
      <c r="G51" s="723"/>
      <c r="H51" s="198"/>
      <c r="I51" s="198"/>
      <c r="J51" s="198"/>
      <c r="K51" s="920"/>
    </row>
    <row r="52" spans="1:11" s="170" customFormat="1" ht="20.25" customHeight="1" x14ac:dyDescent="0.25">
      <c r="A52" s="948" t="s">
        <v>478</v>
      </c>
      <c r="B52" s="842">
        <f>'Normes pleine production'!F9</f>
        <v>31535.000000000011</v>
      </c>
      <c r="C52" s="187">
        <f t="shared" ref="C52:C73" si="3">IF(OR(B52=0,B52=""),0,(D52/B52)-1)</f>
        <v>0</v>
      </c>
      <c r="D52" s="842">
        <f>'Variante pleine production'!F9</f>
        <v>31535.000000000011</v>
      </c>
      <c r="E52" s="173"/>
      <c r="F52" s="913"/>
      <c r="G52" s="941" t="s">
        <v>124</v>
      </c>
      <c r="H52" s="959">
        <f>'Normes pleine production'!$F$91</f>
        <v>-1747.9912613395863</v>
      </c>
      <c r="I52" s="960">
        <f>((J52+ABS(H52)))/ABS(H52)</f>
        <v>0</v>
      </c>
      <c r="J52" s="959">
        <f>'Variante pleine production'!F91</f>
        <v>-1747.9912613395863</v>
      </c>
      <c r="K52" s="920"/>
    </row>
    <row r="53" spans="1:11" s="170" customFormat="1" ht="20.25" customHeight="1" x14ac:dyDescent="0.25">
      <c r="A53" s="948" t="s">
        <v>479</v>
      </c>
      <c r="B53" s="842">
        <f>'Normes pleine production'!F10</f>
        <v>4542.1875</v>
      </c>
      <c r="C53" s="187">
        <f t="shared" si="3"/>
        <v>0</v>
      </c>
      <c r="D53" s="842">
        <f>'Variante pleine production'!F10</f>
        <v>4542.1875</v>
      </c>
      <c r="E53" s="173"/>
      <c r="F53" s="913"/>
      <c r="G53" s="723"/>
      <c r="H53" s="198"/>
      <c r="I53" s="198"/>
      <c r="J53" s="198"/>
      <c r="K53" s="920"/>
    </row>
    <row r="54" spans="1:11" s="170" customFormat="1" ht="29.25" customHeight="1" x14ac:dyDescent="0.25">
      <c r="A54" s="948" t="s">
        <v>480</v>
      </c>
      <c r="B54" s="842">
        <f>'Normes pleine production'!F11</f>
        <v>977.5</v>
      </c>
      <c r="C54" s="187">
        <f t="shared" si="3"/>
        <v>0</v>
      </c>
      <c r="D54" s="842">
        <f>'Variante pleine production'!F11</f>
        <v>977.5</v>
      </c>
      <c r="E54" s="173"/>
      <c r="F54" s="913"/>
      <c r="G54" s="943" t="s">
        <v>482</v>
      </c>
      <c r="H54" s="961">
        <f>'Normes pleine production'!$F$93</f>
        <v>0.95619363622692022</v>
      </c>
      <c r="I54" s="935">
        <f>IF(OR(H54=0,H54=""),0,(J54/H54)-1)</f>
        <v>0</v>
      </c>
      <c r="J54" s="962">
        <f>'Variante pleine production'!F93</f>
        <v>0.95619363622692022</v>
      </c>
      <c r="K54" s="920"/>
    </row>
    <row r="55" spans="1:11" s="170" customFormat="1" ht="20.25" customHeight="1" x14ac:dyDescent="0.25">
      <c r="A55" s="948" t="s">
        <v>116</v>
      </c>
      <c r="B55" s="842">
        <f>'Normes pleine production'!F14</f>
        <v>1100</v>
      </c>
      <c r="C55" s="187">
        <f t="shared" si="3"/>
        <v>0</v>
      </c>
      <c r="D55" s="842">
        <f>'Variante pleine production'!F14</f>
        <v>1100</v>
      </c>
      <c r="E55" s="173"/>
      <c r="F55" s="913"/>
      <c r="G55" s="723"/>
      <c r="H55" s="198"/>
      <c r="I55" s="198"/>
      <c r="J55" s="198"/>
      <c r="K55" s="920"/>
    </row>
    <row r="56" spans="1:11" s="170" customFormat="1" ht="54.75" customHeight="1" x14ac:dyDescent="0.25">
      <c r="A56" s="933" t="s">
        <v>117</v>
      </c>
      <c r="B56" s="934">
        <f>'Normes pleine production'!$F$84</f>
        <v>39902.678761339601</v>
      </c>
      <c r="C56" s="935">
        <f t="shared" si="3"/>
        <v>0</v>
      </c>
      <c r="D56" s="934">
        <f>'Variante pleine production'!F84</f>
        <v>39902.678761339601</v>
      </c>
      <c r="E56" s="173"/>
      <c r="F56" s="913"/>
      <c r="G56" s="723"/>
      <c r="H56" s="198"/>
      <c r="I56" s="198"/>
      <c r="J56" s="198"/>
      <c r="K56" s="920"/>
    </row>
    <row r="57" spans="1:11" s="170" customFormat="1" ht="48" customHeight="1" x14ac:dyDescent="0.35">
      <c r="A57" s="937" t="s">
        <v>118</v>
      </c>
      <c r="B57" s="936">
        <f>'Normes pleine production'!F86</f>
        <v>0.93888655909034358</v>
      </c>
      <c r="C57" s="935">
        <f t="shared" si="3"/>
        <v>0</v>
      </c>
      <c r="D57" s="938">
        <f>'Variante pleine production'!F86</f>
        <v>0.93888655909034358</v>
      </c>
      <c r="E57" s="173"/>
      <c r="F57" s="913"/>
      <c r="G57" s="944" t="s">
        <v>481</v>
      </c>
      <c r="H57" s="963">
        <f>'Normes pleine production'!$F$112</f>
        <v>-4.9835235947750713E-3</v>
      </c>
      <c r="I57" s="960">
        <f>IF(OR(H57=0,H57=""),0,(J57/H57)-1)</f>
        <v>0</v>
      </c>
      <c r="J57" s="963">
        <f>'Variante pleine production'!F112</f>
        <v>-4.9835235947750713E-3</v>
      </c>
      <c r="K57" s="920"/>
    </row>
    <row r="58" spans="1:11" s="173" customFormat="1" ht="12" customHeight="1" x14ac:dyDescent="0.35">
      <c r="A58" s="925"/>
      <c r="B58" s="914"/>
      <c r="C58" s="187"/>
      <c r="D58" s="468"/>
      <c r="F58" s="913"/>
      <c r="G58" s="932"/>
      <c r="H58" s="964"/>
      <c r="I58" s="473"/>
      <c r="J58" s="964"/>
      <c r="K58" s="913"/>
    </row>
    <row r="59" spans="1:11" s="170" customFormat="1" ht="51" customHeight="1" x14ac:dyDescent="0.25">
      <c r="A59" s="939" t="s">
        <v>119</v>
      </c>
      <c r="B59" s="936">
        <f>'Normes pleine production'!F88</f>
        <v>1.2060822321791367</v>
      </c>
      <c r="C59" s="935">
        <f t="shared" si="3"/>
        <v>0</v>
      </c>
      <c r="D59" s="936">
        <f>'Variante pleine production'!F88</f>
        <v>1.2060822321791367</v>
      </c>
      <c r="E59" s="173"/>
      <c r="F59" s="913"/>
      <c r="G59" s="924"/>
      <c r="H59" s="920"/>
      <c r="I59" s="920"/>
      <c r="J59" s="198"/>
      <c r="K59" s="920"/>
    </row>
    <row r="60" spans="1:11" s="170" customFormat="1" ht="30" customHeight="1" x14ac:dyDescent="0.25">
      <c r="A60" s="951" t="s">
        <v>120</v>
      </c>
      <c r="B60" s="916">
        <f>'Normes pleine production'!F89</f>
        <v>0.48458661114340301</v>
      </c>
      <c r="C60" s="187">
        <f t="shared" si="3"/>
        <v>0</v>
      </c>
      <c r="D60" s="916">
        <f>'Variante pleine production'!F89</f>
        <v>0.48458661114340301</v>
      </c>
      <c r="E60" s="173"/>
      <c r="F60" s="913"/>
      <c r="G60" s="924"/>
      <c r="H60" s="920"/>
      <c r="I60" s="920"/>
      <c r="J60" s="198"/>
      <c r="K60" s="920"/>
    </row>
    <row r="61" spans="1:11" s="170" customFormat="1" ht="29" customHeight="1" x14ac:dyDescent="0.25">
      <c r="A61" s="919" t="s">
        <v>458</v>
      </c>
      <c r="B61" s="917">
        <f>'Normes plantation'!E156</f>
        <v>59539.32327272727</v>
      </c>
      <c r="C61" s="918">
        <f t="shared" si="3"/>
        <v>0</v>
      </c>
      <c r="D61" s="917">
        <f>'Variante plantation'!E156</f>
        <v>59539.32327272727</v>
      </c>
      <c r="E61" s="173"/>
      <c r="F61" s="913"/>
      <c r="G61" s="913"/>
      <c r="H61" s="920"/>
      <c r="I61" s="920"/>
      <c r="J61" s="198"/>
      <c r="K61" s="920"/>
    </row>
    <row r="62" spans="1:11" s="170" customFormat="1" ht="42.75" customHeight="1" x14ac:dyDescent="0.25">
      <c r="A62" s="919" t="s">
        <v>121</v>
      </c>
      <c r="B62" s="917">
        <f>'Normes pleine production'!C37</f>
        <v>87471.623963084232</v>
      </c>
      <c r="C62" s="918">
        <f t="shared" si="3"/>
        <v>0</v>
      </c>
      <c r="D62" s="917">
        <f>'Variante pleine production'!C37</f>
        <v>87471.623963084232</v>
      </c>
      <c r="E62" s="173"/>
      <c r="F62" s="913"/>
      <c r="G62" s="913"/>
      <c r="H62" s="920"/>
      <c r="I62" s="198"/>
      <c r="J62" s="198"/>
      <c r="K62" s="920"/>
    </row>
    <row r="63" spans="1:11" s="170" customFormat="1" ht="28" x14ac:dyDescent="0.25">
      <c r="A63" s="925" t="s">
        <v>122</v>
      </c>
      <c r="B63" s="949">
        <f>'Normes pleine production'!$F$37</f>
        <v>7289.3019969236857</v>
      </c>
      <c r="C63" s="950">
        <f t="shared" si="3"/>
        <v>0</v>
      </c>
      <c r="D63" s="949">
        <f>'Variante pleine production'!F37</f>
        <v>7289.3019969236857</v>
      </c>
      <c r="E63" s="173"/>
      <c r="F63" s="913"/>
      <c r="G63" s="941" t="s">
        <v>125</v>
      </c>
      <c r="H63" s="959">
        <f>'Normes pleine production'!F98</f>
        <v>5541.3107355840993</v>
      </c>
      <c r="I63" s="935">
        <f>IF(OR(H63=0,H63=""),0,(J63/H63)-1)</f>
        <v>0</v>
      </c>
      <c r="J63" s="959">
        <f>'Variante pleine production'!F98</f>
        <v>5541.3107355840993</v>
      </c>
      <c r="K63" s="920"/>
    </row>
    <row r="64" spans="1:11" ht="30.75" customHeight="1" x14ac:dyDescent="0.25">
      <c r="A64" s="925" t="s">
        <v>123</v>
      </c>
      <c r="B64" s="949">
        <f>'Normes pleine production'!$F$80</f>
        <v>1972.0743594462635</v>
      </c>
      <c r="C64" s="950">
        <f t="shared" si="3"/>
        <v>0</v>
      </c>
      <c r="D64" s="949">
        <f>'Variante pleine production'!F80</f>
        <v>1972.0743594462635</v>
      </c>
      <c r="E64" s="1"/>
      <c r="F64" s="13"/>
      <c r="G64" s="215"/>
      <c r="H64" s="144"/>
      <c r="I64" s="144"/>
      <c r="J64" s="144"/>
      <c r="K64" s="13"/>
    </row>
    <row r="65" spans="1:11" ht="22.65" customHeight="1" x14ac:dyDescent="0.25">
      <c r="A65" s="925"/>
      <c r="B65" s="949"/>
      <c r="C65" s="950"/>
      <c r="D65" s="949"/>
      <c r="E65" s="1"/>
      <c r="F65" s="13"/>
      <c r="G65" s="215"/>
      <c r="H65" s="144"/>
      <c r="I65" s="144"/>
      <c r="J65" s="144"/>
      <c r="K65" s="13"/>
    </row>
    <row r="66" spans="1:11" ht="22.65" customHeight="1" x14ac:dyDescent="0.25">
      <c r="A66" s="925"/>
      <c r="B66" s="949"/>
      <c r="C66" s="950"/>
      <c r="D66" s="949"/>
      <c r="E66" s="1"/>
      <c r="F66" s="13"/>
      <c r="G66" s="215"/>
      <c r="H66" s="144"/>
      <c r="I66" s="144"/>
      <c r="J66" s="144"/>
      <c r="K66" s="13"/>
    </row>
    <row r="67" spans="1:11" ht="22.65" customHeight="1" x14ac:dyDescent="0.25">
      <c r="A67" s="925"/>
      <c r="B67" s="949"/>
      <c r="C67" s="950"/>
      <c r="D67" s="949"/>
      <c r="E67" s="1"/>
      <c r="F67" s="13"/>
      <c r="G67" s="215"/>
      <c r="H67" s="144"/>
      <c r="I67" s="144"/>
      <c r="J67" s="144"/>
      <c r="K67" s="13"/>
    </row>
    <row r="68" spans="1:11" ht="53.25" customHeight="1" x14ac:dyDescent="0.25">
      <c r="A68" s="1472" t="s">
        <v>483</v>
      </c>
      <c r="B68" s="1473"/>
      <c r="C68" s="1473"/>
      <c r="D68" s="1473"/>
      <c r="E68" s="513"/>
      <c r="F68" s="234"/>
      <c r="G68" s="1472" t="s">
        <v>115</v>
      </c>
      <c r="H68" s="1472"/>
      <c r="I68" s="1472"/>
      <c r="J68" s="1472"/>
      <c r="K68" s="13"/>
    </row>
    <row r="69" spans="1:11" s="170" customFormat="1" ht="33" customHeight="1" x14ac:dyDescent="0.25">
      <c r="A69" s="945"/>
      <c r="B69" s="823" t="s">
        <v>110</v>
      </c>
      <c r="C69" s="190" t="s">
        <v>61</v>
      </c>
      <c r="D69" s="191" t="s">
        <v>60</v>
      </c>
      <c r="E69" s="173"/>
      <c r="F69" s="913"/>
      <c r="G69" s="906"/>
      <c r="H69" s="823" t="s">
        <v>110</v>
      </c>
      <c r="I69" s="190" t="s">
        <v>61</v>
      </c>
      <c r="J69" s="512" t="s">
        <v>60</v>
      </c>
    </row>
    <row r="70" spans="1:11" s="1" customFormat="1" ht="6" customHeight="1" x14ac:dyDescent="0.25">
      <c r="A70" s="234"/>
      <c r="B70" s="921"/>
      <c r="C70" s="921"/>
      <c r="D70" s="921"/>
      <c r="E70" s="513"/>
      <c r="F70" s="234"/>
      <c r="G70" s="234"/>
      <c r="H70" s="234"/>
      <c r="I70" s="234"/>
      <c r="J70" s="234"/>
    </row>
    <row r="71" spans="1:11" s="170" customFormat="1" ht="51.75" customHeight="1" x14ac:dyDescent="0.25">
      <c r="A71" s="939" t="s">
        <v>126</v>
      </c>
      <c r="B71" s="940">
        <f>'Normes pleine production'!F95</f>
        <v>22549.169177652133</v>
      </c>
      <c r="C71" s="965">
        <f t="shared" si="3"/>
        <v>0</v>
      </c>
      <c r="D71" s="940">
        <f>'Variante pleine production'!F95</f>
        <v>22549.169177652133</v>
      </c>
      <c r="E71" s="173"/>
      <c r="F71" s="913"/>
      <c r="G71" s="941" t="s">
        <v>46</v>
      </c>
      <c r="H71" s="959">
        <f>'Normes cashflow'!C40</f>
        <v>-28651.958664015125</v>
      </c>
      <c r="I71" s="966">
        <f>IF(OR(H71=0,H71=""),0,J71/H71-1)</f>
        <v>0</v>
      </c>
      <c r="J71" s="942">
        <f>'Variante Cashflow'!C40</f>
        <v>-28651.958664015125</v>
      </c>
    </row>
    <row r="72" spans="1:11" s="173" customFormat="1" ht="15.5" x14ac:dyDescent="0.25">
      <c r="A72" s="915" t="s">
        <v>127</v>
      </c>
      <c r="B72" s="192">
        <f>'Normes pleine production'!F43</f>
        <v>14505.518322347882</v>
      </c>
      <c r="C72" s="950">
        <f t="shared" si="3"/>
        <v>0</v>
      </c>
      <c r="D72" s="192">
        <f>'Variante pleine production'!F43</f>
        <v>14505.518322347882</v>
      </c>
      <c r="F72" s="913"/>
      <c r="G72" s="923"/>
      <c r="H72" s="926"/>
      <c r="I72" s="187"/>
      <c r="J72" s="516"/>
    </row>
    <row r="73" spans="1:11" s="173" customFormat="1" ht="15.5" x14ac:dyDescent="0.25">
      <c r="A73" s="915" t="s">
        <v>128</v>
      </c>
      <c r="B73" s="192">
        <f>'Normes pleine production'!F82</f>
        <v>25397.160438991719</v>
      </c>
      <c r="C73" s="950">
        <f t="shared" si="3"/>
        <v>0</v>
      </c>
      <c r="D73" s="192">
        <f>'Variante pleine production'!F82</f>
        <v>25397.160438991719</v>
      </c>
      <c r="F73" s="913"/>
      <c r="G73" s="923"/>
      <c r="H73" s="926"/>
      <c r="I73" s="187"/>
      <c r="J73" s="516"/>
    </row>
    <row r="74" spans="1:11" ht="31" x14ac:dyDescent="0.25">
      <c r="A74" s="951" t="s">
        <v>129</v>
      </c>
      <c r="B74" s="192">
        <f>'Normes pleine production'!F100</f>
        <v>22775.531034066873</v>
      </c>
      <c r="C74" s="950">
        <f t="shared" ref="C74:C79" si="4">IF(OR(B74=0,B74=""),0,(D74/B74)-1)</f>
        <v>0</v>
      </c>
      <c r="D74" s="192">
        <f>'Variante pleine production'!F100</f>
        <v>22775.531034066873</v>
      </c>
      <c r="E74" s="1"/>
      <c r="F74" s="13"/>
      <c r="G74" s="215"/>
      <c r="H74" s="144"/>
      <c r="I74" s="66"/>
      <c r="J74" s="452"/>
    </row>
    <row r="75" spans="1:11" ht="67" x14ac:dyDescent="0.25">
      <c r="A75" s="931" t="s">
        <v>484</v>
      </c>
      <c r="B75" s="967">
        <f>'Normes pleine production'!F102</f>
        <v>15379.156465933142</v>
      </c>
      <c r="C75" s="965">
        <f t="shared" si="4"/>
        <v>0</v>
      </c>
      <c r="D75" s="967">
        <f>'Variante pleine production'!F102</f>
        <v>15379.156465933142</v>
      </c>
      <c r="E75" s="1"/>
      <c r="F75" s="13"/>
      <c r="G75" s="933" t="s">
        <v>136</v>
      </c>
      <c r="H75" s="968">
        <f>'Normes pleine production'!$F$103</f>
        <v>23.191809414771281</v>
      </c>
      <c r="I75" s="935">
        <f>IF(OR(H75=0,H75=""),0,(J75/H75)-1)</f>
        <v>0</v>
      </c>
      <c r="J75" s="969">
        <f>'Variante pleine production'!F103</f>
        <v>23.191809414771281</v>
      </c>
    </row>
    <row r="76" spans="1:11" s="170" customFormat="1" ht="15.5" x14ac:dyDescent="0.25">
      <c r="A76" s="952" t="s">
        <v>130</v>
      </c>
      <c r="B76" s="953">
        <f>'Normes pleine production'!$D$75</f>
        <v>663.12878787878788</v>
      </c>
      <c r="C76" s="918">
        <f t="shared" si="4"/>
        <v>0</v>
      </c>
      <c r="D76" s="953">
        <f>'Variante pleine production'!D75</f>
        <v>663.12878787878788</v>
      </c>
      <c r="E76" s="173"/>
      <c r="F76" s="913"/>
      <c r="G76" s="723"/>
      <c r="H76" s="198"/>
      <c r="I76" s="197"/>
      <c r="J76" s="515"/>
    </row>
    <row r="77" spans="1:11" s="171" customFormat="1" ht="31" x14ac:dyDescent="0.35">
      <c r="A77" s="1444" t="s">
        <v>131</v>
      </c>
      <c r="B77" s="954">
        <f>'Normes pleine production'!B75*'Données normes'!C34</f>
        <v>4737.727272727273</v>
      </c>
      <c r="C77" s="955">
        <f t="shared" si="4"/>
        <v>0</v>
      </c>
      <c r="D77" s="954">
        <f>'Variante pleine production'!B75*'Variante données'!C34</f>
        <v>4737.727272727273</v>
      </c>
      <c r="E77" s="150"/>
      <c r="F77" s="924"/>
      <c r="G77" s="723"/>
      <c r="H77" s="723"/>
      <c r="I77" s="232"/>
      <c r="J77" s="517"/>
    </row>
    <row r="78" spans="1:11" s="170" customFormat="1" ht="67" x14ac:dyDescent="0.25">
      <c r="A78" s="931" t="s">
        <v>485</v>
      </c>
      <c r="B78" s="967">
        <f>B75-B77</f>
        <v>10641.42919320587</v>
      </c>
      <c r="C78" s="965">
        <f t="shared" si="4"/>
        <v>0</v>
      </c>
      <c r="D78" s="967">
        <f>D75-D77</f>
        <v>10641.42919320587</v>
      </c>
      <c r="E78" s="173"/>
      <c r="F78" s="913"/>
      <c r="G78" s="939" t="s">
        <v>137</v>
      </c>
      <c r="H78" s="968">
        <f>'Normes pleine production'!F105</f>
        <v>24.322003246639564</v>
      </c>
      <c r="I78" s="935">
        <f>IF(OR(H78=0,H78=""),0,(J78/H78)-1)</f>
        <v>0</v>
      </c>
      <c r="J78" s="969">
        <f>'Variante pleine production'!F105</f>
        <v>24.322003246639564</v>
      </c>
    </row>
    <row r="79" spans="1:11" s="170" customFormat="1" ht="15.5" x14ac:dyDescent="0.35">
      <c r="A79" s="305" t="s">
        <v>132</v>
      </c>
      <c r="B79" s="956">
        <f>'Normes pleine production'!$D$75-'Normes pleine production'!$B$75</f>
        <v>437.52272727272725</v>
      </c>
      <c r="C79" s="950">
        <f t="shared" si="4"/>
        <v>0</v>
      </c>
      <c r="D79" s="956">
        <f>'Variante pleine production'!D75-'Variante pleine production'!B75</f>
        <v>437.52272727272725</v>
      </c>
      <c r="E79" s="173"/>
      <c r="F79" s="913"/>
      <c r="G79" s="723"/>
      <c r="H79" s="198"/>
      <c r="I79" s="197"/>
      <c r="J79" s="515"/>
    </row>
    <row r="80" spans="1:11" s="170" customFormat="1" ht="46.5" x14ac:dyDescent="0.25">
      <c r="A80" s="951" t="s">
        <v>133</v>
      </c>
      <c r="B80" s="957">
        <f>'Données normes'!$F$34</f>
        <v>0.5</v>
      </c>
      <c r="C80" s="950">
        <f>IF(OR(B80=0,B80=""),0,(D80/B80)-1)</f>
        <v>0</v>
      </c>
      <c r="D80" s="957">
        <f>'Variante données'!F34</f>
        <v>0.5</v>
      </c>
      <c r="E80" s="173"/>
      <c r="F80" s="913"/>
      <c r="G80" s="951" t="s">
        <v>488</v>
      </c>
      <c r="H80" s="927">
        <f>'Normes pleine production'!$F$110</f>
        <v>42.459700912798603</v>
      </c>
      <c r="I80" s="187">
        <f>IF(OR(H80=0,H80=""),0,(J80/H80)-1)</f>
        <v>0</v>
      </c>
      <c r="J80" s="518">
        <f>'Variante pleine production'!F110</f>
        <v>42.459700912798603</v>
      </c>
    </row>
    <row r="81" spans="1:11" s="170" customFormat="1" ht="27" customHeight="1" x14ac:dyDescent="0.25">
      <c r="A81" s="1039" t="s">
        <v>486</v>
      </c>
      <c r="B81" s="958">
        <f>'Normes pleine production'!B75</f>
        <v>225.60606060606062</v>
      </c>
      <c r="C81" s="950">
        <f>IF(OR(B81=0,B81=""),0,(D81/B81)-1)</f>
        <v>0</v>
      </c>
      <c r="D81" s="958">
        <f>'Variante pleine production'!B75</f>
        <v>225.60606060606062</v>
      </c>
      <c r="E81" s="173"/>
      <c r="F81" s="913"/>
      <c r="G81" s="925" t="s">
        <v>138</v>
      </c>
      <c r="H81" s="928">
        <f>'Normes pleine production'!$F$109</f>
        <v>57.537371619846255</v>
      </c>
      <c r="I81" s="187">
        <f>IF(OR(H81=0,H81=""),0,(J81/H81)-1)</f>
        <v>0</v>
      </c>
      <c r="J81" s="922">
        <f>'Variante pleine production'!F109</f>
        <v>57.537371619846255</v>
      </c>
    </row>
    <row r="82" spans="1:11" ht="27.75" customHeight="1" x14ac:dyDescent="0.25">
      <c r="A82" s="1039" t="s">
        <v>134</v>
      </c>
      <c r="B82" s="514">
        <f>B83/B76</f>
        <v>0.56418722081957662</v>
      </c>
      <c r="C82" s="950">
        <f>IF(OR(B82=0,B82=""),0,(D82/B82)-1)</f>
        <v>0</v>
      </c>
      <c r="D82" s="514">
        <f>D83/D76</f>
        <v>0.56418722081957662</v>
      </c>
      <c r="E82" s="1"/>
      <c r="F82" s="1"/>
      <c r="H82" s="13"/>
      <c r="I82" s="66"/>
    </row>
    <row r="83" spans="1:11" ht="31" x14ac:dyDescent="0.25">
      <c r="A83" s="1039" t="s">
        <v>135</v>
      </c>
      <c r="B83" s="958">
        <f>'Normes pleine production'!$D$72+'Normes pleine production'!D73</f>
        <v>374.12878787878788</v>
      </c>
      <c r="C83" s="950">
        <f>IF(OR(B83=0,B83=""),0,(D83/B83)-1)</f>
        <v>0</v>
      </c>
      <c r="D83" s="958">
        <f>'Variante pleine production'!D72+'Variante pleine production'!D73</f>
        <v>374.12878787878788</v>
      </c>
      <c r="E83" s="1"/>
      <c r="F83" s="1"/>
      <c r="H83" s="13"/>
    </row>
    <row r="84" spans="1:11" ht="23.25" customHeight="1" x14ac:dyDescent="0.3">
      <c r="A84" s="13"/>
      <c r="B84" s="11"/>
      <c r="C84" s="11"/>
      <c r="D84" s="69"/>
      <c r="E84" s="1"/>
    </row>
    <row r="85" spans="1:11" ht="23.25" customHeight="1" x14ac:dyDescent="0.3">
      <c r="E85" s="1"/>
    </row>
    <row r="86" spans="1:11" ht="27" customHeight="1" x14ac:dyDescent="0.5">
      <c r="A86" s="1471" t="s">
        <v>139</v>
      </c>
      <c r="B86" s="1471"/>
      <c r="C86" s="1471"/>
      <c r="D86" s="1471"/>
      <c r="E86" s="1471"/>
      <c r="F86" s="1471"/>
      <c r="G86" s="1471"/>
      <c r="H86" s="1471"/>
      <c r="I86" s="1471"/>
      <c r="J86" s="1471"/>
      <c r="K86" s="14"/>
    </row>
    <row r="87" spans="1:11" s="1" customFormat="1" ht="27" customHeight="1" x14ac:dyDescent="0.5">
      <c r="A87" s="400"/>
      <c r="B87" s="400"/>
      <c r="C87" s="400"/>
      <c r="D87" s="400"/>
      <c r="E87" s="400"/>
      <c r="F87" s="400"/>
      <c r="G87" s="400"/>
      <c r="H87" s="400"/>
      <c r="I87" s="400"/>
      <c r="J87" s="400"/>
      <c r="K87" s="121"/>
    </row>
    <row r="88" spans="1:11" s="1" customFormat="1" ht="18.5" thickBot="1" x14ac:dyDescent="0.45">
      <c r="A88" s="95"/>
      <c r="F88" s="185"/>
      <c r="J88" s="33"/>
      <c r="K88" s="121"/>
    </row>
    <row r="89" spans="1:11" s="1" customFormat="1" ht="18.5" thickBot="1" x14ac:dyDescent="0.45">
      <c r="A89" s="95"/>
      <c r="F89" s="185"/>
      <c r="G89" s="388"/>
      <c r="H89" s="389" t="s">
        <v>110</v>
      </c>
      <c r="I89" s="390" t="s">
        <v>61</v>
      </c>
      <c r="J89" s="401" t="s">
        <v>60</v>
      </c>
      <c r="K89" s="121"/>
    </row>
    <row r="90" spans="1:11" s="1" customFormat="1" ht="18" x14ac:dyDescent="0.4">
      <c r="A90" s="95"/>
      <c r="F90" s="185"/>
      <c r="G90" s="372" t="s">
        <v>140</v>
      </c>
      <c r="H90" s="200">
        <f>'Normes pleine production'!B119</f>
        <v>23437.647727272728</v>
      </c>
      <c r="I90" s="236">
        <f>IF(OR(H90=0,H90=""),0,(J90/H90)-1)</f>
        <v>0</v>
      </c>
      <c r="J90" s="392">
        <f>'Variante pleine production'!B119</f>
        <v>23437.647727272728</v>
      </c>
      <c r="K90" s="121"/>
    </row>
    <row r="91" spans="1:11" s="1" customFormat="1" ht="18" x14ac:dyDescent="0.4">
      <c r="A91" s="95"/>
      <c r="F91" s="185"/>
      <c r="G91" s="372" t="s">
        <v>141</v>
      </c>
      <c r="H91" s="200">
        <f>'Normes pleine production'!B120</f>
        <v>1972.0743594462635</v>
      </c>
      <c r="I91" s="236">
        <f>IF(OR(H91=0,H91=""),0,(J91/H91)-1)</f>
        <v>0</v>
      </c>
      <c r="J91" s="392">
        <f>'Variante pleine production'!B120</f>
        <v>1972.0743594462635</v>
      </c>
      <c r="K91" s="121"/>
    </row>
    <row r="92" spans="1:11" s="1" customFormat="1" ht="18.5" thickBot="1" x14ac:dyDescent="0.45">
      <c r="A92" s="95"/>
      <c r="F92" s="185"/>
      <c r="G92" s="393" t="s">
        <v>142</v>
      </c>
      <c r="H92" s="195">
        <f>'Normes pleine production'!B147</f>
        <v>14492.956674620609</v>
      </c>
      <c r="I92" s="237">
        <f>IF(OR(H92=0,H92=""),0,(J92/H92)-1)</f>
        <v>0</v>
      </c>
      <c r="J92" s="394">
        <f>'Variante pleine production'!B121</f>
        <v>14492.956674620609</v>
      </c>
      <c r="K92" s="121"/>
    </row>
    <row r="93" spans="1:11" s="1" customFormat="1" ht="18" x14ac:dyDescent="0.4">
      <c r="A93" s="95"/>
      <c r="F93" s="185"/>
      <c r="G93" s="395" t="s">
        <v>143</v>
      </c>
      <c r="H93" s="409">
        <f>B56</f>
        <v>39902.678761339601</v>
      </c>
      <c r="I93" s="236">
        <f>IF(OR(H93=0,H93=""),0,(J93/H93)-1)</f>
        <v>0</v>
      </c>
      <c r="J93" s="410">
        <f>D56</f>
        <v>39902.678761339601</v>
      </c>
      <c r="K93" s="121"/>
    </row>
    <row r="94" spans="1:11" s="1" customFormat="1" ht="18" x14ac:dyDescent="0.4">
      <c r="A94" s="95"/>
      <c r="F94" s="185"/>
      <c r="G94" s="376"/>
      <c r="H94" s="18"/>
      <c r="I94" s="144"/>
      <c r="J94" s="134"/>
      <c r="K94" s="121"/>
    </row>
    <row r="95" spans="1:11" s="1" customFormat="1" ht="18" x14ac:dyDescent="0.4">
      <c r="A95" s="95"/>
      <c r="F95" s="185"/>
      <c r="G95" s="372" t="s">
        <v>140</v>
      </c>
      <c r="H95" s="129">
        <f>'Normes pleine production'!C119</f>
        <v>0.58737028326982144</v>
      </c>
      <c r="I95" s="196"/>
      <c r="J95" s="396">
        <f>'Variante pleine production'!C119</f>
        <v>0.58737028326982144</v>
      </c>
      <c r="K95" s="121"/>
    </row>
    <row r="96" spans="1:11" s="1" customFormat="1" ht="18" x14ac:dyDescent="0.4">
      <c r="A96" s="95"/>
      <c r="F96" s="185"/>
      <c r="G96" s="372" t="s">
        <v>141</v>
      </c>
      <c r="H96" s="129">
        <f>'Normes pleine production'!C120</f>
        <v>4.9422104496827463E-2</v>
      </c>
      <c r="I96" s="196"/>
      <c r="J96" s="396">
        <f>'Variante pleine production'!C120</f>
        <v>4.9422104496827463E-2</v>
      </c>
      <c r="K96" s="121"/>
    </row>
    <row r="97" spans="1:11" s="1" customFormat="1" ht="18.5" thickBot="1" x14ac:dyDescent="0.45">
      <c r="A97" s="95"/>
      <c r="F97" s="185"/>
      <c r="G97" s="393" t="s">
        <v>142</v>
      </c>
      <c r="H97" s="397">
        <f>'Normes pleine production'!C121</f>
        <v>0.36320761223335113</v>
      </c>
      <c r="I97" s="398"/>
      <c r="J97" s="399">
        <f>'Variante pleine production'!C121</f>
        <v>0.36320761223335113</v>
      </c>
      <c r="K97" s="121"/>
    </row>
    <row r="98" spans="1:11" s="1" customFormat="1" ht="18" x14ac:dyDescent="0.4">
      <c r="A98" s="95"/>
      <c r="F98" s="185"/>
      <c r="K98" s="121"/>
    </row>
    <row r="99" spans="1:11" s="1" customFormat="1" ht="18" x14ac:dyDescent="0.4">
      <c r="A99" s="95"/>
      <c r="F99" s="185"/>
      <c r="J99" s="33"/>
      <c r="K99" s="121"/>
    </row>
    <row r="100" spans="1:11" ht="9.75" customHeight="1" x14ac:dyDescent="0.3"/>
    <row r="101" spans="1:11" ht="9.75" customHeight="1" x14ac:dyDescent="0.3">
      <c r="A101" s="1"/>
      <c r="B101" s="33"/>
      <c r="C101" s="33"/>
      <c r="D101" s="72"/>
      <c r="E101" s="1"/>
      <c r="F101" s="1"/>
      <c r="G101" s="1"/>
      <c r="H101" s="1"/>
      <c r="I101" s="1"/>
      <c r="J101" s="1"/>
    </row>
    <row r="103" spans="1:11" ht="21.15" customHeight="1" thickBot="1" x14ac:dyDescent="0.35">
      <c r="G103" s="1"/>
      <c r="I103" s="66"/>
    </row>
    <row r="104" spans="1:11" ht="21.15" customHeight="1" thickBot="1" x14ac:dyDescent="0.4">
      <c r="G104" s="388"/>
      <c r="H104" s="389" t="s">
        <v>110</v>
      </c>
      <c r="I104" s="390" t="s">
        <v>61</v>
      </c>
      <c r="J104" s="391" t="s">
        <v>60</v>
      </c>
    </row>
    <row r="105" spans="1:11" ht="21.15" customHeight="1" x14ac:dyDescent="0.3">
      <c r="G105" s="372" t="s">
        <v>144</v>
      </c>
      <c r="H105" s="200">
        <f>'Normes pleine production'!B125</f>
        <v>660</v>
      </c>
      <c r="I105" s="236">
        <f>IF(OR(H105=0,H105=""),0,(J105/H105)-1)</f>
        <v>0</v>
      </c>
      <c r="J105" s="392">
        <f>'Variante pleine production'!B125</f>
        <v>660</v>
      </c>
    </row>
    <row r="106" spans="1:11" ht="21.15" customHeight="1" thickBot="1" x14ac:dyDescent="0.35">
      <c r="G106" s="393" t="s">
        <v>145</v>
      </c>
      <c r="H106" s="195">
        <f>'Normes pleine production'!B126</f>
        <v>1312.0743594462635</v>
      </c>
      <c r="I106" s="237">
        <f>IF(OR(H106=0,H106=""),0,(J106/H106)-1)</f>
        <v>0</v>
      </c>
      <c r="J106" s="394">
        <f>'Variante pleine production'!B126</f>
        <v>1312.0743594462635</v>
      </c>
    </row>
    <row r="107" spans="1:11" ht="19.5" customHeight="1" x14ac:dyDescent="0.3">
      <c r="G107" s="402" t="s">
        <v>146</v>
      </c>
      <c r="H107" s="409">
        <f>'Normes pleine production'!B127</f>
        <v>1972.0743594462635</v>
      </c>
      <c r="I107" s="236">
        <f>IF(OR(H107=0,H107=""),0,(J107/H107)-1)</f>
        <v>0</v>
      </c>
      <c r="J107" s="410">
        <f>'Variante pleine production'!B127</f>
        <v>1972.0743594462635</v>
      </c>
    </row>
    <row r="108" spans="1:11" ht="20.25" customHeight="1" x14ac:dyDescent="0.3">
      <c r="G108" s="371"/>
      <c r="H108" s="13"/>
      <c r="I108" s="236"/>
      <c r="J108" s="403"/>
    </row>
    <row r="109" spans="1:11" ht="21.15" customHeight="1" x14ac:dyDescent="0.3">
      <c r="G109" s="372" t="s">
        <v>144</v>
      </c>
      <c r="H109" s="404">
        <f>'Normes pleine production'!C125</f>
        <v>0.33467297865244827</v>
      </c>
      <c r="I109" s="236"/>
      <c r="J109" s="405">
        <f>'Variante pleine production'!C125</f>
        <v>0.33467297865244827</v>
      </c>
    </row>
    <row r="110" spans="1:11" ht="21.15" customHeight="1" thickBot="1" x14ac:dyDescent="0.35">
      <c r="G110" s="393" t="s">
        <v>145</v>
      </c>
      <c r="H110" s="407">
        <f>'Normes pleine production'!C126</f>
        <v>0.66532702134755173</v>
      </c>
      <c r="I110" s="237"/>
      <c r="J110" s="408">
        <f>'Variante pleine production'!C126</f>
        <v>0.66532702134755173</v>
      </c>
    </row>
    <row r="111" spans="1:11" ht="20.25" customHeight="1" x14ac:dyDescent="0.3">
      <c r="I111" s="66"/>
    </row>
    <row r="112" spans="1:11" x14ac:dyDescent="0.3">
      <c r="I112" s="66"/>
    </row>
    <row r="113" spans="1:10" x14ac:dyDescent="0.3">
      <c r="I113" s="66"/>
    </row>
    <row r="114" spans="1:10" x14ac:dyDescent="0.3">
      <c r="I114" s="66"/>
    </row>
    <row r="115" spans="1:10" x14ac:dyDescent="0.3">
      <c r="I115" s="66"/>
    </row>
    <row r="116" spans="1:10" x14ac:dyDescent="0.3">
      <c r="I116" s="66"/>
    </row>
    <row r="117" spans="1:10" x14ac:dyDescent="0.3">
      <c r="I117" s="66"/>
    </row>
    <row r="118" spans="1:10" x14ac:dyDescent="0.3">
      <c r="A118" s="1"/>
      <c r="B118" s="33"/>
      <c r="C118" s="33"/>
      <c r="D118" s="72"/>
      <c r="E118" s="1"/>
      <c r="F118" s="1"/>
      <c r="G118" s="1"/>
      <c r="H118" s="1"/>
      <c r="I118" s="66"/>
      <c r="J118" s="1"/>
    </row>
    <row r="119" spans="1:10" x14ac:dyDescent="0.3">
      <c r="I119" s="66"/>
    </row>
    <row r="120" spans="1:10" x14ac:dyDescent="0.3">
      <c r="I120" s="66"/>
    </row>
    <row r="121" spans="1:10" ht="13.5" thickBot="1" x14ac:dyDescent="0.35">
      <c r="I121" s="66"/>
    </row>
    <row r="122" spans="1:10" ht="18.5" thickBot="1" x14ac:dyDescent="0.4">
      <c r="G122" s="388"/>
      <c r="H122" s="389" t="s">
        <v>110</v>
      </c>
      <c r="I122" s="390" t="s">
        <v>61</v>
      </c>
      <c r="J122" s="391" t="s">
        <v>60</v>
      </c>
    </row>
    <row r="123" spans="1:10" ht="15.75" customHeight="1" x14ac:dyDescent="0.3">
      <c r="G123" s="372" t="s">
        <v>147</v>
      </c>
      <c r="H123" s="200">
        <f>'Normes pleine production'!B135</f>
        <v>9416.6477272727279</v>
      </c>
      <c r="I123" s="236">
        <f>IF(OR(H123=0,H123=""),0,(J123/H123)-1)</f>
        <v>0</v>
      </c>
      <c r="J123" s="392">
        <f>'Variante pleine production'!B135</f>
        <v>9416.6477272727279</v>
      </c>
    </row>
    <row r="124" spans="1:10" ht="15.75" customHeight="1" x14ac:dyDescent="0.3">
      <c r="G124" s="372" t="s">
        <v>148</v>
      </c>
      <c r="H124" s="200">
        <f>'Normes pleine production'!B132</f>
        <v>2950</v>
      </c>
      <c r="I124" s="236">
        <f>IF(OR(H124=0,H124=""),0,(J124/H124)-1)</f>
        <v>0</v>
      </c>
      <c r="J124" s="392">
        <f>'Variante pleine production'!B132</f>
        <v>2950</v>
      </c>
    </row>
    <row r="125" spans="1:10" ht="15.75" customHeight="1" x14ac:dyDescent="0.3">
      <c r="G125" s="411" t="s">
        <v>149</v>
      </c>
      <c r="H125" s="200">
        <f>'Normes pleine production'!B134</f>
        <v>1767.5</v>
      </c>
      <c r="I125" s="236">
        <f>IF(OR(H125=0,H125=""),0,(J125/H125)-1)</f>
        <v>0</v>
      </c>
      <c r="J125" s="392">
        <f>'Variante pleine production'!B134</f>
        <v>1767.5</v>
      </c>
    </row>
    <row r="126" spans="1:10" ht="15.75" customHeight="1" thickBot="1" x14ac:dyDescent="0.35">
      <c r="G126" s="412" t="s">
        <v>150</v>
      </c>
      <c r="H126" s="195">
        <f>H127-H123-H124-H125</f>
        <v>2993</v>
      </c>
      <c r="I126" s="237">
        <f>IF(OR(H126=0,H126=""),0,(J126/H126)-1)</f>
        <v>0</v>
      </c>
      <c r="J126" s="394">
        <f>J127-J123-J124-J125</f>
        <v>2993</v>
      </c>
    </row>
    <row r="127" spans="1:10" ht="21.15" customHeight="1" x14ac:dyDescent="0.35">
      <c r="G127" s="413" t="s">
        <v>140</v>
      </c>
      <c r="H127" s="414">
        <f>'Normes pleine production'!B139</f>
        <v>17127.147727272728</v>
      </c>
      <c r="I127" s="238">
        <f>IF(OR(H127=0,H127=""),0,(J127/H127)-1)</f>
        <v>0</v>
      </c>
      <c r="J127" s="415">
        <f>'Variante pleine production'!B139</f>
        <v>17127.147727272728</v>
      </c>
    </row>
    <row r="128" spans="1:10" x14ac:dyDescent="0.3">
      <c r="G128" s="371"/>
      <c r="H128" s="13"/>
      <c r="I128" s="144"/>
      <c r="J128" s="403"/>
    </row>
    <row r="129" spans="1:10" ht="15.75" customHeight="1" x14ac:dyDescent="0.3">
      <c r="G129" s="372" t="s">
        <v>147</v>
      </c>
      <c r="H129" s="404">
        <f>H123/H127</f>
        <v>0.54980828549040628</v>
      </c>
      <c r="I129" s="236"/>
      <c r="J129" s="405">
        <f>J123/J127</f>
        <v>0.54980828549040628</v>
      </c>
    </row>
    <row r="130" spans="1:10" ht="15.75" customHeight="1" x14ac:dyDescent="0.3">
      <c r="G130" s="372" t="s">
        <v>148</v>
      </c>
      <c r="H130" s="404">
        <f>H124/H127</f>
        <v>0.1722411721423126</v>
      </c>
      <c r="I130" s="236"/>
      <c r="J130" s="405">
        <f>J124/J127</f>
        <v>0.1722411721423126</v>
      </c>
    </row>
    <row r="131" spans="1:10" ht="15.75" customHeight="1" x14ac:dyDescent="0.3">
      <c r="G131" s="411" t="s">
        <v>149</v>
      </c>
      <c r="H131" s="404">
        <f>H125/H127</f>
        <v>0.10319873619035171</v>
      </c>
      <c r="I131" s="236"/>
      <c r="J131" s="405">
        <f>J125/J127</f>
        <v>0.10319873619035171</v>
      </c>
    </row>
    <row r="132" spans="1:10" ht="15.75" customHeight="1" thickBot="1" x14ac:dyDescent="0.35">
      <c r="G132" s="412" t="s">
        <v>150</v>
      </c>
      <c r="H132" s="407">
        <f>H126/H127</f>
        <v>0.17475180617692937</v>
      </c>
      <c r="I132" s="237"/>
      <c r="J132" s="408">
        <f>J126/J127</f>
        <v>0.17475180617692937</v>
      </c>
    </row>
    <row r="137" spans="1:10" x14ac:dyDescent="0.3">
      <c r="I137" s="66"/>
    </row>
    <row r="138" spans="1:10" x14ac:dyDescent="0.3">
      <c r="A138" s="1"/>
      <c r="B138" s="33"/>
      <c r="C138" s="33"/>
      <c r="D138" s="72"/>
      <c r="E138" s="1"/>
      <c r="F138" s="1"/>
      <c r="G138" s="1"/>
      <c r="H138" s="1"/>
      <c r="I138" s="66"/>
      <c r="J138" s="1"/>
    </row>
    <row r="139" spans="1:10" x14ac:dyDescent="0.3">
      <c r="A139" s="1"/>
      <c r="B139" s="33"/>
      <c r="C139" s="33"/>
      <c r="D139" s="72"/>
      <c r="E139" s="1"/>
      <c r="F139" s="1"/>
      <c r="G139" s="1"/>
      <c r="H139" s="1"/>
      <c r="I139" s="66"/>
      <c r="J139" s="1"/>
    </row>
    <row r="140" spans="1:10" x14ac:dyDescent="0.3">
      <c r="I140" s="66"/>
    </row>
    <row r="141" spans="1:10" x14ac:dyDescent="0.3">
      <c r="I141" s="66"/>
    </row>
    <row r="142" spans="1:10" x14ac:dyDescent="0.3">
      <c r="I142" s="66"/>
    </row>
    <row r="143" spans="1:10" ht="13.5" thickBot="1" x14ac:dyDescent="0.35">
      <c r="I143" s="66"/>
    </row>
    <row r="144" spans="1:10" ht="18.5" thickBot="1" x14ac:dyDescent="0.4">
      <c r="G144" s="388"/>
      <c r="H144" s="389" t="s">
        <v>110</v>
      </c>
      <c r="I144" s="390" t="s">
        <v>61</v>
      </c>
      <c r="J144" s="391" t="s">
        <v>60</v>
      </c>
    </row>
    <row r="145" spans="7:11" ht="15" customHeight="1" x14ac:dyDescent="0.3">
      <c r="G145" s="372" t="s">
        <v>151</v>
      </c>
      <c r="H145" s="200">
        <f>'Normes pleine production'!B143</f>
        <v>338.25</v>
      </c>
      <c r="I145" s="236">
        <f>IF(OR(H145=0,H145=""),0,(J145/H145)-1)</f>
        <v>0</v>
      </c>
      <c r="J145" s="416">
        <f>'Variante pleine production'!B143</f>
        <v>338.25</v>
      </c>
    </row>
    <row r="146" spans="7:11" ht="15" customHeight="1" x14ac:dyDescent="0.3">
      <c r="G146" s="1040" t="s">
        <v>152</v>
      </c>
      <c r="H146" s="200">
        <f>'Normes pleine production'!B144</f>
        <v>7289.3019969236857</v>
      </c>
      <c r="I146" s="236">
        <f>IF(OR(H146=0,H146=""),0,(J146/H146)-1)</f>
        <v>0</v>
      </c>
      <c r="J146" s="416">
        <f>'Variante pleine production'!B144</f>
        <v>7289.3019969236857</v>
      </c>
      <c r="K146" s="14"/>
    </row>
    <row r="147" spans="7:11" ht="15" customHeight="1" x14ac:dyDescent="0.3">
      <c r="G147" s="372" t="s">
        <v>153</v>
      </c>
      <c r="H147" s="200">
        <f>'Normes pleine production'!B145</f>
        <v>6147.9383522727276</v>
      </c>
      <c r="I147" s="236">
        <f>IF(OR(H147=0,H147=""),0,(J147/H147)-1)</f>
        <v>0</v>
      </c>
      <c r="J147" s="416">
        <f>'Variante pleine production'!B145</f>
        <v>6147.9383522727276</v>
      </c>
    </row>
    <row r="148" spans="7:11" ht="15" customHeight="1" thickBot="1" x14ac:dyDescent="0.35">
      <c r="G148" s="393" t="s">
        <v>154</v>
      </c>
      <c r="H148" s="195">
        <f>'Normes pleine production'!B146</f>
        <v>717.46632542419593</v>
      </c>
      <c r="I148" s="237">
        <f>IF(OR(H148=0,H148=""),0,(J148/H148)-1)</f>
        <v>0</v>
      </c>
      <c r="J148" s="417">
        <f>'Variante pleine production'!B146</f>
        <v>717.46632542419593</v>
      </c>
    </row>
    <row r="149" spans="7:11" ht="15.5" x14ac:dyDescent="0.35">
      <c r="G149" s="413" t="s">
        <v>155</v>
      </c>
      <c r="H149" s="409">
        <f>'Normes pleine production'!B147</f>
        <v>14492.956674620609</v>
      </c>
      <c r="I149" s="236">
        <f>IF(OR(H149=0,H149=""),0,(J149/H149)-1)</f>
        <v>0</v>
      </c>
      <c r="J149" s="416">
        <f>'Variante pleine production'!B147</f>
        <v>14492.956674620609</v>
      </c>
    </row>
    <row r="150" spans="7:11" x14ac:dyDescent="0.3">
      <c r="G150" s="371"/>
      <c r="H150" s="13"/>
      <c r="I150" s="144"/>
      <c r="J150" s="403"/>
    </row>
    <row r="151" spans="7:11" ht="13.65" customHeight="1" x14ac:dyDescent="0.3">
      <c r="G151" s="372" t="s">
        <v>151</v>
      </c>
      <c r="H151" s="404">
        <f>'Normes pleine production'!C143</f>
        <v>2.3338923008879731E-2</v>
      </c>
      <c r="I151" s="236"/>
      <c r="J151" s="405">
        <f>'Variante pleine production'!C143</f>
        <v>2.3338923008879731E-2</v>
      </c>
    </row>
    <row r="152" spans="7:11" ht="13.65" customHeight="1" x14ac:dyDescent="0.3">
      <c r="G152" s="1040" t="s">
        <v>152</v>
      </c>
      <c r="H152" s="404">
        <f>'Normes pleine production'!C144</f>
        <v>0.50295479111507813</v>
      </c>
      <c r="I152" s="236"/>
      <c r="J152" s="405">
        <f>'Variante pleine production'!C144</f>
        <v>0.50295479111507813</v>
      </c>
    </row>
    <row r="153" spans="7:11" ht="13.65" customHeight="1" x14ac:dyDescent="0.3">
      <c r="G153" s="372" t="s">
        <v>153</v>
      </c>
      <c r="H153" s="404">
        <f>'Normes pleine production'!C145</f>
        <v>0.42420180300674676</v>
      </c>
      <c r="I153" s="236"/>
      <c r="J153" s="405">
        <f>'Variante pleine production'!C145</f>
        <v>0.42420180300674676</v>
      </c>
    </row>
    <row r="154" spans="7:11" ht="13.65" customHeight="1" thickBot="1" x14ac:dyDescent="0.35">
      <c r="G154" s="393" t="s">
        <v>154</v>
      </c>
      <c r="H154" s="407">
        <f>'Normes pleine production'!C146</f>
        <v>4.9504482869295367E-2</v>
      </c>
      <c r="I154" s="237"/>
      <c r="J154" s="408">
        <f>'Variante pleine production'!C146</f>
        <v>4.9504482869295367E-2</v>
      </c>
    </row>
    <row r="155" spans="7:11" ht="13.65" customHeight="1" x14ac:dyDescent="0.3">
      <c r="G155" s="198"/>
      <c r="H155" s="199"/>
      <c r="I155" s="236"/>
      <c r="J155" s="199"/>
    </row>
    <row r="156" spans="7:11" ht="13.65" customHeight="1" x14ac:dyDescent="0.3">
      <c r="G156" s="198"/>
      <c r="H156" s="199"/>
      <c r="I156" s="236"/>
      <c r="J156" s="199"/>
    </row>
    <row r="157" spans="7:11" ht="13.65" customHeight="1" x14ac:dyDescent="0.3">
      <c r="G157" s="198"/>
      <c r="H157" s="199"/>
      <c r="I157" s="236"/>
      <c r="J157" s="199"/>
    </row>
    <row r="158" spans="7:11" ht="13.65" customHeight="1" x14ac:dyDescent="0.3">
      <c r="G158" s="198"/>
      <c r="H158" s="199"/>
      <c r="I158" s="236"/>
      <c r="J158" s="199"/>
    </row>
    <row r="159" spans="7:11" ht="13.65" customHeight="1" x14ac:dyDescent="0.3">
      <c r="G159" s="198"/>
      <c r="H159" s="199"/>
      <c r="I159" s="236"/>
      <c r="J159" s="199"/>
    </row>
    <row r="160" spans="7:11" ht="13.65" customHeight="1" x14ac:dyDescent="0.3">
      <c r="G160" s="198"/>
      <c r="H160" s="199"/>
      <c r="I160" s="236"/>
      <c r="J160" s="199"/>
    </row>
    <row r="161" spans="1:10" x14ac:dyDescent="0.3">
      <c r="I161" s="66"/>
    </row>
    <row r="162" spans="1:10" ht="60" customHeight="1" x14ac:dyDescent="0.3">
      <c r="I162" s="66"/>
    </row>
    <row r="163" spans="1:10" ht="23" x14ac:dyDescent="0.5">
      <c r="A163" s="523" t="s">
        <v>156</v>
      </c>
      <c r="B163" s="520"/>
      <c r="C163" s="520"/>
      <c r="D163" s="521"/>
      <c r="E163" s="522"/>
      <c r="F163" s="522"/>
      <c r="G163" s="522"/>
      <c r="H163" s="522"/>
      <c r="I163" s="522"/>
      <c r="J163" s="522"/>
    </row>
    <row r="164" spans="1:10" x14ac:dyDescent="0.3">
      <c r="I164" s="66"/>
    </row>
    <row r="165" spans="1:10" x14ac:dyDescent="0.3">
      <c r="I165" s="66"/>
    </row>
    <row r="166" spans="1:10" ht="13.5" thickBot="1" x14ac:dyDescent="0.35">
      <c r="I166" s="66"/>
    </row>
    <row r="167" spans="1:10" ht="18.5" thickBot="1" x14ac:dyDescent="0.4">
      <c r="G167" s="418"/>
      <c r="H167" s="389" t="s">
        <v>110</v>
      </c>
      <c r="I167" s="390" t="s">
        <v>61</v>
      </c>
      <c r="J167" s="391" t="s">
        <v>60</v>
      </c>
    </row>
    <row r="168" spans="1:10" x14ac:dyDescent="0.3">
      <c r="G168" s="419" t="s">
        <v>157</v>
      </c>
      <c r="H168" s="200">
        <f>'Normes pleine production'!B151</f>
        <v>14505.518322347882</v>
      </c>
      <c r="I168" s="236">
        <f>IF(OR(H168=0,H168=""),0,(J168/H168)-1)</f>
        <v>0</v>
      </c>
      <c r="J168" s="392">
        <f>'Variante pleine production'!B151</f>
        <v>14505.518322347882</v>
      </c>
    </row>
    <row r="169" spans="1:10" ht="13.5" thickBot="1" x14ac:dyDescent="0.35">
      <c r="G169" s="423" t="s">
        <v>158</v>
      </c>
      <c r="H169" s="195">
        <f>'Normes pleine production'!B152</f>
        <v>25397.160438991719</v>
      </c>
      <c r="I169" s="237">
        <f>IF(OR(H169=0,H169=""),0,(J169/H169)-1)</f>
        <v>0</v>
      </c>
      <c r="J169" s="394">
        <f>'Variante pleine production'!B152</f>
        <v>25397.160438991719</v>
      </c>
    </row>
    <row r="170" spans="1:10" ht="15.5" x14ac:dyDescent="0.3">
      <c r="G170" s="371" t="s">
        <v>143</v>
      </c>
      <c r="H170" s="409">
        <f>'Normes pleine production'!B153</f>
        <v>39902.678761339601</v>
      </c>
      <c r="I170" s="236">
        <f>IF(OR(H170=0,H170=""),0,(J170/H170)-1)</f>
        <v>0</v>
      </c>
      <c r="J170" s="410">
        <f>'Variante pleine production'!B153</f>
        <v>39902.678761339601</v>
      </c>
    </row>
    <row r="171" spans="1:10" x14ac:dyDescent="0.3">
      <c r="G171" s="371"/>
      <c r="H171" s="13"/>
      <c r="I171" s="144"/>
      <c r="J171" s="403"/>
    </row>
    <row r="172" spans="1:10" x14ac:dyDescent="0.3">
      <c r="G172" s="420" t="s">
        <v>157</v>
      </c>
      <c r="H172" s="404">
        <f>'Normes pleine production'!C151</f>
        <v>0.36352241936202545</v>
      </c>
      <c r="I172" s="144"/>
      <c r="J172" s="405">
        <f>'Variante pleine production'!C151</f>
        <v>0.36352241936202545</v>
      </c>
    </row>
    <row r="173" spans="1:10" ht="13.5" thickBot="1" x14ac:dyDescent="0.35">
      <c r="G173" s="421" t="s">
        <v>158</v>
      </c>
      <c r="H173" s="407">
        <f>'Normes pleine production'!C152</f>
        <v>0.63647758063797455</v>
      </c>
      <c r="I173" s="422"/>
      <c r="J173" s="408">
        <f>'Variante pleine production'!C152</f>
        <v>0.63647758063797455</v>
      </c>
    </row>
    <row r="175" spans="1:10" x14ac:dyDescent="0.3">
      <c r="G175" s="54"/>
    </row>
    <row r="191" spans="1:10" ht="23" x14ac:dyDescent="0.5">
      <c r="A191" s="523" t="s">
        <v>159</v>
      </c>
      <c r="B191" s="520"/>
      <c r="C191" s="520"/>
      <c r="D191" s="521"/>
      <c r="E191" s="522"/>
      <c r="F191" s="522"/>
      <c r="G191" s="522"/>
      <c r="H191" s="522"/>
      <c r="I191" s="522"/>
      <c r="J191" s="522"/>
    </row>
    <row r="197" spans="2:10" ht="13.5" thickBot="1" x14ac:dyDescent="0.35"/>
    <row r="198" spans="2:10" ht="19.5" customHeight="1" thickBot="1" x14ac:dyDescent="0.4">
      <c r="G198" s="418"/>
      <c r="H198" s="389" t="s">
        <v>110</v>
      </c>
      <c r="I198" s="390" t="s">
        <v>61</v>
      </c>
      <c r="J198" s="391" t="s">
        <v>60</v>
      </c>
    </row>
    <row r="199" spans="2:10" ht="39.15" customHeight="1" x14ac:dyDescent="0.3">
      <c r="G199" s="424" t="s">
        <v>160</v>
      </c>
      <c r="H199" s="425">
        <f>'Normes pleine production'!B178</f>
        <v>9284.9</v>
      </c>
      <c r="I199" s="194">
        <f>IF(OR(H199=0,H199=""),0,(J199/H199)-1)</f>
        <v>0</v>
      </c>
      <c r="J199" s="426">
        <f>'Variante pleine production'!B178</f>
        <v>9284.9</v>
      </c>
    </row>
    <row r="200" spans="2:10" s="170" customFormat="1" ht="20.25" customHeight="1" thickBot="1" x14ac:dyDescent="0.3">
      <c r="B200" s="171"/>
      <c r="C200" s="171"/>
      <c r="D200" s="169"/>
      <c r="G200" s="406" t="s">
        <v>161</v>
      </c>
      <c r="H200" s="206">
        <f>'Normes pleine production'!B172</f>
        <v>30617.778761339599</v>
      </c>
      <c r="I200" s="239">
        <f>IF(OR(H200=0,H200=""),0,(J200/H200)-1)</f>
        <v>0</v>
      </c>
      <c r="J200" s="427">
        <f>'Variante pleine production'!B172</f>
        <v>30617.778761339599</v>
      </c>
    </row>
    <row r="201" spans="2:10" ht="28.5" customHeight="1" x14ac:dyDescent="0.3">
      <c r="G201" s="395" t="s">
        <v>162</v>
      </c>
      <c r="H201" s="205">
        <f>'Normes pleine production'!B153</f>
        <v>39902.678761339601</v>
      </c>
      <c r="I201" s="194">
        <f>IF(OR(H201=0,H201=""),0,(J201/H201)-1)</f>
        <v>0</v>
      </c>
      <c r="J201" s="432">
        <f>'Variante pleine production'!B153</f>
        <v>39902.678761339601</v>
      </c>
    </row>
    <row r="202" spans="2:10" ht="17.399999999999999" customHeight="1" x14ac:dyDescent="0.3">
      <c r="G202" s="371"/>
      <c r="H202" s="13"/>
      <c r="I202" s="144"/>
      <c r="J202" s="403"/>
    </row>
    <row r="203" spans="2:10" ht="30.75" customHeight="1" x14ac:dyDescent="0.3">
      <c r="G203" s="428" t="str">
        <f>G199</f>
        <v>Protection des plantes (matériel, machines, travail)</v>
      </c>
      <c r="H203" s="446">
        <f>'Normes pleine production'!C171</f>
        <v>0.23268863866342315</v>
      </c>
      <c r="I203" s="194"/>
      <c r="J203" s="447">
        <f>'Variante pleine production'!C171</f>
        <v>0.23268863866342315</v>
      </c>
    </row>
    <row r="204" spans="2:10" ht="16.5" customHeight="1" thickBot="1" x14ac:dyDescent="0.35">
      <c r="G204" s="429" t="str">
        <f>G200</f>
        <v>Autres coûts de production</v>
      </c>
      <c r="H204" s="430">
        <f>'Normes pleine production'!C172</f>
        <v>0.76731136133657685</v>
      </c>
      <c r="I204" s="239"/>
      <c r="J204" s="431">
        <f>'Variante pleine production'!C172</f>
        <v>0.76731136133657685</v>
      </c>
    </row>
    <row r="205" spans="2:10" x14ac:dyDescent="0.3">
      <c r="I205" s="66"/>
    </row>
    <row r="206" spans="2:10" x14ac:dyDescent="0.3">
      <c r="I206" s="66"/>
    </row>
    <row r="207" spans="2:10" x14ac:dyDescent="0.3">
      <c r="I207" s="66"/>
    </row>
    <row r="208" spans="2:10" x14ac:dyDescent="0.3">
      <c r="I208" s="66"/>
    </row>
    <row r="209" spans="1:10" x14ac:dyDescent="0.3">
      <c r="I209" s="66"/>
    </row>
    <row r="210" spans="1:10" x14ac:dyDescent="0.3">
      <c r="I210" s="66"/>
    </row>
    <row r="211" spans="1:10" x14ac:dyDescent="0.3">
      <c r="A211" s="1"/>
      <c r="B211" s="33"/>
      <c r="C211" s="33"/>
      <c r="D211" s="72"/>
      <c r="E211" s="1"/>
      <c r="F211" s="1"/>
      <c r="G211" s="1"/>
      <c r="H211" s="1"/>
      <c r="I211" s="66"/>
      <c r="J211" s="1"/>
    </row>
    <row r="212" spans="1:10" x14ac:dyDescent="0.3">
      <c r="A212" s="1"/>
      <c r="B212" s="33"/>
      <c r="C212" s="33"/>
      <c r="D212" s="72"/>
      <c r="E212" s="1"/>
      <c r="F212" s="1"/>
      <c r="G212" s="1"/>
      <c r="H212" s="1"/>
      <c r="I212" s="66"/>
      <c r="J212" s="1"/>
    </row>
    <row r="213" spans="1:10" x14ac:dyDescent="0.3">
      <c r="I213" s="66"/>
    </row>
    <row r="214" spans="1:10" x14ac:dyDescent="0.3">
      <c r="I214" s="66"/>
    </row>
    <row r="215" spans="1:10" ht="13.5" thickBot="1" x14ac:dyDescent="0.35">
      <c r="I215" s="66"/>
    </row>
    <row r="216" spans="1:10" ht="18.5" thickBot="1" x14ac:dyDescent="0.4">
      <c r="G216" s="418"/>
      <c r="H216" s="389" t="s">
        <v>110</v>
      </c>
      <c r="I216" s="390" t="s">
        <v>61</v>
      </c>
      <c r="J216" s="391" t="s">
        <v>60</v>
      </c>
    </row>
    <row r="217" spans="1:10" x14ac:dyDescent="0.3">
      <c r="G217" s="371" t="s">
        <v>155</v>
      </c>
      <c r="H217" s="202">
        <f>'Normes pleine production'!B175</f>
        <v>5347.8</v>
      </c>
      <c r="I217" s="194">
        <f>IF(OR(H217=0,H217=""),0,(J217/H217)-1)</f>
        <v>0</v>
      </c>
      <c r="J217" s="426">
        <f>'Variante pleine production'!B175</f>
        <v>5347.8</v>
      </c>
    </row>
    <row r="218" spans="1:10" x14ac:dyDescent="0.3">
      <c r="G218" s="371" t="s">
        <v>163</v>
      </c>
      <c r="H218" s="202">
        <f>'Normes pleine production'!B176</f>
        <v>2668.6</v>
      </c>
      <c r="I218" s="194">
        <f>IF(OR(H218=0,H218=""),0,(J218/H218)-1)</f>
        <v>0</v>
      </c>
      <c r="J218" s="426">
        <f>'Variante pleine production'!B176</f>
        <v>2668.6</v>
      </c>
    </row>
    <row r="219" spans="1:10" ht="13.5" thickBot="1" x14ac:dyDescent="0.35">
      <c r="G219" s="412" t="s">
        <v>164</v>
      </c>
      <c r="H219" s="201">
        <f>'Normes pleine production'!B177</f>
        <v>1268.5</v>
      </c>
      <c r="I219" s="239">
        <f>IF(OR(H219=0,H219=""),0,(J219/H219)-1)</f>
        <v>0</v>
      </c>
      <c r="J219" s="439">
        <f>'Variante pleine production'!B177</f>
        <v>1268.5</v>
      </c>
    </row>
    <row r="220" spans="1:10" ht="31" x14ac:dyDescent="0.3">
      <c r="G220" s="434" t="s">
        <v>160</v>
      </c>
      <c r="H220" s="207">
        <f>'Normes pleine production'!B178</f>
        <v>9284.9</v>
      </c>
      <c r="I220" s="194">
        <f>IF(OR(H220=0,H220=""),0,(J220/H220)-1)</f>
        <v>0</v>
      </c>
      <c r="J220" s="426">
        <f>'Variante pleine production'!B178</f>
        <v>9284.9</v>
      </c>
    </row>
    <row r="221" spans="1:10" ht="24" customHeight="1" x14ac:dyDescent="0.3">
      <c r="G221" s="371"/>
      <c r="H221" s="13"/>
      <c r="I221" s="144"/>
      <c r="J221" s="403"/>
    </row>
    <row r="222" spans="1:10" x14ac:dyDescent="0.3">
      <c r="G222" s="371" t="s">
        <v>155</v>
      </c>
      <c r="H222" s="435">
        <f>'Normes pleine production'!C175</f>
        <v>0.57596743099010228</v>
      </c>
      <c r="I222" s="194"/>
      <c r="J222" s="436">
        <f>'Variante pleine production'!C175</f>
        <v>0.57596743099010228</v>
      </c>
    </row>
    <row r="223" spans="1:10" x14ac:dyDescent="0.3">
      <c r="G223" s="371" t="s">
        <v>163</v>
      </c>
      <c r="H223" s="435">
        <f>'Normes pleine production'!C176</f>
        <v>0.28741289620782129</v>
      </c>
      <c r="I223" s="203"/>
      <c r="J223" s="436">
        <f>'Variante pleine production'!C176</f>
        <v>0.28741289620782129</v>
      </c>
    </row>
    <row r="224" spans="1:10" ht="13.5" thickBot="1" x14ac:dyDescent="0.35">
      <c r="G224" s="412" t="s">
        <v>164</v>
      </c>
      <c r="H224" s="430">
        <f>'Normes pleine production'!C177</f>
        <v>0.13661967280207649</v>
      </c>
      <c r="I224" s="437"/>
      <c r="J224" s="438">
        <f>'Variante pleine production'!C177</f>
        <v>0.13661967280207649</v>
      </c>
    </row>
    <row r="225" spans="1:10" x14ac:dyDescent="0.3">
      <c r="B225" s="112"/>
    </row>
    <row r="226" spans="1:10" x14ac:dyDescent="0.3">
      <c r="B226" s="112"/>
    </row>
    <row r="227" spans="1:10" x14ac:dyDescent="0.3">
      <c r="B227" s="112"/>
      <c r="G227" s="244" t="s">
        <v>165</v>
      </c>
      <c r="H227" s="209"/>
      <c r="I227" s="209"/>
      <c r="J227" s="210"/>
    </row>
    <row r="228" spans="1:10" x14ac:dyDescent="0.3">
      <c r="B228" s="112"/>
      <c r="G228" s="433" t="s">
        <v>166</v>
      </c>
      <c r="H228" s="1091">
        <f>'Normes pleine production'!C47</f>
        <v>22</v>
      </c>
      <c r="I228" s="13"/>
      <c r="J228" s="1092">
        <f>'Variante pleine production'!C47</f>
        <v>22</v>
      </c>
    </row>
    <row r="229" spans="1:10" ht="31.65" customHeight="1" x14ac:dyDescent="0.3">
      <c r="B229" s="112"/>
      <c r="G229" s="433" t="s">
        <v>489</v>
      </c>
      <c r="H229" s="1091">
        <f>'Normes pleine production'!C48</f>
        <v>6</v>
      </c>
      <c r="I229" s="13"/>
      <c r="J229" s="1092">
        <f>'Variante pleine production'!C48</f>
        <v>6</v>
      </c>
    </row>
    <row r="230" spans="1:10" x14ac:dyDescent="0.3">
      <c r="B230" s="112"/>
      <c r="G230" s="235"/>
      <c r="H230" s="13"/>
      <c r="I230" s="13"/>
      <c r="J230" s="49"/>
    </row>
    <row r="231" spans="1:10" x14ac:dyDescent="0.3">
      <c r="B231" s="112"/>
    </row>
    <row r="232" spans="1:10" ht="17.399999999999999" customHeight="1" x14ac:dyDescent="0.3">
      <c r="B232" s="112"/>
    </row>
    <row r="233" spans="1:10" ht="23" x14ac:dyDescent="0.5">
      <c r="A233" s="1471" t="s">
        <v>169</v>
      </c>
      <c r="B233" s="1471"/>
      <c r="C233" s="1471"/>
      <c r="D233" s="1471"/>
      <c r="E233" s="1471"/>
      <c r="F233" s="1471"/>
      <c r="G233" s="1471"/>
      <c r="H233" s="1471"/>
      <c r="I233" s="1471"/>
      <c r="J233" s="1471"/>
    </row>
    <row r="234" spans="1:10" x14ac:dyDescent="0.3">
      <c r="B234" s="112"/>
    </row>
    <row r="235" spans="1:10" x14ac:dyDescent="0.3">
      <c r="B235" s="112"/>
      <c r="I235" s="66"/>
    </row>
    <row r="236" spans="1:10" x14ac:dyDescent="0.3">
      <c r="B236" s="112"/>
      <c r="I236" s="66"/>
    </row>
    <row r="237" spans="1:10" ht="13.5" thickBot="1" x14ac:dyDescent="0.35">
      <c r="B237" s="112"/>
      <c r="I237" s="66"/>
    </row>
    <row r="238" spans="1:10" ht="18.75" customHeight="1" thickBot="1" x14ac:dyDescent="0.4">
      <c r="B238" s="112"/>
      <c r="G238" s="418"/>
      <c r="H238" s="389" t="s">
        <v>110</v>
      </c>
      <c r="I238" s="390" t="s">
        <v>61</v>
      </c>
      <c r="J238" s="391" t="s">
        <v>60</v>
      </c>
    </row>
    <row r="239" spans="1:10" ht="17.399999999999999" customHeight="1" x14ac:dyDescent="0.3">
      <c r="B239" s="112"/>
      <c r="G239" s="420" t="s">
        <v>170</v>
      </c>
      <c r="H239" s="202">
        <f>'Normes pleine production'!B192</f>
        <v>15147.301136363636</v>
      </c>
      <c r="I239" s="240">
        <f>IF(OR(H239=0,H239=""),0,(J239/H239)-1)</f>
        <v>0</v>
      </c>
      <c r="J239" s="426">
        <f>'Variante pleine production'!B192</f>
        <v>15147.301136363636</v>
      </c>
    </row>
    <row r="240" spans="1:10" s="170" customFormat="1" ht="18" customHeight="1" thickBot="1" x14ac:dyDescent="0.35">
      <c r="B240" s="208"/>
      <c r="C240" s="171"/>
      <c r="D240" s="169"/>
      <c r="G240" s="440" t="s">
        <v>161</v>
      </c>
      <c r="H240" s="204">
        <f>'Normes pleine production'!B193</f>
        <v>24755.377624975965</v>
      </c>
      <c r="I240" s="239">
        <f>IF(OR(H240=0,H240=""),0,(J240/H240)-1)</f>
        <v>0</v>
      </c>
      <c r="J240" s="439">
        <f>'Variante pleine production'!B193</f>
        <v>24755.377624975965</v>
      </c>
    </row>
    <row r="241" spans="2:10" ht="31.65" customHeight="1" x14ac:dyDescent="0.3">
      <c r="B241" s="112"/>
      <c r="G241" s="395" t="s">
        <v>143</v>
      </c>
      <c r="H241" s="441">
        <f>SUM(H239:H240)</f>
        <v>39902.678761339601</v>
      </c>
      <c r="I241" s="194">
        <f>IF(OR(H241=0,H241=""),0,(J241/H241)-1)</f>
        <v>0</v>
      </c>
      <c r="J241" s="426">
        <f>SUM(J239:J240)</f>
        <v>39902.678761339601</v>
      </c>
    </row>
    <row r="242" spans="2:10" x14ac:dyDescent="0.3">
      <c r="B242" s="112"/>
      <c r="G242" s="371"/>
      <c r="H242" s="13"/>
      <c r="I242" s="144"/>
      <c r="J242" s="403"/>
    </row>
    <row r="243" spans="2:10" ht="15" customHeight="1" x14ac:dyDescent="0.3">
      <c r="B243" s="112"/>
      <c r="G243" s="428"/>
      <c r="H243" s="435"/>
      <c r="I243" s="194"/>
      <c r="J243" s="436"/>
    </row>
    <row r="244" spans="2:10" ht="17.399999999999999" customHeight="1" x14ac:dyDescent="0.3">
      <c r="B244" s="112"/>
      <c r="G244" s="428" t="str">
        <f>G239</f>
        <v>Total de la récolte</v>
      </c>
      <c r="H244" s="435">
        <f>'Normes pleine production'!C192</f>
        <v>0.37960612185864978</v>
      </c>
      <c r="I244" s="194"/>
      <c r="J244" s="436">
        <f>'Variante pleine production'!C192</f>
        <v>0.37960612185864978</v>
      </c>
    </row>
    <row r="245" spans="2:10" ht="17.399999999999999" customHeight="1" thickBot="1" x14ac:dyDescent="0.35">
      <c r="B245" s="112"/>
      <c r="G245" s="429" t="str">
        <f>G240</f>
        <v>Autres coûts de production</v>
      </c>
      <c r="H245" s="430">
        <f>'Normes pleine production'!C193</f>
        <v>0.62039387814135027</v>
      </c>
      <c r="I245" s="239"/>
      <c r="J245" s="438">
        <f>'Variante pleine production'!C193</f>
        <v>0.62039387814135027</v>
      </c>
    </row>
    <row r="246" spans="2:10" ht="26.4" customHeight="1" x14ac:dyDescent="0.3">
      <c r="B246" s="112"/>
      <c r="I246" s="66"/>
    </row>
    <row r="247" spans="2:10" x14ac:dyDescent="0.3">
      <c r="B247" s="112"/>
      <c r="I247" s="66"/>
    </row>
    <row r="248" spans="2:10" x14ac:dyDescent="0.3">
      <c r="B248" s="112"/>
      <c r="I248" s="66"/>
    </row>
    <row r="249" spans="2:10" x14ac:dyDescent="0.3">
      <c r="B249" s="112"/>
      <c r="I249" s="66"/>
    </row>
    <row r="250" spans="2:10" x14ac:dyDescent="0.3">
      <c r="B250" s="112"/>
      <c r="I250" s="66"/>
    </row>
    <row r="251" spans="2:10" x14ac:dyDescent="0.3">
      <c r="B251" s="112"/>
      <c r="I251" s="66"/>
    </row>
    <row r="252" spans="2:10" x14ac:dyDescent="0.3">
      <c r="B252" s="112"/>
      <c r="I252" s="66"/>
    </row>
    <row r="253" spans="2:10" x14ac:dyDescent="0.3">
      <c r="B253" s="112"/>
      <c r="I253" s="66"/>
    </row>
    <row r="254" spans="2:10" x14ac:dyDescent="0.3">
      <c r="B254" s="112"/>
      <c r="I254" s="66"/>
    </row>
    <row r="255" spans="2:10" x14ac:dyDescent="0.3">
      <c r="B255" s="112"/>
      <c r="I255" s="66"/>
    </row>
    <row r="256" spans="2:10" x14ac:dyDescent="0.3">
      <c r="B256" s="112"/>
      <c r="I256" s="66"/>
    </row>
    <row r="257" spans="2:10" x14ac:dyDescent="0.3">
      <c r="B257" s="112"/>
      <c r="I257" s="66"/>
    </row>
    <row r="258" spans="2:10" x14ac:dyDescent="0.3">
      <c r="B258" s="112"/>
      <c r="I258" s="66"/>
    </row>
    <row r="259" spans="2:10" x14ac:dyDescent="0.3">
      <c r="B259" s="112"/>
      <c r="I259" s="66"/>
    </row>
    <row r="260" spans="2:10" ht="13.5" thickBot="1" x14ac:dyDescent="0.35">
      <c r="B260" s="112"/>
      <c r="I260" s="66"/>
    </row>
    <row r="261" spans="2:10" ht="18.5" thickBot="1" x14ac:dyDescent="0.4">
      <c r="B261" s="112"/>
      <c r="G261" s="418"/>
      <c r="H261" s="389" t="s">
        <v>110</v>
      </c>
      <c r="I261" s="390" t="s">
        <v>61</v>
      </c>
      <c r="J261" s="391" t="s">
        <v>60</v>
      </c>
    </row>
    <row r="262" spans="2:10" x14ac:dyDescent="0.3">
      <c r="B262" s="112"/>
      <c r="G262" s="419" t="s">
        <v>163</v>
      </c>
      <c r="H262" s="202">
        <f>'Normes pleine production'!B196</f>
        <v>4330.6534090909081</v>
      </c>
      <c r="I262" s="194">
        <f>IF(OR(H262=0,H262=""),0,(J262/H262)-1)</f>
        <v>0</v>
      </c>
      <c r="J262" s="426">
        <f>'Variante pleine production'!B196</f>
        <v>4330.6534090909081</v>
      </c>
    </row>
    <row r="263" spans="2:10" ht="13.5" thickBot="1" x14ac:dyDescent="0.35">
      <c r="B263" s="112"/>
      <c r="G263" s="442" t="s">
        <v>164</v>
      </c>
      <c r="H263" s="204">
        <f>'Normes pleine production'!B197</f>
        <v>10816.647727272728</v>
      </c>
      <c r="I263" s="239">
        <f>IF(OR(H263=0,H263=""),0,(J263/H263)-1)</f>
        <v>0</v>
      </c>
      <c r="J263" s="439">
        <f>'Variante pleine production'!B197</f>
        <v>10816.647727272728</v>
      </c>
    </row>
    <row r="264" spans="2:10" ht="15.5" x14ac:dyDescent="0.35">
      <c r="B264" s="112"/>
      <c r="G264" s="443" t="s">
        <v>171</v>
      </c>
      <c r="H264" s="444">
        <f>'Normes pleine production'!B198</f>
        <v>15147.301136363636</v>
      </c>
      <c r="I264" s="194">
        <f>IF(OR(H264=0,H264=""),0,(J264/H264)-1)</f>
        <v>0</v>
      </c>
      <c r="J264" s="445">
        <f>'Variante pleine production'!B198</f>
        <v>15147.301136363636</v>
      </c>
    </row>
    <row r="265" spans="2:10" x14ac:dyDescent="0.3">
      <c r="B265" s="112"/>
      <c r="G265" s="371"/>
      <c r="H265" s="13"/>
      <c r="I265" s="194"/>
      <c r="J265" s="403"/>
    </row>
    <row r="266" spans="2:10" x14ac:dyDescent="0.3">
      <c r="B266" s="112"/>
      <c r="G266" s="371"/>
      <c r="H266" s="13"/>
      <c r="I266" s="194"/>
      <c r="J266" s="403"/>
    </row>
    <row r="267" spans="2:10" x14ac:dyDescent="0.3">
      <c r="B267" s="112"/>
      <c r="G267" s="371" t="s">
        <v>163</v>
      </c>
      <c r="H267" s="404">
        <f>'Normes pleine production'!C196</f>
        <v>0.28590264167221502</v>
      </c>
      <c r="I267" s="203"/>
      <c r="J267" s="405">
        <f>'Variante pleine production'!C196</f>
        <v>0.28590264167221502</v>
      </c>
    </row>
    <row r="268" spans="2:10" ht="18" customHeight="1" thickBot="1" x14ac:dyDescent="0.35">
      <c r="B268" s="112"/>
      <c r="G268" s="412" t="s">
        <v>164</v>
      </c>
      <c r="H268" s="407">
        <f>'Normes pleine production'!C197</f>
        <v>0.71409735832778498</v>
      </c>
      <c r="I268" s="437"/>
      <c r="J268" s="408">
        <f>'Variante pleine production'!C197</f>
        <v>0.71409735832778498</v>
      </c>
    </row>
    <row r="269" spans="2:10" ht="15.75" customHeight="1" x14ac:dyDescent="0.3">
      <c r="B269" s="112"/>
    </row>
    <row r="270" spans="2:10" ht="15.75" customHeight="1" x14ac:dyDescent="0.3">
      <c r="B270" s="112"/>
    </row>
    <row r="271" spans="2:10" ht="19.5" customHeight="1" x14ac:dyDescent="0.3">
      <c r="B271" s="112"/>
    </row>
    <row r="272" spans="2:10" x14ac:dyDescent="0.3">
      <c r="B272" s="112"/>
    </row>
    <row r="273" spans="1:10" x14ac:dyDescent="0.3">
      <c r="B273" s="112"/>
    </row>
    <row r="274" spans="1:10" ht="15.75" customHeight="1" x14ac:dyDescent="0.3">
      <c r="B274" s="112"/>
    </row>
    <row r="275" spans="1:10" ht="15.75" customHeight="1" x14ac:dyDescent="0.3">
      <c r="B275" s="112"/>
    </row>
    <row r="276" spans="1:10" x14ac:dyDescent="0.3">
      <c r="B276" s="112"/>
    </row>
    <row r="277" spans="1:10" x14ac:dyDescent="0.3">
      <c r="B277" s="112"/>
    </row>
    <row r="278" spans="1:10" x14ac:dyDescent="0.3">
      <c r="B278" s="112"/>
    </row>
    <row r="279" spans="1:10" x14ac:dyDescent="0.3">
      <c r="B279" s="112"/>
    </row>
    <row r="280" spans="1:10" x14ac:dyDescent="0.3">
      <c r="B280" s="112"/>
    </row>
    <row r="281" spans="1:10" x14ac:dyDescent="0.3">
      <c r="B281" s="112"/>
    </row>
    <row r="282" spans="1:10" x14ac:dyDescent="0.3">
      <c r="B282" s="112"/>
    </row>
    <row r="283" spans="1:10" x14ac:dyDescent="0.3">
      <c r="B283" s="112"/>
    </row>
    <row r="284" spans="1:10" x14ac:dyDescent="0.3">
      <c r="B284" s="112"/>
    </row>
    <row r="285" spans="1:10" x14ac:dyDescent="0.3">
      <c r="B285" s="112"/>
    </row>
    <row r="286" spans="1:10" x14ac:dyDescent="0.3">
      <c r="B286" s="112"/>
    </row>
    <row r="287" spans="1:10" x14ac:dyDescent="0.3">
      <c r="B287" s="112"/>
    </row>
    <row r="288" spans="1:10" ht="23" x14ac:dyDescent="0.5">
      <c r="A288" s="523" t="s">
        <v>172</v>
      </c>
      <c r="B288" s="522"/>
      <c r="C288" s="522"/>
      <c r="D288" s="522"/>
      <c r="E288" s="522"/>
      <c r="F288" s="526"/>
      <c r="G288" s="522"/>
      <c r="H288" s="522"/>
      <c r="I288" s="522"/>
      <c r="J288" s="520"/>
    </row>
  </sheetData>
  <protectedRanges>
    <protectedRange password="91C9" sqref="B7:C36 C37:C43" name="Bereich1"/>
  </protectedRanges>
  <dataConsolidate/>
  <mergeCells count="14">
    <mergeCell ref="A86:J86"/>
    <mergeCell ref="A233:J233"/>
    <mergeCell ref="A68:D68"/>
    <mergeCell ref="B1:H1"/>
    <mergeCell ref="A47:D47"/>
    <mergeCell ref="G47:J47"/>
    <mergeCell ref="F10:G10"/>
    <mergeCell ref="F9:G9"/>
    <mergeCell ref="F8:G8"/>
    <mergeCell ref="F7:G7"/>
    <mergeCell ref="A2:F3"/>
    <mergeCell ref="G68:J68"/>
    <mergeCell ref="A4:G4"/>
    <mergeCell ref="A5:G5"/>
  </mergeCells>
  <phoneticPr fontId="24" type="noConversion"/>
  <pageMargins left="0.39370078740157483" right="0.39370078740157483" top="0.59055118110236227" bottom="0.78740157480314965" header="0.51181102362204722" footer="0.51181102362204722"/>
  <pageSetup paperSize="9" scale="60" orientation="landscape" r:id="rId1"/>
  <headerFooter alignWithMargins="0"/>
  <rowBreaks count="9" manualBreakCount="9">
    <brk id="40" max="9" man="1"/>
    <brk id="65" max="9" man="1"/>
    <brk id="85" max="9" man="1"/>
    <brk id="118" max="9" man="1"/>
    <brk id="162" max="9" man="1"/>
    <brk id="211" max="9" man="1"/>
    <brk id="257" max="9" man="1"/>
    <brk id="287" max="9" man="1"/>
    <brk id="343" max="16383" man="1"/>
  </rowBreaks>
  <colBreaks count="1" manualBreakCount="1">
    <brk id="11" max="1048575" man="1"/>
  </col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ndardVorgaben">
    <tabColor indexed="10"/>
  </sheetPr>
  <dimension ref="A1:K188"/>
  <sheetViews>
    <sheetView topLeftCell="A172" zoomScale="75" zoomScaleNormal="75" workbookViewId="0">
      <selection activeCell="C188" sqref="C188"/>
    </sheetView>
  </sheetViews>
  <sheetFormatPr baseColWidth="10" defaultRowHeight="12.5" x14ac:dyDescent="0.25"/>
  <cols>
    <col min="1" max="1" width="34" customWidth="1"/>
    <col min="2" max="2" width="31.54296875" customWidth="1"/>
    <col min="3" max="3" width="18.7265625" style="90" customWidth="1"/>
    <col min="4" max="4" width="14.81640625" style="10" customWidth="1"/>
    <col min="5" max="5" width="19.26953125" style="10" customWidth="1"/>
    <col min="6" max="6" width="15.7265625" style="10" customWidth="1"/>
    <col min="7" max="7" width="18.7265625" customWidth="1"/>
    <col min="8" max="8" width="13" customWidth="1"/>
  </cols>
  <sheetData>
    <row r="1" spans="1:8" ht="44.25" customHeight="1" x14ac:dyDescent="0.5">
      <c r="A1" s="1441" t="str">
        <f>'Page variable'!A1</f>
        <v>Arbokost 2023</v>
      </c>
      <c r="B1" s="971"/>
      <c r="C1" s="766"/>
      <c r="D1" s="767"/>
      <c r="E1" s="768"/>
      <c r="F1" s="769"/>
      <c r="G1" s="770"/>
      <c r="H1" s="765"/>
    </row>
    <row r="2" spans="1:8" ht="27" customHeight="1" x14ac:dyDescent="0.5">
      <c r="A2" s="972" t="s">
        <v>442</v>
      </c>
      <c r="B2" s="804"/>
      <c r="C2" s="766"/>
      <c r="D2" s="767"/>
      <c r="E2" s="768"/>
      <c r="F2" s="769"/>
      <c r="G2" s="770"/>
      <c r="H2" s="765"/>
    </row>
    <row r="3" spans="1:8" s="1" customFormat="1" ht="48.65" customHeight="1" x14ac:dyDescent="0.25">
      <c r="A3" s="805" t="s">
        <v>173</v>
      </c>
      <c r="B3" s="1483" t="s">
        <v>490</v>
      </c>
      <c r="C3" s="1483"/>
      <c r="D3" s="1483"/>
      <c r="E3" s="1483"/>
      <c r="F3" s="1483"/>
      <c r="G3" s="1483"/>
      <c r="H3" s="1483"/>
    </row>
    <row r="4" spans="1:8" s="1" customFormat="1" ht="38.25" customHeight="1" x14ac:dyDescent="0.25">
      <c r="A4" s="1517" t="s">
        <v>708</v>
      </c>
      <c r="B4" s="1517"/>
      <c r="C4" s="1517"/>
      <c r="D4" s="1517"/>
      <c r="E4" s="1517"/>
      <c r="F4" s="1517"/>
      <c r="G4" s="1517"/>
      <c r="H4" s="1517"/>
    </row>
    <row r="5" spans="1:8" s="1" customFormat="1" ht="13.5" customHeight="1" x14ac:dyDescent="0.25">
      <c r="A5" s="144"/>
      <c r="C5" s="92"/>
      <c r="D5" s="33"/>
      <c r="E5" s="33"/>
      <c r="F5" s="33"/>
      <c r="H5" s="33"/>
    </row>
    <row r="6" spans="1:8" ht="25" x14ac:dyDescent="0.5">
      <c r="A6" s="1480" t="s">
        <v>174</v>
      </c>
      <c r="B6" s="1480"/>
      <c r="C6" s="1480"/>
      <c r="D6" s="1480"/>
      <c r="E6" s="1480"/>
      <c r="F6" s="1480"/>
      <c r="G6" s="1480"/>
      <c r="H6" s="1480"/>
    </row>
    <row r="7" spans="1:8" s="1" customFormat="1" ht="15.5" x14ac:dyDescent="0.35">
      <c r="A7" s="2" t="s">
        <v>175</v>
      </c>
      <c r="B7" s="528" t="s">
        <v>491</v>
      </c>
      <c r="C7" s="718"/>
      <c r="D7" s="18"/>
      <c r="E7" s="18"/>
      <c r="F7" s="18"/>
      <c r="G7" s="18"/>
    </row>
    <row r="8" spans="1:8" s="1" customFormat="1" ht="15.5" x14ac:dyDescent="0.35">
      <c r="A8" s="2" t="s">
        <v>176</v>
      </c>
      <c r="B8" s="528" t="s">
        <v>726</v>
      </c>
      <c r="C8" s="529" t="s">
        <v>177</v>
      </c>
      <c r="D8" s="18"/>
      <c r="E8" s="18"/>
      <c r="F8" s="18"/>
      <c r="G8" s="18"/>
    </row>
    <row r="9" spans="1:8" s="1" customFormat="1" ht="15.5" x14ac:dyDescent="0.35">
      <c r="A9" s="2" t="s">
        <v>178</v>
      </c>
      <c r="B9" s="528" t="s">
        <v>179</v>
      </c>
      <c r="C9" s="533"/>
      <c r="D9" s="18"/>
      <c r="E9" s="18"/>
      <c r="F9" s="18"/>
      <c r="G9" s="18"/>
    </row>
    <row r="10" spans="1:8" s="1" customFormat="1" ht="19.5" customHeight="1" x14ac:dyDescent="0.35">
      <c r="A10" s="2" t="s">
        <v>180</v>
      </c>
      <c r="B10" s="242">
        <f>B24</f>
        <v>2000</v>
      </c>
      <c r="C10" s="18"/>
      <c r="D10" s="127"/>
      <c r="E10" s="40"/>
    </row>
    <row r="11" spans="1:8" s="1" customFormat="1" ht="20.25" customHeight="1" x14ac:dyDescent="0.35">
      <c r="A11" s="2" t="s">
        <v>181</v>
      </c>
      <c r="B11" s="528" t="s">
        <v>476</v>
      </c>
      <c r="C11" s="529"/>
      <c r="D11" s="529"/>
      <c r="E11" s="529"/>
      <c r="F11" s="529"/>
    </row>
    <row r="12" spans="1:8" s="1" customFormat="1" ht="20.25" customHeight="1" x14ac:dyDescent="0.35">
      <c r="A12" s="2" t="s">
        <v>182</v>
      </c>
      <c r="B12" s="1485" t="s">
        <v>716</v>
      </c>
      <c r="C12" s="1485"/>
      <c r="D12" s="1485"/>
      <c r="E12" s="1485"/>
      <c r="F12" s="1485"/>
      <c r="G12" s="975"/>
    </row>
    <row r="13" spans="1:8" ht="15.5" x14ac:dyDescent="0.35">
      <c r="A13" s="2" t="s">
        <v>183</v>
      </c>
      <c r="B13" s="530" t="s">
        <v>184</v>
      </c>
      <c r="C13" s="531"/>
      <c r="D13" s="532"/>
      <c r="E13" s="533"/>
      <c r="F13" s="534"/>
      <c r="G13" s="18"/>
    </row>
    <row r="14" spans="1:8" ht="15.5" x14ac:dyDescent="0.35">
      <c r="A14" s="2" t="s">
        <v>185</v>
      </c>
      <c r="B14" s="1487" t="s">
        <v>186</v>
      </c>
      <c r="C14" s="1487"/>
      <c r="D14" s="1487"/>
      <c r="E14" s="535"/>
      <c r="F14" s="536"/>
      <c r="G14" s="1"/>
    </row>
    <row r="15" spans="1:8" ht="13" x14ac:dyDescent="0.3">
      <c r="B15" s="1"/>
      <c r="C15" s="18"/>
      <c r="D15" s="38"/>
      <c r="E15" s="18"/>
      <c r="F15" s="130"/>
      <c r="G15" s="18"/>
    </row>
    <row r="16" spans="1:8" s="1" customFormat="1" ht="18.5" thickBot="1" x14ac:dyDescent="0.45">
      <c r="A16" s="680" t="s">
        <v>187</v>
      </c>
      <c r="B16" s="681"/>
      <c r="C16" s="681"/>
      <c r="D16" s="681"/>
      <c r="E16" s="694"/>
      <c r="F16" s="694"/>
      <c r="G16" s="694"/>
      <c r="H16" s="694"/>
    </row>
    <row r="17" spans="1:6" s="1" customFormat="1" x14ac:dyDescent="0.25">
      <c r="A17" s="161"/>
      <c r="B17" s="153" t="s">
        <v>515</v>
      </c>
      <c r="C17" s="160" t="s">
        <v>452</v>
      </c>
      <c r="D17" s="135" t="s">
        <v>188</v>
      </c>
      <c r="E17" s="33"/>
      <c r="F17" s="33"/>
    </row>
    <row r="18" spans="1:6" s="1" customFormat="1" ht="13" x14ac:dyDescent="0.3">
      <c r="A18" s="162" t="s">
        <v>189</v>
      </c>
      <c r="B18" s="537">
        <v>125</v>
      </c>
      <c r="C18" s="539">
        <v>110</v>
      </c>
      <c r="D18" s="541">
        <f>1-(C20/B20)</f>
        <v>0.20799999999999996</v>
      </c>
      <c r="E18" s="33"/>
      <c r="F18" s="33"/>
    </row>
    <row r="19" spans="1:6" s="1" customFormat="1" x14ac:dyDescent="0.25">
      <c r="A19" s="162" t="s">
        <v>190</v>
      </c>
      <c r="B19" s="538">
        <v>80</v>
      </c>
      <c r="C19" s="540">
        <v>72</v>
      </c>
      <c r="D19" s="136"/>
      <c r="E19" s="33"/>
      <c r="F19" s="33"/>
    </row>
    <row r="20" spans="1:6" s="1" customFormat="1" ht="13.5" thickBot="1" x14ac:dyDescent="0.35">
      <c r="A20" s="163" t="s">
        <v>191</v>
      </c>
      <c r="B20" s="543">
        <f>B18*B19</f>
        <v>10000</v>
      </c>
      <c r="C20" s="544">
        <f>C18*C19</f>
        <v>7920</v>
      </c>
      <c r="D20" s="542">
        <f>B20-C20</f>
        <v>2080</v>
      </c>
      <c r="E20" s="33"/>
      <c r="F20" s="33"/>
    </row>
    <row r="21" spans="1:6" s="1" customFormat="1" ht="13" x14ac:dyDescent="0.3">
      <c r="A21" s="164" t="s">
        <v>192</v>
      </c>
      <c r="B21" s="85"/>
      <c r="C21" s="547">
        <v>3.5</v>
      </c>
      <c r="D21" s="154"/>
      <c r="E21" s="33"/>
      <c r="F21" s="33"/>
    </row>
    <row r="22" spans="1:6" s="1" customFormat="1" ht="13" x14ac:dyDescent="0.3">
      <c r="A22" s="164" t="s">
        <v>193</v>
      </c>
      <c r="B22" s="85"/>
      <c r="C22" s="547">
        <v>1.1000000000000001</v>
      </c>
      <c r="D22" s="154"/>
      <c r="E22" s="33"/>
      <c r="F22" s="33"/>
    </row>
    <row r="23" spans="1:6" s="1" customFormat="1" ht="13" x14ac:dyDescent="0.3">
      <c r="A23" s="164" t="s">
        <v>194</v>
      </c>
      <c r="B23" s="85"/>
      <c r="C23" s="545">
        <f>ROUND((C19/C21),0)</f>
        <v>21</v>
      </c>
      <c r="D23" s="134"/>
      <c r="E23" s="33"/>
      <c r="F23" s="33"/>
    </row>
    <row r="24" spans="1:6" s="1" customFormat="1" ht="16" thickBot="1" x14ac:dyDescent="0.4">
      <c r="A24" s="165" t="s">
        <v>195</v>
      </c>
      <c r="B24" s="1110">
        <v>2000</v>
      </c>
      <c r="C24" s="546">
        <f>ROUND(((C18/C22)+1),0)*ROUND(C23,0)</f>
        <v>2121</v>
      </c>
      <c r="D24" s="137"/>
      <c r="E24" s="33"/>
      <c r="F24" s="33"/>
    </row>
    <row r="25" spans="1:6" s="1" customFormat="1" x14ac:dyDescent="0.25">
      <c r="A25" s="18"/>
      <c r="B25" s="18"/>
      <c r="C25" s="18"/>
      <c r="D25" s="33"/>
      <c r="E25" s="33"/>
      <c r="F25" s="33"/>
    </row>
    <row r="26" spans="1:6" s="1" customFormat="1" x14ac:dyDescent="0.25">
      <c r="A26" s="18" t="s">
        <v>196</v>
      </c>
      <c r="B26" s="1041">
        <v>15</v>
      </c>
      <c r="C26" s="18"/>
      <c r="D26" s="33"/>
      <c r="E26" s="33"/>
      <c r="F26" s="33"/>
    </row>
    <row r="27" spans="1:6" s="1" customFormat="1" x14ac:dyDescent="0.25">
      <c r="A27" s="18" t="s">
        <v>197</v>
      </c>
      <c r="B27" s="1041">
        <v>3</v>
      </c>
      <c r="C27" s="18"/>
      <c r="D27" s="33"/>
      <c r="E27" s="33"/>
      <c r="F27" s="33"/>
    </row>
    <row r="28" spans="1:6" s="1" customFormat="1" ht="13" thickBot="1" x14ac:dyDescent="0.3">
      <c r="A28" s="18" t="s">
        <v>198</v>
      </c>
      <c r="B28" s="1042">
        <f>B26-B27</f>
        <v>12</v>
      </c>
      <c r="C28" s="18"/>
      <c r="D28" s="33"/>
      <c r="E28" s="33"/>
      <c r="F28" s="33"/>
    </row>
    <row r="29" spans="1:6" s="1" customFormat="1" ht="16" thickBot="1" x14ac:dyDescent="0.4">
      <c r="A29" s="152" t="s">
        <v>199</v>
      </c>
      <c r="B29" s="1042">
        <f>B28</f>
        <v>12</v>
      </c>
      <c r="C29" s="18"/>
      <c r="D29" s="33"/>
      <c r="E29" s="33"/>
      <c r="F29" s="33"/>
    </row>
    <row r="30" spans="1:6" s="1" customFormat="1" x14ac:dyDescent="0.25">
      <c r="C30" s="18"/>
      <c r="D30" s="33"/>
      <c r="E30" s="33"/>
      <c r="F30" s="33"/>
    </row>
    <row r="31" spans="1:6" s="1" customFormat="1" ht="13" x14ac:dyDescent="0.3">
      <c r="A31" s="38" t="s">
        <v>200</v>
      </c>
      <c r="B31" s="144" t="s">
        <v>201</v>
      </c>
      <c r="C31" s="772">
        <v>8.5</v>
      </c>
      <c r="D31" s="84" t="s">
        <v>492</v>
      </c>
      <c r="E31" s="18"/>
      <c r="F31" s="18"/>
    </row>
    <row r="32" spans="1:6" s="1" customFormat="1" ht="13" x14ac:dyDescent="0.3">
      <c r="A32" s="38" t="s">
        <v>202</v>
      </c>
      <c r="B32" s="144" t="s">
        <v>203</v>
      </c>
      <c r="C32" s="549">
        <v>35</v>
      </c>
      <c r="D32" s="84"/>
      <c r="E32" s="18"/>
      <c r="F32" s="18"/>
    </row>
    <row r="33" spans="1:8" s="1" customFormat="1" ht="13" x14ac:dyDescent="0.3">
      <c r="A33" s="38"/>
      <c r="B33" s="144" t="s">
        <v>204</v>
      </c>
      <c r="C33" s="549">
        <v>24</v>
      </c>
      <c r="D33" s="13"/>
      <c r="E33" s="13"/>
      <c r="F33" s="18"/>
    </row>
    <row r="34" spans="1:8" s="1" customFormat="1" ht="25.5" customHeight="1" thickBot="1" x14ac:dyDescent="0.35">
      <c r="A34" s="18"/>
      <c r="B34" s="144" t="s">
        <v>205</v>
      </c>
      <c r="C34" s="550">
        <v>21</v>
      </c>
      <c r="D34" s="1518" t="s">
        <v>494</v>
      </c>
      <c r="E34" s="1518"/>
      <c r="F34" s="773">
        <v>0.5</v>
      </c>
      <c r="G34" s="146"/>
    </row>
    <row r="35" spans="1:8" s="1" customFormat="1" ht="14" x14ac:dyDescent="0.3">
      <c r="A35" s="18"/>
      <c r="B35" s="144" t="s">
        <v>206</v>
      </c>
      <c r="C35" s="774">
        <f>(F34*C34)+(((1-F34)/2)*C33)+ (((1-F34)/2)*C32)</f>
        <v>25.25</v>
      </c>
      <c r="D35" s="11"/>
      <c r="E35" s="41"/>
      <c r="F35" s="41"/>
    </row>
    <row r="36" spans="1:8" s="1" customFormat="1" ht="14" x14ac:dyDescent="0.3">
      <c r="A36" s="18"/>
      <c r="B36" s="144" t="s">
        <v>207</v>
      </c>
      <c r="C36" s="548">
        <f>AVERAGE(C32:C33)</f>
        <v>29.5</v>
      </c>
      <c r="D36" s="11"/>
      <c r="E36" s="41"/>
      <c r="F36" s="41"/>
    </row>
    <row r="37" spans="1:8" s="1" customFormat="1" ht="14" x14ac:dyDescent="0.3">
      <c r="A37" s="18"/>
      <c r="B37" s="144" t="s">
        <v>639</v>
      </c>
      <c r="C37" s="548">
        <f>AVERAGE(C32,C34)</f>
        <v>28</v>
      </c>
      <c r="D37" s="11"/>
      <c r="E37" s="41"/>
      <c r="F37" s="41"/>
      <c r="G37" s="18"/>
    </row>
    <row r="38" spans="1:8" s="1" customFormat="1" ht="13" x14ac:dyDescent="0.3">
      <c r="A38" s="84" t="s">
        <v>493</v>
      </c>
      <c r="B38" s="18"/>
      <c r="C38" s="778">
        <v>6500</v>
      </c>
      <c r="D38" s="18"/>
      <c r="E38" s="1489" t="s">
        <v>411</v>
      </c>
      <c r="F38" s="246" t="s">
        <v>211</v>
      </c>
      <c r="G38" s="1033">
        <v>300</v>
      </c>
    </row>
    <row r="39" spans="1:8" s="1" customFormat="1" ht="13" x14ac:dyDescent="0.3">
      <c r="A39" s="38" t="s">
        <v>208</v>
      </c>
      <c r="B39" s="18"/>
      <c r="C39" s="775">
        <v>1100</v>
      </c>
      <c r="D39" s="18"/>
      <c r="E39" s="1489"/>
      <c r="F39" s="18" t="s">
        <v>212</v>
      </c>
      <c r="G39" s="777">
        <v>0.9</v>
      </c>
    </row>
    <row r="40" spans="1:8" s="1" customFormat="1" ht="13" x14ac:dyDescent="0.3">
      <c r="A40" s="38" t="s">
        <v>109</v>
      </c>
      <c r="B40" s="18"/>
      <c r="C40" s="776">
        <v>2.5000000000000001E-2</v>
      </c>
      <c r="D40" s="18"/>
      <c r="E40" s="18"/>
      <c r="F40" s="18"/>
      <c r="G40" s="18"/>
    </row>
    <row r="41" spans="1:8" ht="13" x14ac:dyDescent="0.3">
      <c r="A41" s="144" t="s">
        <v>209</v>
      </c>
      <c r="B41" s="18"/>
      <c r="C41" s="564">
        <v>0.6</v>
      </c>
      <c r="D41" s="41"/>
      <c r="E41" s="229" t="s">
        <v>213</v>
      </c>
      <c r="F41" s="246" t="str">
        <f>F38</f>
        <v>Catégorie I+II</v>
      </c>
      <c r="G41" s="777">
        <v>0</v>
      </c>
      <c r="H41" s="1"/>
    </row>
    <row r="42" spans="1:8" ht="13" x14ac:dyDescent="0.3">
      <c r="A42" s="38" t="s">
        <v>210</v>
      </c>
      <c r="B42" s="18"/>
      <c r="C42" s="779">
        <v>660</v>
      </c>
      <c r="D42" s="41"/>
      <c r="E42" s="229" t="s">
        <v>214</v>
      </c>
      <c r="F42" s="247" t="str">
        <f>F38</f>
        <v>Catégorie I+II</v>
      </c>
      <c r="G42" s="777">
        <v>0</v>
      </c>
      <c r="H42" s="1"/>
    </row>
    <row r="43" spans="1:8" ht="13" x14ac:dyDescent="0.3">
      <c r="A43" s="46"/>
      <c r="B43" s="1"/>
      <c r="C43" s="243"/>
      <c r="D43" s="41"/>
      <c r="E43" s="41"/>
      <c r="F43" s="149" t="s">
        <v>215</v>
      </c>
      <c r="G43" s="777">
        <v>0</v>
      </c>
      <c r="H43" s="1"/>
    </row>
    <row r="44" spans="1:8" ht="13" x14ac:dyDescent="0.3">
      <c r="A44" s="46"/>
      <c r="B44" s="1"/>
      <c r="C44" s="243"/>
      <c r="D44" s="33"/>
      <c r="E44" s="41"/>
      <c r="F44" s="149"/>
      <c r="G44" s="249"/>
      <c r="H44" s="1"/>
    </row>
    <row r="45" spans="1:8" ht="13" x14ac:dyDescent="0.3">
      <c r="A45" s="46"/>
      <c r="B45" s="1"/>
      <c r="C45" s="243"/>
      <c r="D45" s="33"/>
      <c r="E45" s="41"/>
      <c r="F45" s="149"/>
      <c r="G45" s="249"/>
      <c r="H45" s="1"/>
    </row>
    <row r="46" spans="1:8" s="1" customFormat="1" ht="25" x14ac:dyDescent="0.5">
      <c r="A46" s="1480" t="s">
        <v>709</v>
      </c>
      <c r="B46" s="1480"/>
      <c r="C46" s="1480"/>
      <c r="D46" s="1480"/>
      <c r="E46" s="1480"/>
      <c r="F46" s="1480"/>
      <c r="G46" s="1480"/>
      <c r="H46" s="1480"/>
    </row>
    <row r="47" spans="1:8" s="1" customFormat="1" ht="13" x14ac:dyDescent="0.3">
      <c r="A47" s="77" t="s">
        <v>216</v>
      </c>
      <c r="B47" s="178" t="s">
        <v>217</v>
      </c>
      <c r="C47" s="83" t="s">
        <v>93</v>
      </c>
      <c r="D47" s="36" t="s">
        <v>212</v>
      </c>
      <c r="E47" s="77" t="s">
        <v>54</v>
      </c>
      <c r="F47" s="77" t="s">
        <v>218</v>
      </c>
      <c r="G47" s="1043" t="s">
        <v>216</v>
      </c>
      <c r="H47" s="783"/>
    </row>
    <row r="48" spans="1:8" s="1" customFormat="1" ht="13" x14ac:dyDescent="0.3">
      <c r="A48" s="448">
        <v>1</v>
      </c>
      <c r="B48" s="1151">
        <v>1.1200000000000001</v>
      </c>
      <c r="C48" s="551">
        <v>0.45</v>
      </c>
      <c r="D48" s="551">
        <v>0.23</v>
      </c>
      <c r="E48" s="1111">
        <v>0</v>
      </c>
      <c r="F48" s="34">
        <f>E48/'Données normes'!$B$24</f>
        <v>0</v>
      </c>
      <c r="G48" s="976">
        <v>1</v>
      </c>
    </row>
    <row r="49" spans="1:7" s="1" customFormat="1" ht="13" x14ac:dyDescent="0.3">
      <c r="A49" s="448">
        <v>2</v>
      </c>
      <c r="B49" s="45">
        <f t="shared" ref="B49:C61" si="0">B48</f>
        <v>1.1200000000000001</v>
      </c>
      <c r="C49" s="45">
        <f t="shared" si="0"/>
        <v>0.45</v>
      </c>
      <c r="D49" s="45">
        <f>$D$48</f>
        <v>0.23</v>
      </c>
      <c r="E49" s="1111">
        <v>5000</v>
      </c>
      <c r="F49" s="34">
        <f>E49/'Données normes'!$B$24</f>
        <v>2.5</v>
      </c>
      <c r="G49" s="976">
        <v>2</v>
      </c>
    </row>
    <row r="50" spans="1:7" s="1" customFormat="1" ht="13" x14ac:dyDescent="0.3">
      <c r="A50" s="448">
        <v>3</v>
      </c>
      <c r="B50" s="45">
        <f t="shared" si="0"/>
        <v>1.1200000000000001</v>
      </c>
      <c r="C50" s="45">
        <f t="shared" si="0"/>
        <v>0.45</v>
      </c>
      <c r="D50" s="45">
        <f t="shared" ref="D50:D62" si="1">$D$48</f>
        <v>0.23</v>
      </c>
      <c r="E50" s="1111">
        <v>18000</v>
      </c>
      <c r="F50" s="34">
        <f>E50/'Données normes'!$B$24</f>
        <v>9</v>
      </c>
      <c r="G50" s="976">
        <v>3</v>
      </c>
    </row>
    <row r="51" spans="1:7" s="1" customFormat="1" ht="13" x14ac:dyDescent="0.3">
      <c r="A51" s="179">
        <v>4</v>
      </c>
      <c r="B51" s="45">
        <f t="shared" si="0"/>
        <v>1.1200000000000001</v>
      </c>
      <c r="C51" s="45">
        <f t="shared" si="0"/>
        <v>0.45</v>
      </c>
      <c r="D51" s="45">
        <f t="shared" si="1"/>
        <v>0.23</v>
      </c>
      <c r="E51" s="1111">
        <v>25000</v>
      </c>
      <c r="F51" s="34">
        <f>E51/'Données normes'!$B$24</f>
        <v>12.5</v>
      </c>
      <c r="G51" s="976">
        <v>4</v>
      </c>
    </row>
    <row r="52" spans="1:7" s="1" customFormat="1" ht="13" x14ac:dyDescent="0.3">
      <c r="A52" s="179">
        <v>5</v>
      </c>
      <c r="B52" s="45">
        <f t="shared" si="0"/>
        <v>1.1200000000000001</v>
      </c>
      <c r="C52" s="45">
        <f t="shared" si="0"/>
        <v>0.45</v>
      </c>
      <c r="D52" s="45">
        <f t="shared" si="1"/>
        <v>0.23</v>
      </c>
      <c r="E52" s="1111">
        <v>35000</v>
      </c>
      <c r="F52" s="34">
        <f>E52/'Données normes'!$B$24</f>
        <v>17.5</v>
      </c>
      <c r="G52" s="976">
        <v>5</v>
      </c>
    </row>
    <row r="53" spans="1:7" s="1" customFormat="1" ht="13" x14ac:dyDescent="0.3">
      <c r="A53" s="179">
        <v>6</v>
      </c>
      <c r="B53" s="45">
        <f t="shared" si="0"/>
        <v>1.1200000000000001</v>
      </c>
      <c r="C53" s="45">
        <f t="shared" si="0"/>
        <v>0.45</v>
      </c>
      <c r="D53" s="45">
        <f t="shared" si="1"/>
        <v>0.23</v>
      </c>
      <c r="E53" s="1111">
        <v>45000</v>
      </c>
      <c r="F53" s="34">
        <f>E53/'Données normes'!$B$24</f>
        <v>22.5</v>
      </c>
      <c r="G53" s="976">
        <v>6</v>
      </c>
    </row>
    <row r="54" spans="1:7" s="1" customFormat="1" ht="13" x14ac:dyDescent="0.3">
      <c r="A54" s="179">
        <v>7</v>
      </c>
      <c r="B54" s="45">
        <f t="shared" si="0"/>
        <v>1.1200000000000001</v>
      </c>
      <c r="C54" s="45">
        <f t="shared" si="0"/>
        <v>0.45</v>
      </c>
      <c r="D54" s="45">
        <f t="shared" si="1"/>
        <v>0.23</v>
      </c>
      <c r="E54" s="1111">
        <v>45000</v>
      </c>
      <c r="F54" s="34">
        <f>E54/'Données normes'!$B$24</f>
        <v>22.5</v>
      </c>
      <c r="G54" s="976">
        <v>7</v>
      </c>
    </row>
    <row r="55" spans="1:7" s="1" customFormat="1" ht="13" x14ac:dyDescent="0.3">
      <c r="A55" s="179">
        <v>8</v>
      </c>
      <c r="B55" s="45">
        <f t="shared" si="0"/>
        <v>1.1200000000000001</v>
      </c>
      <c r="C55" s="45">
        <f t="shared" si="0"/>
        <v>0.45</v>
      </c>
      <c r="D55" s="45">
        <f t="shared" si="1"/>
        <v>0.23</v>
      </c>
      <c r="E55" s="1111">
        <v>45000</v>
      </c>
      <c r="F55" s="34">
        <f>E55/'Données normes'!$B$24</f>
        <v>22.5</v>
      </c>
      <c r="G55" s="976">
        <v>8</v>
      </c>
    </row>
    <row r="56" spans="1:7" s="1" customFormat="1" ht="13" x14ac:dyDescent="0.3">
      <c r="A56" s="179">
        <v>9</v>
      </c>
      <c r="B56" s="45">
        <f t="shared" si="0"/>
        <v>1.1200000000000001</v>
      </c>
      <c r="C56" s="45">
        <f t="shared" si="0"/>
        <v>0.45</v>
      </c>
      <c r="D56" s="45">
        <f t="shared" si="1"/>
        <v>0.23</v>
      </c>
      <c r="E56" s="1111">
        <v>45000</v>
      </c>
      <c r="F56" s="34">
        <f>E56/'Données normes'!$B$24</f>
        <v>22.5</v>
      </c>
      <c r="G56" s="976">
        <v>9</v>
      </c>
    </row>
    <row r="57" spans="1:7" s="1" customFormat="1" ht="13" x14ac:dyDescent="0.3">
      <c r="A57" s="179">
        <v>10</v>
      </c>
      <c r="B57" s="45">
        <f t="shared" si="0"/>
        <v>1.1200000000000001</v>
      </c>
      <c r="C57" s="45">
        <f t="shared" si="0"/>
        <v>0.45</v>
      </c>
      <c r="D57" s="45">
        <f t="shared" si="1"/>
        <v>0.23</v>
      </c>
      <c r="E57" s="1111">
        <v>45000</v>
      </c>
      <c r="F57" s="34">
        <f>E57/'Données normes'!$B$24</f>
        <v>22.5</v>
      </c>
      <c r="G57" s="976">
        <v>10</v>
      </c>
    </row>
    <row r="58" spans="1:7" s="1" customFormat="1" ht="13" x14ac:dyDescent="0.3">
      <c r="A58" s="179">
        <v>11</v>
      </c>
      <c r="B58" s="45">
        <f t="shared" si="0"/>
        <v>1.1200000000000001</v>
      </c>
      <c r="C58" s="45">
        <f t="shared" si="0"/>
        <v>0.45</v>
      </c>
      <c r="D58" s="45">
        <f t="shared" si="1"/>
        <v>0.23</v>
      </c>
      <c r="E58" s="1111">
        <v>45000</v>
      </c>
      <c r="F58" s="34">
        <f>E58/'Données normes'!$B$24</f>
        <v>22.5</v>
      </c>
      <c r="G58" s="976">
        <v>11</v>
      </c>
    </row>
    <row r="59" spans="1:7" s="1" customFormat="1" ht="13" x14ac:dyDescent="0.3">
      <c r="A59" s="179">
        <v>12</v>
      </c>
      <c r="B59" s="45">
        <f t="shared" si="0"/>
        <v>1.1200000000000001</v>
      </c>
      <c r="C59" s="45">
        <f t="shared" si="0"/>
        <v>0.45</v>
      </c>
      <c r="D59" s="45">
        <f t="shared" si="1"/>
        <v>0.23</v>
      </c>
      <c r="E59" s="1111">
        <v>45000</v>
      </c>
      <c r="F59" s="34">
        <f>E59/'Données normes'!$B$24</f>
        <v>22.5</v>
      </c>
      <c r="G59" s="976">
        <v>12</v>
      </c>
    </row>
    <row r="60" spans="1:7" s="1" customFormat="1" ht="13" x14ac:dyDescent="0.3">
      <c r="A60" s="179">
        <v>13</v>
      </c>
      <c r="B60" s="45">
        <f t="shared" si="0"/>
        <v>1.1200000000000001</v>
      </c>
      <c r="C60" s="45">
        <f t="shared" si="0"/>
        <v>0.45</v>
      </c>
      <c r="D60" s="45">
        <f t="shared" si="1"/>
        <v>0.23</v>
      </c>
      <c r="E60" s="1111">
        <v>45000</v>
      </c>
      <c r="F60" s="34">
        <f>E60/'Données normes'!$B$24</f>
        <v>22.5</v>
      </c>
      <c r="G60" s="976">
        <v>13</v>
      </c>
    </row>
    <row r="61" spans="1:7" s="1" customFormat="1" ht="13" x14ac:dyDescent="0.3">
      <c r="A61" s="179">
        <v>14</v>
      </c>
      <c r="B61" s="45">
        <f t="shared" si="0"/>
        <v>1.1200000000000001</v>
      </c>
      <c r="C61" s="45">
        <f t="shared" si="0"/>
        <v>0.45</v>
      </c>
      <c r="D61" s="45">
        <f t="shared" si="1"/>
        <v>0.23</v>
      </c>
      <c r="E61" s="1111">
        <v>45000</v>
      </c>
      <c r="F61" s="34">
        <f>E61/'Données normes'!$B$24</f>
        <v>22.5</v>
      </c>
      <c r="G61" s="976">
        <v>14</v>
      </c>
    </row>
    <row r="62" spans="1:7" s="1" customFormat="1" ht="13" x14ac:dyDescent="0.3">
      <c r="A62" s="179">
        <v>15</v>
      </c>
      <c r="B62" s="45">
        <f>B61</f>
        <v>1.1200000000000001</v>
      </c>
      <c r="C62" s="45">
        <f>C61</f>
        <v>0.45</v>
      </c>
      <c r="D62" s="45">
        <f t="shared" si="1"/>
        <v>0.23</v>
      </c>
      <c r="E62" s="1111">
        <v>45000</v>
      </c>
      <c r="F62" s="34">
        <f>E62/'Données normes'!$B$24</f>
        <v>22.5</v>
      </c>
      <c r="G62" s="976">
        <v>15</v>
      </c>
    </row>
    <row r="63" spans="1:7" s="1" customFormat="1" ht="13" x14ac:dyDescent="0.3">
      <c r="A63" s="47" t="s">
        <v>219</v>
      </c>
      <c r="B63"/>
      <c r="C63"/>
      <c r="E63" s="61">
        <f>SUM(E48:E50)</f>
        <v>23000</v>
      </c>
      <c r="F63" s="76">
        <f>SUM(F48:F50)</f>
        <v>11.5</v>
      </c>
    </row>
    <row r="64" spans="1:7" s="1" customFormat="1" ht="25.5" x14ac:dyDescent="0.3">
      <c r="A64" s="1044" t="s">
        <v>220</v>
      </c>
      <c r="B64"/>
      <c r="C64"/>
      <c r="E64" s="61">
        <f>SUM(E48:E62)</f>
        <v>533000</v>
      </c>
      <c r="F64" s="76">
        <f>SUM(F48:F62)</f>
        <v>266.5</v>
      </c>
    </row>
    <row r="65" spans="1:9" s="1" customFormat="1" ht="13" x14ac:dyDescent="0.3">
      <c r="A65" s="47" t="s">
        <v>221</v>
      </c>
      <c r="B65" s="552">
        <f>AVERAGE(B51:B62)</f>
        <v>1.1200000000000003</v>
      </c>
      <c r="C65" s="552">
        <f>AVERAGE(C51:C62)</f>
        <v>0.45000000000000012</v>
      </c>
      <c r="D65" s="552">
        <f>AVERAGE(D51:D62)</f>
        <v>0.23</v>
      </c>
      <c r="E65" s="61">
        <f>AVERAGE(E51:E62)</f>
        <v>42500</v>
      </c>
      <c r="F65" s="76">
        <f>AVERAGE(F51:F62)</f>
        <v>21.25</v>
      </c>
    </row>
    <row r="66" spans="1:9" s="1" customFormat="1" ht="13" x14ac:dyDescent="0.3">
      <c r="A66" s="253" t="s">
        <v>222</v>
      </c>
      <c r="B66" s="552">
        <f>AVERAGE(B48:B62)</f>
        <v>1.1200000000000006</v>
      </c>
      <c r="C66" s="552">
        <f>AVERAGE(C48:C62)</f>
        <v>0.45000000000000012</v>
      </c>
      <c r="D66" s="552">
        <f>AVERAGE(D48:D62)</f>
        <v>0.23</v>
      </c>
      <c r="E66" s="61">
        <f>AVERAGE(E48:E62)</f>
        <v>35533.333333333336</v>
      </c>
      <c r="F66" s="76">
        <f>AVERAGE(F48:F62)</f>
        <v>17.766666666666666</v>
      </c>
      <c r="G66" s="553">
        <v>0</v>
      </c>
    </row>
    <row r="67" spans="1:9" s="1" customFormat="1" ht="13" x14ac:dyDescent="0.3">
      <c r="B67" s="75"/>
      <c r="C67" s="75"/>
      <c r="D67" s="75"/>
      <c r="E67" s="61"/>
      <c r="F67" s="76"/>
    </row>
    <row r="68" spans="1:9" s="1" customFormat="1" ht="32.4" customHeight="1" x14ac:dyDescent="0.5">
      <c r="A68" s="1480" t="s">
        <v>516</v>
      </c>
      <c r="B68" s="1480"/>
      <c r="C68" s="1480"/>
      <c r="D68" s="1480"/>
      <c r="E68" s="1480"/>
      <c r="F68" s="1480"/>
      <c r="G68" s="1480"/>
      <c r="H68" s="1480"/>
    </row>
    <row r="69" spans="1:9" s="1" customFormat="1" ht="13" x14ac:dyDescent="0.3">
      <c r="A69" s="787"/>
      <c r="B69" s="788"/>
      <c r="C69" s="785"/>
      <c r="D69" s="1488" t="s">
        <v>212</v>
      </c>
      <c r="E69" s="1488"/>
      <c r="F69" s="789"/>
      <c r="G69" s="1493" t="s">
        <v>223</v>
      </c>
      <c r="H69" s="1493"/>
    </row>
    <row r="70" spans="1:9" s="1" customFormat="1" ht="13" x14ac:dyDescent="0.3">
      <c r="A70" s="784" t="s">
        <v>216</v>
      </c>
      <c r="B70" s="785" t="s">
        <v>224</v>
      </c>
      <c r="C70" s="785" t="s">
        <v>225</v>
      </c>
      <c r="D70" s="91" t="s">
        <v>226</v>
      </c>
      <c r="E70" s="91" t="s">
        <v>227</v>
      </c>
      <c r="F70" s="786"/>
      <c r="G70" s="83" t="s">
        <v>228</v>
      </c>
      <c r="H70" s="83" t="s">
        <v>229</v>
      </c>
    </row>
    <row r="71" spans="1:9" s="1" customFormat="1" ht="13" x14ac:dyDescent="0.3">
      <c r="A71" s="251">
        <v>1</v>
      </c>
      <c r="B71" s="558">
        <v>0.7</v>
      </c>
      <c r="C71" s="558">
        <v>0.2</v>
      </c>
      <c r="D71" s="558">
        <v>0.05</v>
      </c>
      <c r="E71" s="558">
        <v>0.05</v>
      </c>
      <c r="F71" s="60">
        <f>D71+E71</f>
        <v>0.1</v>
      </c>
      <c r="G71" s="559">
        <v>110</v>
      </c>
      <c r="H71" s="559">
        <v>300</v>
      </c>
      <c r="I71" s="1112"/>
    </row>
    <row r="72" spans="1:9" s="1" customFormat="1" ht="13" x14ac:dyDescent="0.3">
      <c r="A72" s="251">
        <v>2</v>
      </c>
      <c r="B72" s="60">
        <f>B71</f>
        <v>0.7</v>
      </c>
      <c r="C72" s="60">
        <f>C71</f>
        <v>0.2</v>
      </c>
      <c r="D72" s="60">
        <f>D71</f>
        <v>0.05</v>
      </c>
      <c r="E72" s="60">
        <f>E71</f>
        <v>0.05</v>
      </c>
      <c r="F72" s="129">
        <f>$F$71</f>
        <v>0.1</v>
      </c>
      <c r="G72" s="250">
        <f>G71</f>
        <v>110</v>
      </c>
      <c r="H72" s="250">
        <f>H71</f>
        <v>300</v>
      </c>
      <c r="I72" s="1112"/>
    </row>
    <row r="73" spans="1:9" s="1" customFormat="1" ht="13" x14ac:dyDescent="0.3">
      <c r="A73" s="251">
        <v>3</v>
      </c>
      <c r="B73" s="60">
        <f>B71</f>
        <v>0.7</v>
      </c>
      <c r="C73" s="60">
        <f>C71</f>
        <v>0.2</v>
      </c>
      <c r="D73" s="60">
        <f>D71</f>
        <v>0.05</v>
      </c>
      <c r="E73" s="60">
        <f>E71</f>
        <v>0.05</v>
      </c>
      <c r="F73" s="129">
        <f t="shared" ref="F73:F85" si="2">$F$71</f>
        <v>0.1</v>
      </c>
      <c r="G73" s="250">
        <f>G71</f>
        <v>110</v>
      </c>
      <c r="H73" s="250">
        <f>H71</f>
        <v>300</v>
      </c>
      <c r="I73" s="1112"/>
    </row>
    <row r="74" spans="1:9" s="1" customFormat="1" ht="13" x14ac:dyDescent="0.3">
      <c r="A74" s="251">
        <v>4</v>
      </c>
      <c r="B74" s="60">
        <f>B71</f>
        <v>0.7</v>
      </c>
      <c r="C74" s="60">
        <f>C71</f>
        <v>0.2</v>
      </c>
      <c r="D74" s="60">
        <f>D71</f>
        <v>0.05</v>
      </c>
      <c r="E74" s="60">
        <f>E71</f>
        <v>0.05</v>
      </c>
      <c r="F74" s="129">
        <f t="shared" si="2"/>
        <v>0.1</v>
      </c>
      <c r="G74" s="250">
        <f>G71</f>
        <v>110</v>
      </c>
      <c r="H74" s="250">
        <f>H71</f>
        <v>300</v>
      </c>
      <c r="I74" s="1112"/>
    </row>
    <row r="75" spans="1:9" s="1" customFormat="1" ht="13" x14ac:dyDescent="0.3">
      <c r="A75" s="252">
        <v>5</v>
      </c>
      <c r="B75" s="60">
        <f>B71</f>
        <v>0.7</v>
      </c>
      <c r="C75" s="60">
        <f>C71</f>
        <v>0.2</v>
      </c>
      <c r="D75" s="60">
        <f>D71</f>
        <v>0.05</v>
      </c>
      <c r="E75" s="60">
        <f>E71</f>
        <v>0.05</v>
      </c>
      <c r="F75" s="129">
        <f t="shared" si="2"/>
        <v>0.1</v>
      </c>
      <c r="G75" s="250">
        <f>G71</f>
        <v>110</v>
      </c>
      <c r="H75" s="250">
        <f>H71</f>
        <v>300</v>
      </c>
      <c r="I75" s="1112"/>
    </row>
    <row r="76" spans="1:9" s="1" customFormat="1" ht="13" x14ac:dyDescent="0.3">
      <c r="A76" s="252">
        <v>6</v>
      </c>
      <c r="B76" s="60">
        <f>B75</f>
        <v>0.7</v>
      </c>
      <c r="C76" s="60">
        <f>C75</f>
        <v>0.2</v>
      </c>
      <c r="D76" s="60">
        <f>D71</f>
        <v>0.05</v>
      </c>
      <c r="E76" s="60">
        <f>E71</f>
        <v>0.05</v>
      </c>
      <c r="F76" s="129">
        <f t="shared" si="2"/>
        <v>0.1</v>
      </c>
      <c r="G76" s="250">
        <f>G71</f>
        <v>110</v>
      </c>
      <c r="H76" s="250">
        <f>H71</f>
        <v>300</v>
      </c>
      <c r="I76" s="1112"/>
    </row>
    <row r="77" spans="1:9" s="1" customFormat="1" ht="13" x14ac:dyDescent="0.3">
      <c r="A77" s="252">
        <v>7</v>
      </c>
      <c r="B77" s="60">
        <f>B75</f>
        <v>0.7</v>
      </c>
      <c r="C77" s="60">
        <f>C75</f>
        <v>0.2</v>
      </c>
      <c r="D77" s="60">
        <f>D71</f>
        <v>0.05</v>
      </c>
      <c r="E77" s="60">
        <f>E71</f>
        <v>0.05</v>
      </c>
      <c r="F77" s="129">
        <f t="shared" si="2"/>
        <v>0.1</v>
      </c>
      <c r="G77" s="250">
        <f>G71</f>
        <v>110</v>
      </c>
      <c r="H77" s="250">
        <f>H71</f>
        <v>300</v>
      </c>
      <c r="I77" s="1112"/>
    </row>
    <row r="78" spans="1:9" s="1" customFormat="1" ht="13" x14ac:dyDescent="0.3">
      <c r="A78" s="252">
        <v>8</v>
      </c>
      <c r="B78" s="60">
        <f>B75</f>
        <v>0.7</v>
      </c>
      <c r="C78" s="60">
        <f>C75</f>
        <v>0.2</v>
      </c>
      <c r="D78" s="60">
        <f>D71</f>
        <v>0.05</v>
      </c>
      <c r="E78" s="60">
        <f>E71</f>
        <v>0.05</v>
      </c>
      <c r="F78" s="129">
        <f t="shared" si="2"/>
        <v>0.1</v>
      </c>
      <c r="G78" s="250">
        <f>G71</f>
        <v>110</v>
      </c>
      <c r="H78" s="250">
        <f>H71</f>
        <v>300</v>
      </c>
      <c r="I78" s="1112"/>
    </row>
    <row r="79" spans="1:9" s="1" customFormat="1" ht="13" x14ac:dyDescent="0.3">
      <c r="A79" s="252">
        <v>9</v>
      </c>
      <c r="B79" s="60">
        <f>B71</f>
        <v>0.7</v>
      </c>
      <c r="C79" s="60">
        <f>C71</f>
        <v>0.2</v>
      </c>
      <c r="D79" s="60">
        <f>D71</f>
        <v>0.05</v>
      </c>
      <c r="E79" s="60">
        <f>E71</f>
        <v>0.05</v>
      </c>
      <c r="F79" s="129">
        <f t="shared" si="2"/>
        <v>0.1</v>
      </c>
      <c r="G79" s="250">
        <f>G71</f>
        <v>110</v>
      </c>
      <c r="H79" s="250">
        <f>H71</f>
        <v>300</v>
      </c>
      <c r="I79" s="1112"/>
    </row>
    <row r="80" spans="1:9" s="1" customFormat="1" ht="13" x14ac:dyDescent="0.3">
      <c r="A80" s="252">
        <v>10</v>
      </c>
      <c r="B80" s="558">
        <v>0.65</v>
      </c>
      <c r="C80" s="558">
        <v>0.25</v>
      </c>
      <c r="D80" s="60">
        <f>D71</f>
        <v>0.05</v>
      </c>
      <c r="E80" s="60">
        <f>E71</f>
        <v>0.05</v>
      </c>
      <c r="F80" s="129">
        <f t="shared" si="2"/>
        <v>0.1</v>
      </c>
      <c r="G80" s="250">
        <f>G71</f>
        <v>110</v>
      </c>
      <c r="H80" s="250">
        <f>H71</f>
        <v>300</v>
      </c>
      <c r="I80" s="1112"/>
    </row>
    <row r="81" spans="1:9" s="1" customFormat="1" ht="13" x14ac:dyDescent="0.3">
      <c r="A81" s="252">
        <v>11</v>
      </c>
      <c r="B81" s="60">
        <f>B80</f>
        <v>0.65</v>
      </c>
      <c r="C81" s="60">
        <f>C80</f>
        <v>0.25</v>
      </c>
      <c r="D81" s="60">
        <f>D71</f>
        <v>0.05</v>
      </c>
      <c r="E81" s="60">
        <f>E71</f>
        <v>0.05</v>
      </c>
      <c r="F81" s="129">
        <f t="shared" si="2"/>
        <v>0.1</v>
      </c>
      <c r="G81" s="250">
        <f>G71</f>
        <v>110</v>
      </c>
      <c r="H81" s="250">
        <f>H71</f>
        <v>300</v>
      </c>
      <c r="I81" s="1112"/>
    </row>
    <row r="82" spans="1:9" s="1" customFormat="1" ht="13" x14ac:dyDescent="0.3">
      <c r="A82" s="252">
        <v>12</v>
      </c>
      <c r="B82" s="60">
        <f>B80</f>
        <v>0.65</v>
      </c>
      <c r="C82" s="60">
        <f>C80</f>
        <v>0.25</v>
      </c>
      <c r="D82" s="60">
        <f>D71</f>
        <v>0.05</v>
      </c>
      <c r="E82" s="60">
        <f>E71</f>
        <v>0.05</v>
      </c>
      <c r="F82" s="129">
        <f t="shared" si="2"/>
        <v>0.1</v>
      </c>
      <c r="G82" s="250">
        <f>G71</f>
        <v>110</v>
      </c>
      <c r="H82" s="250">
        <f>H71</f>
        <v>300</v>
      </c>
      <c r="I82" s="1112"/>
    </row>
    <row r="83" spans="1:9" s="1" customFormat="1" ht="13" x14ac:dyDescent="0.3">
      <c r="A83" s="252">
        <v>13</v>
      </c>
      <c r="B83" s="558">
        <v>0.6</v>
      </c>
      <c r="C83" s="558">
        <v>0.3</v>
      </c>
      <c r="D83" s="60">
        <f>D71</f>
        <v>0.05</v>
      </c>
      <c r="E83" s="60">
        <f>E71</f>
        <v>0.05</v>
      </c>
      <c r="F83" s="129">
        <f t="shared" si="2"/>
        <v>0.1</v>
      </c>
      <c r="G83" s="250">
        <f>G71</f>
        <v>110</v>
      </c>
      <c r="H83" s="250">
        <f>H71</f>
        <v>300</v>
      </c>
      <c r="I83" s="1112"/>
    </row>
    <row r="84" spans="1:9" s="1" customFormat="1" ht="13" x14ac:dyDescent="0.3">
      <c r="A84" s="252">
        <v>14</v>
      </c>
      <c r="B84" s="60">
        <f>B83</f>
        <v>0.6</v>
      </c>
      <c r="C84" s="60">
        <f>C83</f>
        <v>0.3</v>
      </c>
      <c r="D84" s="60">
        <f>D71</f>
        <v>0.05</v>
      </c>
      <c r="E84" s="60">
        <f>E71</f>
        <v>0.05</v>
      </c>
      <c r="F84" s="129">
        <f t="shared" si="2"/>
        <v>0.1</v>
      </c>
      <c r="G84" s="250">
        <f>G71</f>
        <v>110</v>
      </c>
      <c r="H84" s="250">
        <f>H71</f>
        <v>300</v>
      </c>
      <c r="I84" s="1112"/>
    </row>
    <row r="85" spans="1:9" s="1" customFormat="1" ht="13" x14ac:dyDescent="0.3">
      <c r="A85" s="252">
        <v>15</v>
      </c>
      <c r="B85" s="60">
        <f>B83</f>
        <v>0.6</v>
      </c>
      <c r="C85" s="60">
        <f>C83</f>
        <v>0.3</v>
      </c>
      <c r="D85" s="60">
        <f>D71</f>
        <v>0.05</v>
      </c>
      <c r="E85" s="60">
        <f>E71</f>
        <v>0.05</v>
      </c>
      <c r="F85" s="129">
        <f t="shared" si="2"/>
        <v>0.1</v>
      </c>
      <c r="G85" s="250">
        <f>G71</f>
        <v>110</v>
      </c>
      <c r="H85" s="250">
        <f>H71</f>
        <v>300</v>
      </c>
      <c r="I85" s="1112"/>
    </row>
    <row r="86" spans="1:9" s="1" customFormat="1" ht="13" x14ac:dyDescent="0.3">
      <c r="A86" s="47" t="s">
        <v>221</v>
      </c>
      <c r="B86" s="554">
        <f t="shared" ref="B86:H86" si="3">AVERAGE(B74:B85)</f>
        <v>0.66249999999999998</v>
      </c>
      <c r="C86" s="554">
        <f t="shared" si="3"/>
        <v>0.23749999999999996</v>
      </c>
      <c r="D86" s="554">
        <f t="shared" si="3"/>
        <v>4.9999999999999996E-2</v>
      </c>
      <c r="E86" s="554">
        <f t="shared" si="3"/>
        <v>4.9999999999999996E-2</v>
      </c>
      <c r="F86" s="554">
        <f t="shared" si="3"/>
        <v>9.9999999999999992E-2</v>
      </c>
      <c r="G86" s="555">
        <f t="shared" si="3"/>
        <v>110</v>
      </c>
      <c r="H86" s="555">
        <f t="shared" si="3"/>
        <v>300</v>
      </c>
      <c r="I86" s="1112"/>
    </row>
    <row r="87" spans="1:9" s="1" customFormat="1" ht="13" x14ac:dyDescent="0.3">
      <c r="A87" s="253" t="s">
        <v>222</v>
      </c>
      <c r="B87" s="556">
        <f t="shared" ref="B87:H87" si="4">AVERAGE(B71:B85)</f>
        <v>0.67</v>
      </c>
      <c r="C87" s="556">
        <f t="shared" si="4"/>
        <v>0.22999999999999995</v>
      </c>
      <c r="D87" s="556">
        <f t="shared" si="4"/>
        <v>5.000000000000001E-2</v>
      </c>
      <c r="E87" s="556">
        <f t="shared" si="4"/>
        <v>5.000000000000001E-2</v>
      </c>
      <c r="F87" s="556">
        <f t="shared" si="4"/>
        <v>0.10000000000000002</v>
      </c>
      <c r="G87" s="557">
        <f t="shared" si="4"/>
        <v>110</v>
      </c>
      <c r="H87" s="557">
        <f t="shared" si="4"/>
        <v>300</v>
      </c>
      <c r="I87" s="1112"/>
    </row>
    <row r="88" spans="1:9" s="1" customFormat="1" ht="13" x14ac:dyDescent="0.3">
      <c r="B88" s="75"/>
      <c r="C88" s="75"/>
      <c r="D88" s="75"/>
      <c r="E88" s="61"/>
      <c r="F88" s="76"/>
    </row>
    <row r="89" spans="1:9" s="1" customFormat="1" ht="32.4" customHeight="1" x14ac:dyDescent="0.5">
      <c r="A89" s="1480" t="s">
        <v>432</v>
      </c>
      <c r="B89" s="1480"/>
      <c r="C89" s="1480"/>
      <c r="D89" s="1480"/>
      <c r="E89" s="1480"/>
      <c r="F89" s="1480"/>
      <c r="G89" s="1480"/>
      <c r="H89" s="1480"/>
    </row>
    <row r="90" spans="1:9" s="1" customFormat="1" ht="22.5" customHeight="1" x14ac:dyDescent="0.65">
      <c r="A90" s="225"/>
      <c r="B90" s="265"/>
      <c r="C90" s="265"/>
      <c r="D90" s="1494" t="s">
        <v>230</v>
      </c>
      <c r="E90" s="1486" t="s">
        <v>231</v>
      </c>
      <c r="F90" s="266"/>
      <c r="G90" s="114"/>
      <c r="H90" s="157"/>
    </row>
    <row r="91" spans="1:9" s="1" customFormat="1" ht="29.25" customHeight="1" x14ac:dyDescent="0.25">
      <c r="B91" s="213" t="s">
        <v>454</v>
      </c>
      <c r="C91" s="213" t="s">
        <v>232</v>
      </c>
      <c r="D91" s="1494"/>
      <c r="E91" s="1486"/>
      <c r="F91" s="254" t="s">
        <v>233</v>
      </c>
      <c r="G91" s="144" t="s">
        <v>150</v>
      </c>
    </row>
    <row r="92" spans="1:9" s="1" customFormat="1" ht="13" thickBot="1" x14ac:dyDescent="0.3">
      <c r="B92" s="140" t="s">
        <v>234</v>
      </c>
      <c r="C92" s="140" t="s">
        <v>234</v>
      </c>
      <c r="D92" s="140" t="s">
        <v>234</v>
      </c>
      <c r="E92" s="140" t="s">
        <v>234</v>
      </c>
      <c r="F92" s="140" t="s">
        <v>234</v>
      </c>
      <c r="G92" s="140" t="s">
        <v>234</v>
      </c>
    </row>
    <row r="93" spans="1:9" s="1" customFormat="1" ht="13" x14ac:dyDescent="0.3">
      <c r="A93" s="72" t="s">
        <v>198</v>
      </c>
      <c r="B93" s="668">
        <v>5</v>
      </c>
      <c r="C93" s="668">
        <v>10</v>
      </c>
      <c r="D93" s="668">
        <v>100</v>
      </c>
      <c r="E93" s="668">
        <v>70</v>
      </c>
      <c r="F93" s="670">
        <v>30</v>
      </c>
      <c r="G93" s="671">
        <v>10</v>
      </c>
    </row>
    <row r="94" spans="1:9" s="1" customFormat="1" ht="15" x14ac:dyDescent="0.3">
      <c r="A94" s="1" t="s">
        <v>235</v>
      </c>
      <c r="B94" s="669">
        <v>5</v>
      </c>
      <c r="C94" s="669">
        <v>10</v>
      </c>
      <c r="D94" s="669">
        <v>100</v>
      </c>
      <c r="E94" s="669">
        <v>0</v>
      </c>
      <c r="F94" s="670">
        <v>10</v>
      </c>
      <c r="G94" s="671">
        <v>10</v>
      </c>
    </row>
    <row r="95" spans="1:9" s="1" customFormat="1" ht="15" x14ac:dyDescent="0.3">
      <c r="A95" s="1" t="s">
        <v>236</v>
      </c>
      <c r="B95" s="669">
        <v>5</v>
      </c>
      <c r="C95" s="669">
        <v>10</v>
      </c>
      <c r="D95" s="669">
        <v>100</v>
      </c>
      <c r="E95" s="669">
        <v>20</v>
      </c>
      <c r="F95" s="670">
        <v>10</v>
      </c>
      <c r="G95" s="671">
        <v>10</v>
      </c>
    </row>
    <row r="96" spans="1:9" s="1" customFormat="1" ht="15" x14ac:dyDescent="0.3">
      <c r="A96" s="1" t="s">
        <v>237</v>
      </c>
      <c r="B96" s="138" t="s">
        <v>238</v>
      </c>
      <c r="C96" s="138"/>
      <c r="D96" s="138"/>
      <c r="E96" s="138"/>
      <c r="F96" s="76"/>
    </row>
    <row r="97" spans="1:8" s="1" customFormat="1" ht="13" x14ac:dyDescent="0.3">
      <c r="B97" s="138"/>
      <c r="C97" s="138"/>
      <c r="D97" s="138"/>
      <c r="E97" s="138"/>
      <c r="F97" s="76"/>
    </row>
    <row r="98" spans="1:8" x14ac:dyDescent="0.25">
      <c r="G98" s="1"/>
    </row>
    <row r="99" spans="1:8" s="1" customFormat="1" ht="25" x14ac:dyDescent="0.5">
      <c r="A99" s="1480" t="s">
        <v>710</v>
      </c>
      <c r="B99" s="1480"/>
      <c r="C99" s="1480"/>
      <c r="D99" s="1480"/>
      <c r="E99" s="1480"/>
      <c r="F99" s="1480"/>
      <c r="G99" s="1480"/>
      <c r="H99" s="1480"/>
    </row>
    <row r="100" spans="1:8" ht="22.65" customHeight="1" x14ac:dyDescent="0.35">
      <c r="A100" s="1"/>
      <c r="B100" s="264" t="s">
        <v>239</v>
      </c>
      <c r="C100" s="977" t="s">
        <v>722</v>
      </c>
      <c r="D100" s="215" t="s">
        <v>86</v>
      </c>
      <c r="E100" s="215" t="s">
        <v>87</v>
      </c>
      <c r="G100" s="1"/>
    </row>
    <row r="101" spans="1:8" ht="13" x14ac:dyDescent="0.3">
      <c r="A101" s="279" t="s">
        <v>240</v>
      </c>
      <c r="B101" s="719">
        <v>0.42</v>
      </c>
      <c r="C101" s="719">
        <v>0.85</v>
      </c>
      <c r="D101" s="159"/>
      <c r="E101" s="159"/>
      <c r="G101" s="1"/>
    </row>
    <row r="102" spans="1:8" x14ac:dyDescent="0.25">
      <c r="A102" s="139"/>
      <c r="B102" s="720"/>
      <c r="C102" s="720"/>
      <c r="D102" s="66"/>
      <c r="G102" s="1"/>
    </row>
    <row r="103" spans="1:8" ht="13" x14ac:dyDescent="0.3">
      <c r="A103" s="272" t="s">
        <v>470</v>
      </c>
      <c r="B103" s="721">
        <v>0</v>
      </c>
      <c r="C103" s="721">
        <v>0</v>
      </c>
      <c r="D103" s="103"/>
      <c r="G103" s="1"/>
    </row>
    <row r="104" spans="1:8" x14ac:dyDescent="0.25">
      <c r="A104" s="66"/>
      <c r="B104" s="529"/>
      <c r="C104" s="722"/>
      <c r="G104" s="1"/>
    </row>
    <row r="105" spans="1:8" ht="15" x14ac:dyDescent="0.3">
      <c r="A105" s="72" t="s">
        <v>241</v>
      </c>
      <c r="B105" s="721">
        <v>50</v>
      </c>
      <c r="C105" s="721">
        <v>50</v>
      </c>
      <c r="D105" s="103"/>
      <c r="G105" s="1"/>
    </row>
    <row r="106" spans="1:8" x14ac:dyDescent="0.25">
      <c r="A106" s="108" t="s">
        <v>165</v>
      </c>
      <c r="B106" s="527">
        <v>0</v>
      </c>
      <c r="C106" s="527">
        <v>0</v>
      </c>
      <c r="D106" s="103"/>
      <c r="G106" s="1"/>
    </row>
    <row r="107" spans="1:8" ht="15" x14ac:dyDescent="0.3">
      <c r="A107" s="72" t="s">
        <v>242</v>
      </c>
      <c r="B107" s="721">
        <v>100</v>
      </c>
      <c r="C107" s="721">
        <v>125</v>
      </c>
      <c r="D107" s="103"/>
      <c r="G107" s="1"/>
    </row>
    <row r="108" spans="1:8" x14ac:dyDescent="0.25">
      <c r="A108" s="108" t="s">
        <v>165</v>
      </c>
      <c r="B108" s="527">
        <v>1</v>
      </c>
      <c r="C108" s="527">
        <v>0</v>
      </c>
      <c r="D108" s="103"/>
      <c r="G108" s="1"/>
    </row>
    <row r="109" spans="1:8" ht="15" x14ac:dyDescent="0.3">
      <c r="A109" s="72" t="s">
        <v>243</v>
      </c>
      <c r="B109" s="721">
        <v>150</v>
      </c>
      <c r="C109" s="721">
        <v>200</v>
      </c>
      <c r="D109" s="103"/>
      <c r="G109" s="1"/>
    </row>
    <row r="110" spans="1:8" x14ac:dyDescent="0.25">
      <c r="A110" s="108" t="s">
        <v>165</v>
      </c>
      <c r="B110" s="527">
        <v>1</v>
      </c>
      <c r="C110" s="527">
        <v>1</v>
      </c>
      <c r="D110" s="103"/>
      <c r="G110" s="1"/>
    </row>
    <row r="111" spans="1:8" ht="13" x14ac:dyDescent="0.3">
      <c r="A111" s="272" t="s">
        <v>198</v>
      </c>
      <c r="B111" s="721">
        <v>200</v>
      </c>
      <c r="C111" s="721">
        <v>250</v>
      </c>
      <c r="D111" s="103"/>
      <c r="G111" s="1"/>
    </row>
    <row r="112" spans="1:8" x14ac:dyDescent="0.25">
      <c r="A112" s="108" t="s">
        <v>165</v>
      </c>
      <c r="B112" s="527">
        <v>1</v>
      </c>
      <c r="C112" s="527">
        <v>1</v>
      </c>
      <c r="D112" s="103"/>
      <c r="G112" s="1"/>
    </row>
    <row r="113" spans="1:11" x14ac:dyDescent="0.25">
      <c r="A113" s="1"/>
      <c r="G113" s="1"/>
    </row>
    <row r="114" spans="1:11" s="1" customFormat="1" ht="25" x14ac:dyDescent="0.5">
      <c r="A114" s="1480" t="s">
        <v>711</v>
      </c>
      <c r="B114" s="1480"/>
      <c r="C114" s="1480"/>
      <c r="D114" s="1480"/>
      <c r="E114" s="1480"/>
      <c r="F114" s="1480"/>
      <c r="G114" s="1480"/>
      <c r="H114" s="1480"/>
    </row>
    <row r="115" spans="1:11" s="1" customFormat="1" ht="20" x14ac:dyDescent="0.4">
      <c r="A115" s="309"/>
      <c r="B115" s="1464" t="s">
        <v>414</v>
      </c>
      <c r="C115" s="560" t="s">
        <v>417</v>
      </c>
      <c r="D115" s="1467" t="s">
        <v>718</v>
      </c>
      <c r="E115" s="560"/>
      <c r="F115" s="560"/>
      <c r="G115" s="560"/>
    </row>
    <row r="116" spans="1:11" s="1" customFormat="1" ht="20.5" thickBot="1" x14ac:dyDescent="0.45">
      <c r="A116" s="309"/>
      <c r="B116" s="140" t="s">
        <v>53</v>
      </c>
      <c r="C116" s="140" t="s">
        <v>53</v>
      </c>
      <c r="D116" s="140" t="s">
        <v>53</v>
      </c>
      <c r="E116" s="560"/>
      <c r="F116" s="560"/>
      <c r="G116" s="560"/>
      <c r="I116"/>
      <c r="J116"/>
    </row>
    <row r="117" spans="1:11" ht="13" x14ac:dyDescent="0.3">
      <c r="A117" s="144" t="s">
        <v>167</v>
      </c>
      <c r="B117" s="1468">
        <v>1209</v>
      </c>
      <c r="C117" s="1468">
        <v>1209</v>
      </c>
      <c r="D117" s="1468">
        <v>2844</v>
      </c>
      <c r="E117" s="39"/>
      <c r="F117" s="39"/>
      <c r="G117" s="39"/>
      <c r="H117" s="463"/>
    </row>
    <row r="118" spans="1:11" ht="13" x14ac:dyDescent="0.3">
      <c r="A118" s="144" t="s">
        <v>719</v>
      </c>
      <c r="B118" s="1468">
        <v>0</v>
      </c>
      <c r="C118" s="1468">
        <v>0</v>
      </c>
      <c r="D118" s="1468">
        <v>1057</v>
      </c>
      <c r="E118" s="18"/>
      <c r="F118" s="18"/>
      <c r="G118" s="18"/>
      <c r="H118" s="463"/>
      <c r="K118" s="13"/>
    </row>
    <row r="119" spans="1:11" ht="13" x14ac:dyDescent="0.3">
      <c r="A119" s="144" t="s">
        <v>246</v>
      </c>
      <c r="B119" s="1468">
        <v>491</v>
      </c>
      <c r="C119" s="1468">
        <v>491</v>
      </c>
      <c r="D119" s="1468">
        <v>1241</v>
      </c>
      <c r="E119" s="1446"/>
      <c r="F119" s="1446"/>
      <c r="G119" s="1446"/>
      <c r="H119" s="463"/>
      <c r="K119" s="13"/>
    </row>
    <row r="120" spans="1:11" ht="13" x14ac:dyDescent="0.3">
      <c r="A120" s="144" t="s">
        <v>168</v>
      </c>
      <c r="B120" s="1468">
        <v>0</v>
      </c>
      <c r="C120" s="1468">
        <v>0</v>
      </c>
      <c r="D120" s="1468">
        <v>430</v>
      </c>
      <c r="E120" s="39"/>
      <c r="F120" s="39"/>
      <c r="G120" s="39"/>
      <c r="H120" s="463"/>
      <c r="K120" s="13"/>
    </row>
    <row r="121" spans="1:11" ht="13" x14ac:dyDescent="0.3">
      <c r="A121" s="144" t="s">
        <v>720</v>
      </c>
      <c r="B121" s="1468">
        <v>0</v>
      </c>
      <c r="C121" s="1468">
        <v>0</v>
      </c>
      <c r="D121" s="1468">
        <v>10</v>
      </c>
      <c r="E121" s="39"/>
      <c r="F121" s="39"/>
      <c r="G121" s="39"/>
      <c r="H121" s="463"/>
      <c r="K121" s="13"/>
    </row>
    <row r="122" spans="1:11" ht="13" x14ac:dyDescent="0.3">
      <c r="A122" s="144" t="s">
        <v>721</v>
      </c>
      <c r="B122" s="1468">
        <v>0</v>
      </c>
      <c r="C122" s="1468">
        <v>0</v>
      </c>
      <c r="D122" s="1468">
        <v>360</v>
      </c>
      <c r="E122" s="39"/>
      <c r="F122" s="39"/>
      <c r="G122" s="39"/>
      <c r="H122" s="463"/>
      <c r="K122" s="13"/>
    </row>
    <row r="123" spans="1:11" ht="13" x14ac:dyDescent="0.3">
      <c r="A123" s="144" t="s">
        <v>724</v>
      </c>
      <c r="B123" s="1469">
        <v>6</v>
      </c>
      <c r="C123" s="1469">
        <v>6</v>
      </c>
      <c r="D123" s="1469">
        <v>22</v>
      </c>
      <c r="E123" s="39"/>
      <c r="F123" s="39"/>
      <c r="G123" s="39"/>
      <c r="H123" s="463"/>
      <c r="K123" s="13"/>
    </row>
    <row r="124" spans="1:11" s="1" customFormat="1" ht="15.5" customHeight="1" x14ac:dyDescent="0.25">
      <c r="A124" s="144" t="s">
        <v>723</v>
      </c>
      <c r="B124" s="527">
        <v>2</v>
      </c>
      <c r="C124" s="527">
        <v>2</v>
      </c>
      <c r="D124" s="527">
        <v>6</v>
      </c>
      <c r="E124" s="33"/>
      <c r="F124" s="33"/>
    </row>
    <row r="125" spans="1:11" ht="25" x14ac:dyDescent="0.5">
      <c r="A125" s="1480" t="s">
        <v>704</v>
      </c>
      <c r="B125" s="1480"/>
      <c r="C125" s="1480"/>
      <c r="D125" s="1480"/>
      <c r="E125" s="1480"/>
      <c r="F125" s="1480"/>
      <c r="G125" s="1480"/>
      <c r="H125" s="1480"/>
    </row>
    <row r="126" spans="1:11" ht="13" x14ac:dyDescent="0.3">
      <c r="A126" s="1482"/>
      <c r="B126" s="1482"/>
      <c r="D126" s="11"/>
      <c r="E126" s="11"/>
      <c r="F126" s="11"/>
      <c r="G126" s="13"/>
    </row>
    <row r="127" spans="1:11" x14ac:dyDescent="0.25">
      <c r="A127" s="1492" t="s">
        <v>496</v>
      </c>
      <c r="B127" s="1492"/>
      <c r="C127" s="1492"/>
      <c r="D127" s="11"/>
      <c r="E127" s="11"/>
      <c r="F127" s="11"/>
      <c r="G127" s="13"/>
    </row>
    <row r="128" spans="1:11" x14ac:dyDescent="0.25">
      <c r="A128" s="66"/>
      <c r="B128" s="144"/>
      <c r="C128" s="89"/>
      <c r="D128" s="11"/>
      <c r="E128" s="11"/>
      <c r="F128" s="11"/>
    </row>
    <row r="129" spans="1:9" ht="14" x14ac:dyDescent="0.3">
      <c r="B129" s="793" t="s">
        <v>247</v>
      </c>
      <c r="C129" s="11"/>
      <c r="D129" s="11"/>
      <c r="E129" s="11"/>
      <c r="F129" s="13"/>
      <c r="G129" s="13"/>
      <c r="H129" s="13"/>
    </row>
    <row r="130" spans="1:9" ht="18" customHeight="1" x14ac:dyDescent="0.3">
      <c r="A130" s="613" t="s">
        <v>248</v>
      </c>
      <c r="B130" s="84" t="s">
        <v>249</v>
      </c>
      <c r="C130" s="89"/>
      <c r="D130" s="248">
        <f>D143</f>
        <v>41</v>
      </c>
      <c r="E130" s="11"/>
      <c r="F130" s="791" t="s">
        <v>250</v>
      </c>
      <c r="G130" s="13"/>
      <c r="H130" s="613">
        <v>0.25</v>
      </c>
    </row>
    <row r="131" spans="1:9" ht="18" customHeight="1" x14ac:dyDescent="0.3">
      <c r="A131" s="751"/>
      <c r="B131" s="84"/>
      <c r="C131" s="89"/>
      <c r="D131" s="89"/>
      <c r="E131" s="107"/>
      <c r="F131" s="11"/>
      <c r="G131" s="111"/>
      <c r="H131" s="13"/>
    </row>
    <row r="132" spans="1:9" x14ac:dyDescent="0.25">
      <c r="A132" s="144"/>
      <c r="B132" s="144"/>
      <c r="C132" s="117" t="s">
        <v>266</v>
      </c>
      <c r="D132" s="300" t="s">
        <v>267</v>
      </c>
      <c r="E132" s="91" t="s">
        <v>244</v>
      </c>
      <c r="F132" s="91" t="s">
        <v>550</v>
      </c>
      <c r="G132" s="83" t="s">
        <v>551</v>
      </c>
      <c r="H132" s="91" t="s">
        <v>552</v>
      </c>
    </row>
    <row r="133" spans="1:9" ht="25.5" x14ac:dyDescent="0.3">
      <c r="A133" s="1481" t="s">
        <v>251</v>
      </c>
      <c r="B133" s="144" t="s">
        <v>166</v>
      </c>
      <c r="C133" s="561">
        <v>1</v>
      </c>
      <c r="D133" s="79">
        <f t="shared" ref="D133:D139" si="5">H133</f>
        <v>50.3</v>
      </c>
      <c r="E133" s="260" t="s">
        <v>270</v>
      </c>
      <c r="F133" s="551">
        <v>39.32</v>
      </c>
      <c r="G133" s="551">
        <v>11.01</v>
      </c>
      <c r="H133" s="259">
        <f>ROUND(F133+G133,1)</f>
        <v>50.3</v>
      </c>
      <c r="I133" s="463"/>
    </row>
    <row r="134" spans="1:9" ht="25.5" x14ac:dyDescent="0.3">
      <c r="A134" s="1481"/>
      <c r="B134" s="144" t="s">
        <v>489</v>
      </c>
      <c r="C134" s="561">
        <v>1</v>
      </c>
      <c r="D134" s="1458">
        <v>69</v>
      </c>
      <c r="E134" s="260" t="s">
        <v>271</v>
      </c>
      <c r="F134" s="551"/>
      <c r="G134" s="551">
        <v>13</v>
      </c>
      <c r="H134" s="259">
        <f t="shared" ref="H134:H139" si="6">ROUND(F134+G134,1)</f>
        <v>13</v>
      </c>
      <c r="I134" s="903"/>
    </row>
    <row r="135" spans="1:9" ht="25.5" x14ac:dyDescent="0.3">
      <c r="A135" s="1481"/>
      <c r="B135" s="144" t="s">
        <v>252</v>
      </c>
      <c r="C135" s="561">
        <v>1</v>
      </c>
      <c r="D135" s="1458">
        <v>18</v>
      </c>
      <c r="E135" s="260" t="s">
        <v>272</v>
      </c>
      <c r="F135" s="551"/>
      <c r="G135" s="551">
        <v>9</v>
      </c>
      <c r="H135" s="259">
        <f t="shared" si="6"/>
        <v>9</v>
      </c>
      <c r="I135" s="463"/>
    </row>
    <row r="136" spans="1:9" ht="13" x14ac:dyDescent="0.3">
      <c r="A136" s="1481"/>
      <c r="B136" s="144" t="s">
        <v>253</v>
      </c>
      <c r="C136" s="1045">
        <v>960</v>
      </c>
      <c r="D136" s="79">
        <f t="shared" si="5"/>
        <v>11.2</v>
      </c>
      <c r="E136" s="1046">
        <v>4</v>
      </c>
      <c r="F136" s="551">
        <v>9.69</v>
      </c>
      <c r="G136" s="551">
        <v>1.54</v>
      </c>
      <c r="H136" s="259">
        <f>ROUND(F136+G136,1)</f>
        <v>11.2</v>
      </c>
      <c r="I136" s="463"/>
    </row>
    <row r="137" spans="1:9" ht="25.5" x14ac:dyDescent="0.3">
      <c r="A137" s="1481"/>
      <c r="B137" s="281" t="s">
        <v>254</v>
      </c>
      <c r="C137" s="561">
        <v>1</v>
      </c>
      <c r="D137" s="79">
        <f t="shared" si="5"/>
        <v>62.2</v>
      </c>
      <c r="E137" s="41">
        <v>7</v>
      </c>
      <c r="F137" s="551">
        <v>39.47</v>
      </c>
      <c r="G137" s="551">
        <v>22.68</v>
      </c>
      <c r="H137" s="259">
        <f t="shared" si="6"/>
        <v>62.2</v>
      </c>
      <c r="I137" s="463"/>
    </row>
    <row r="138" spans="1:9" ht="13" x14ac:dyDescent="0.3">
      <c r="A138" s="1481"/>
      <c r="B138" s="144" t="s">
        <v>255</v>
      </c>
      <c r="C138" s="561">
        <v>2</v>
      </c>
      <c r="D138" s="79">
        <f t="shared" si="5"/>
        <v>75.7</v>
      </c>
      <c r="E138" s="41">
        <v>1</v>
      </c>
      <c r="F138" s="551">
        <v>45.46</v>
      </c>
      <c r="G138" s="551">
        <v>30.2</v>
      </c>
      <c r="H138" s="259">
        <f t="shared" si="6"/>
        <v>75.7</v>
      </c>
      <c r="I138" s="463"/>
    </row>
    <row r="139" spans="1:9" ht="13" x14ac:dyDescent="0.3">
      <c r="A139" s="1481"/>
      <c r="B139" s="144" t="s">
        <v>497</v>
      </c>
      <c r="C139" s="258">
        <f>'Normes pleine production'!D51/4</f>
        <v>10.514322916666666</v>
      </c>
      <c r="D139" s="79">
        <f t="shared" si="5"/>
        <v>19.100000000000001</v>
      </c>
      <c r="E139" s="41" t="s">
        <v>52</v>
      </c>
      <c r="F139" s="551">
        <v>15.69</v>
      </c>
      <c r="G139" s="551">
        <v>3.45</v>
      </c>
      <c r="H139" s="259">
        <f t="shared" si="6"/>
        <v>19.100000000000001</v>
      </c>
      <c r="I139" s="463"/>
    </row>
    <row r="140" spans="1:9" x14ac:dyDescent="0.25">
      <c r="A140" s="1481"/>
      <c r="B140" s="144" t="s">
        <v>256</v>
      </c>
      <c r="C140" s="89"/>
      <c r="D140" s="1047">
        <v>350</v>
      </c>
      <c r="E140" s="41"/>
      <c r="F140" s="259"/>
      <c r="G140" s="259"/>
      <c r="H140" s="259"/>
    </row>
    <row r="141" spans="1:9" ht="13" x14ac:dyDescent="0.3">
      <c r="A141" s="84"/>
      <c r="B141" s="144"/>
      <c r="C141" s="258"/>
      <c r="D141" s="89"/>
      <c r="E141" s="11"/>
      <c r="F141" s="125"/>
      <c r="G141" s="125"/>
      <c r="H141" s="125"/>
    </row>
    <row r="142" spans="1:9" ht="17.399999999999999" customHeight="1" x14ac:dyDescent="0.3">
      <c r="A142" s="46"/>
      <c r="B142" s="793" t="s">
        <v>459</v>
      </c>
      <c r="C142" s="117" t="s">
        <v>58</v>
      </c>
      <c r="D142" s="91" t="s">
        <v>52</v>
      </c>
      <c r="E142" s="91"/>
      <c r="F142" s="786" t="s">
        <v>273</v>
      </c>
      <c r="G142" s="786" t="s">
        <v>274</v>
      </c>
      <c r="H142" s="91" t="s">
        <v>89</v>
      </c>
    </row>
    <row r="143" spans="1:9" ht="13" x14ac:dyDescent="0.3">
      <c r="A143" s="613" t="s">
        <v>248</v>
      </c>
      <c r="B143" s="84" t="s">
        <v>257</v>
      </c>
      <c r="C143" s="258" t="s">
        <v>455</v>
      </c>
      <c r="D143" s="1459">
        <v>41</v>
      </c>
      <c r="E143" s="11"/>
      <c r="F143" s="683"/>
      <c r="G143" s="683">
        <v>17.64</v>
      </c>
      <c r="H143" s="259"/>
      <c r="I143" s="463"/>
    </row>
    <row r="144" spans="1:9" ht="13" x14ac:dyDescent="0.3">
      <c r="A144" s="1481" t="s">
        <v>251</v>
      </c>
      <c r="B144" s="144" t="s">
        <v>258</v>
      </c>
      <c r="C144" s="564">
        <v>3.8</v>
      </c>
      <c r="D144" s="1460">
        <v>23</v>
      </c>
      <c r="E144" s="11"/>
      <c r="F144" s="269"/>
      <c r="G144" s="269">
        <f>35.5/C144</f>
        <v>9.3421052631578956</v>
      </c>
      <c r="H144" s="259"/>
      <c r="I144" s="463"/>
    </row>
    <row r="145" spans="1:9" ht="13" x14ac:dyDescent="0.3">
      <c r="A145" s="1481"/>
      <c r="B145" s="144" t="s">
        <v>259</v>
      </c>
      <c r="C145" s="564">
        <v>1.8</v>
      </c>
      <c r="D145" s="1460">
        <v>51.6</v>
      </c>
      <c r="E145" s="11"/>
      <c r="F145" s="269"/>
      <c r="G145" s="269">
        <f>33.7/C145</f>
        <v>18.722222222222225</v>
      </c>
      <c r="H145" s="259"/>
      <c r="I145" s="463"/>
    </row>
    <row r="146" spans="1:9" ht="13" x14ac:dyDescent="0.3">
      <c r="A146" s="1481"/>
      <c r="B146" s="144" t="s">
        <v>260</v>
      </c>
      <c r="C146" s="564">
        <v>1.6</v>
      </c>
      <c r="D146" s="1460">
        <v>90</v>
      </c>
      <c r="E146" s="11"/>
      <c r="F146" s="269"/>
      <c r="G146" s="269">
        <f>11.66/C146</f>
        <v>7.2874999999999996</v>
      </c>
      <c r="H146" s="259"/>
      <c r="I146" s="463"/>
    </row>
    <row r="147" spans="1:9" ht="13" x14ac:dyDescent="0.3">
      <c r="A147" s="1481"/>
      <c r="B147" s="144" t="s">
        <v>261</v>
      </c>
      <c r="C147" s="1085">
        <v>0.1</v>
      </c>
      <c r="D147" s="1460">
        <v>13.9</v>
      </c>
      <c r="E147" s="11"/>
      <c r="F147" s="563"/>
      <c r="G147" s="563">
        <v>2.0499999999999998</v>
      </c>
      <c r="H147" s="259"/>
      <c r="I147" s="463"/>
    </row>
    <row r="148" spans="1:9" ht="13" x14ac:dyDescent="0.3">
      <c r="A148" s="1481"/>
      <c r="B148" s="144" t="s">
        <v>262</v>
      </c>
      <c r="C148" s="261"/>
      <c r="D148" s="1460">
        <v>22.8</v>
      </c>
      <c r="E148" s="11"/>
      <c r="F148" s="563"/>
      <c r="G148" s="563">
        <v>3.15</v>
      </c>
      <c r="H148" s="259"/>
      <c r="I148" s="463"/>
    </row>
    <row r="149" spans="1:9" x14ac:dyDescent="0.25">
      <c r="A149" s="1481"/>
      <c r="B149" s="144" t="s">
        <v>263</v>
      </c>
      <c r="C149" s="261" t="s">
        <v>456</v>
      </c>
      <c r="D149" s="565">
        <v>150</v>
      </c>
      <c r="E149" s="11"/>
      <c r="F149" s="259"/>
      <c r="G149" s="259"/>
      <c r="H149" s="259"/>
      <c r="I149" s="456"/>
    </row>
    <row r="150" spans="1:9" ht="25" x14ac:dyDescent="0.25">
      <c r="A150" s="1481"/>
      <c r="B150" s="281" t="s">
        <v>264</v>
      </c>
      <c r="C150" s="261"/>
      <c r="D150" s="262">
        <f>D139</f>
        <v>19.100000000000001</v>
      </c>
      <c r="E150" s="11"/>
      <c r="F150" s="259"/>
      <c r="G150" s="259"/>
      <c r="H150" s="259"/>
    </row>
    <row r="151" spans="1:9" x14ac:dyDescent="0.25">
      <c r="A151" s="1481"/>
      <c r="B151" s="144" t="s">
        <v>265</v>
      </c>
      <c r="C151" s="89"/>
      <c r="D151" s="792">
        <v>220</v>
      </c>
      <c r="E151" s="11"/>
      <c r="F151" s="259"/>
      <c r="G151" s="259"/>
      <c r="H151" s="125"/>
    </row>
    <row r="152" spans="1:9" x14ac:dyDescent="0.25">
      <c r="H152" s="116"/>
    </row>
    <row r="153" spans="1:9" ht="25" x14ac:dyDescent="0.5">
      <c r="A153" s="1480" t="s">
        <v>275</v>
      </c>
      <c r="B153" s="1480"/>
      <c r="C153" s="1480"/>
      <c r="D153" s="1480"/>
      <c r="E153" s="1480"/>
      <c r="F153" s="1480"/>
      <c r="G153" s="1480"/>
      <c r="H153" s="1480"/>
    </row>
    <row r="154" spans="1:9" x14ac:dyDescent="0.25">
      <c r="C154" s="166" t="s">
        <v>276</v>
      </c>
      <c r="D154" s="36" t="s">
        <v>65</v>
      </c>
    </row>
    <row r="155" spans="1:9" ht="50.5" x14ac:dyDescent="0.3">
      <c r="A155" s="46" t="s">
        <v>277</v>
      </c>
      <c r="B155" s="167" t="s">
        <v>425</v>
      </c>
      <c r="C155" s="460">
        <v>10</v>
      </c>
      <c r="D155" s="527">
        <v>15</v>
      </c>
      <c r="E155" s="126"/>
    </row>
    <row r="156" spans="1:9" ht="18" customHeight="1" x14ac:dyDescent="0.25">
      <c r="B156" t="s">
        <v>278</v>
      </c>
      <c r="C156" s="572">
        <v>0</v>
      </c>
      <c r="D156" s="573">
        <v>15</v>
      </c>
      <c r="E156" s="33"/>
    </row>
    <row r="157" spans="1:9" x14ac:dyDescent="0.25">
      <c r="C157" s="263">
        <f>SUM(C155:C156)</f>
        <v>10</v>
      </c>
      <c r="D157" s="264">
        <f>((C155*D155)+(C156*D156))/C157</f>
        <v>15</v>
      </c>
      <c r="E157" s="33"/>
    </row>
    <row r="158" spans="1:9" ht="13.5" thickBot="1" x14ac:dyDescent="0.35">
      <c r="A158" s="46" t="s">
        <v>154</v>
      </c>
      <c r="C158" s="92"/>
      <c r="D158" s="33"/>
      <c r="E158" s="140" t="s">
        <v>281</v>
      </c>
    </row>
    <row r="159" spans="1:9" x14ac:dyDescent="0.25">
      <c r="B159" t="s">
        <v>279</v>
      </c>
      <c r="C159" s="92"/>
      <c r="D159" s="33"/>
      <c r="E159" s="574">
        <v>200</v>
      </c>
      <c r="G159" s="10"/>
    </row>
    <row r="160" spans="1:9" x14ac:dyDescent="0.25">
      <c r="B160" t="s">
        <v>280</v>
      </c>
      <c r="C160" s="92"/>
      <c r="D160" s="33"/>
      <c r="E160" s="988">
        <v>400</v>
      </c>
    </row>
    <row r="161" spans="1:8" x14ac:dyDescent="0.25">
      <c r="E161" s="275">
        <f>SUM(E159:E160)</f>
        <v>600</v>
      </c>
    </row>
    <row r="162" spans="1:8" ht="25" x14ac:dyDescent="0.5">
      <c r="A162" s="1480" t="s">
        <v>712</v>
      </c>
      <c r="B162" s="1480"/>
      <c r="C162" s="1480"/>
      <c r="D162" s="1480"/>
      <c r="E162" s="1480"/>
      <c r="F162" s="1480"/>
      <c r="G162" s="1480"/>
      <c r="H162" s="1480"/>
    </row>
    <row r="163" spans="1:8" ht="13" x14ac:dyDescent="0.3">
      <c r="A163" s="13"/>
      <c r="B163" s="13"/>
      <c r="C163" s="785" t="s">
        <v>244</v>
      </c>
      <c r="D163" s="785" t="s">
        <v>338</v>
      </c>
      <c r="E163" s="785" t="s">
        <v>339</v>
      </c>
      <c r="F163" s="41"/>
    </row>
    <row r="164" spans="1:8" ht="13" x14ac:dyDescent="0.3">
      <c r="A164" s="69" t="s">
        <v>155</v>
      </c>
      <c r="B164" s="18" t="s">
        <v>329</v>
      </c>
      <c r="C164" s="799"/>
      <c r="D164" s="551">
        <v>6.9</v>
      </c>
      <c r="E164" s="41"/>
      <c r="F164" s="459"/>
    </row>
    <row r="165" spans="1:8" ht="13" x14ac:dyDescent="0.3">
      <c r="A165" s="13"/>
      <c r="B165" s="18" t="s">
        <v>330</v>
      </c>
      <c r="C165" s="44"/>
      <c r="D165" s="551">
        <v>9.6</v>
      </c>
      <c r="E165" s="41"/>
      <c r="F165" s="459"/>
    </row>
    <row r="166" spans="1:8" ht="13" x14ac:dyDescent="0.3">
      <c r="A166" s="13"/>
      <c r="B166" s="18" t="s">
        <v>331</v>
      </c>
      <c r="C166" s="44"/>
      <c r="D166" s="551">
        <v>15.5</v>
      </c>
      <c r="E166" s="41"/>
      <c r="F166" s="459"/>
    </row>
    <row r="167" spans="1:8" ht="16.5" customHeight="1" x14ac:dyDescent="0.3">
      <c r="A167" s="13"/>
      <c r="B167" s="18" t="s">
        <v>332</v>
      </c>
      <c r="C167" s="577">
        <v>6</v>
      </c>
      <c r="D167" s="551">
        <v>19.8</v>
      </c>
      <c r="E167" s="41"/>
      <c r="F167" s="459"/>
    </row>
    <row r="168" spans="1:8" ht="15" customHeight="1" x14ac:dyDescent="0.3">
      <c r="A168" s="13"/>
      <c r="B168" s="18" t="s">
        <v>333</v>
      </c>
      <c r="C168" s="577">
        <v>2</v>
      </c>
      <c r="D168" s="551">
        <v>200</v>
      </c>
      <c r="E168" s="41"/>
      <c r="F168" s="459"/>
    </row>
    <row r="169" spans="1:8" ht="13" x14ac:dyDescent="0.3">
      <c r="A169" s="13"/>
      <c r="B169" s="18" t="s">
        <v>334</v>
      </c>
      <c r="C169" s="800"/>
      <c r="D169" s="551">
        <v>4.0999999999999996</v>
      </c>
      <c r="E169" s="41"/>
      <c r="F169" s="459"/>
    </row>
    <row r="170" spans="1:8" ht="13" x14ac:dyDescent="0.3">
      <c r="A170" s="13"/>
      <c r="B170" s="18" t="s">
        <v>289</v>
      </c>
      <c r="C170" s="570">
        <v>3</v>
      </c>
      <c r="D170" s="551">
        <v>11.95</v>
      </c>
      <c r="E170" s="41"/>
      <c r="F170" s="459"/>
    </row>
    <row r="171" spans="1:8" ht="25" x14ac:dyDescent="0.25">
      <c r="A171" s="13"/>
      <c r="B171" s="1036" t="s">
        <v>517</v>
      </c>
      <c r="C171" s="44" t="s">
        <v>340</v>
      </c>
      <c r="D171" s="558">
        <v>0.25</v>
      </c>
      <c r="E171" s="41"/>
      <c r="F171" s="33"/>
    </row>
    <row r="172" spans="1:8" x14ac:dyDescent="0.25">
      <c r="A172" s="13"/>
      <c r="B172" s="18" t="s">
        <v>335</v>
      </c>
      <c r="C172" s="44" t="s">
        <v>341</v>
      </c>
      <c r="D172" s="558">
        <v>1</v>
      </c>
      <c r="E172" s="41"/>
      <c r="F172" s="33"/>
    </row>
    <row r="173" spans="1:8" x14ac:dyDescent="0.25">
      <c r="A173" s="18"/>
      <c r="B173" s="18" t="s">
        <v>336</v>
      </c>
      <c r="C173" s="44"/>
      <c r="D173" s="60"/>
      <c r="E173" s="802">
        <v>300</v>
      </c>
      <c r="F173" s="33"/>
    </row>
    <row r="174" spans="1:8" x14ac:dyDescent="0.25">
      <c r="A174" s="13"/>
      <c r="B174" s="13"/>
      <c r="C174" s="94"/>
      <c r="D174" s="33"/>
      <c r="E174" s="33"/>
      <c r="F174" s="33"/>
    </row>
    <row r="175" spans="1:8" ht="13" x14ac:dyDescent="0.3">
      <c r="A175" s="38" t="s">
        <v>164</v>
      </c>
      <c r="B175" s="13"/>
      <c r="C175" s="797" t="s">
        <v>309</v>
      </c>
      <c r="D175" s="33"/>
      <c r="E175" s="33"/>
      <c r="F175" s="33"/>
    </row>
    <row r="176" spans="1:8" ht="13" x14ac:dyDescent="0.3">
      <c r="A176" s="13"/>
      <c r="B176" s="18" t="s">
        <v>337</v>
      </c>
      <c r="C176" s="673">
        <v>70</v>
      </c>
      <c r="D176" s="33"/>
      <c r="E176" s="33"/>
      <c r="F176" s="459"/>
    </row>
    <row r="177" spans="1:8" ht="25.5" customHeight="1" x14ac:dyDescent="0.5">
      <c r="A177" s="1480" t="s">
        <v>518</v>
      </c>
      <c r="B177" s="1480"/>
      <c r="C177" s="1480"/>
      <c r="D177" s="1480"/>
      <c r="E177" s="1480"/>
      <c r="F177" s="1480"/>
      <c r="G177" s="1480"/>
      <c r="H177" s="1480"/>
    </row>
    <row r="178" spans="1:8" ht="17.399999999999999" customHeight="1" x14ac:dyDescent="0.25">
      <c r="B178" t="s">
        <v>519</v>
      </c>
      <c r="C178" s="460">
        <v>0</v>
      </c>
    </row>
    <row r="179" spans="1:8" x14ac:dyDescent="0.25">
      <c r="B179" t="s">
        <v>520</v>
      </c>
      <c r="C179" s="572">
        <v>0</v>
      </c>
      <c r="D179" s="92"/>
    </row>
    <row r="180" spans="1:8" x14ac:dyDescent="0.25">
      <c r="B180" t="s">
        <v>541</v>
      </c>
      <c r="C180" s="460">
        <f>SUM(C178:C179)</f>
        <v>0</v>
      </c>
      <c r="D180" s="92"/>
    </row>
    <row r="181" spans="1:8" ht="25" x14ac:dyDescent="0.5">
      <c r="A181" s="1480" t="s">
        <v>521</v>
      </c>
      <c r="B181" s="1480"/>
      <c r="C181" s="1480"/>
      <c r="D181" s="1480"/>
      <c r="E181" s="1480"/>
      <c r="F181" s="1480"/>
      <c r="G181" s="1480"/>
      <c r="H181" s="1480"/>
    </row>
    <row r="182" spans="1:8" x14ac:dyDescent="0.25">
      <c r="B182" t="s">
        <v>563</v>
      </c>
      <c r="C182" s="1402">
        <v>0</v>
      </c>
    </row>
    <row r="183" spans="1:8" x14ac:dyDescent="0.25">
      <c r="B183" t="s">
        <v>681</v>
      </c>
      <c r="C183" s="460">
        <v>1</v>
      </c>
    </row>
    <row r="184" spans="1:8" x14ac:dyDescent="0.25">
      <c r="B184" t="s">
        <v>682</v>
      </c>
      <c r="C184" s="460">
        <v>0</v>
      </c>
    </row>
    <row r="185" spans="1:8" x14ac:dyDescent="0.25">
      <c r="B185" t="s">
        <v>683</v>
      </c>
      <c r="C185" s="460">
        <v>0</v>
      </c>
    </row>
    <row r="186" spans="1:8" x14ac:dyDescent="0.25">
      <c r="B186" t="s">
        <v>692</v>
      </c>
      <c r="C186" s="460">
        <f>SUM(C183:C185)</f>
        <v>1</v>
      </c>
    </row>
    <row r="187" spans="1:8" ht="25" x14ac:dyDescent="0.5">
      <c r="A187" s="1480" t="s">
        <v>684</v>
      </c>
      <c r="B187" s="1480"/>
      <c r="C187" s="1480"/>
      <c r="D187" s="1480"/>
      <c r="E187" s="1480"/>
      <c r="F187" s="1480"/>
      <c r="G187" s="1480"/>
      <c r="H187" s="1480"/>
    </row>
    <row r="188" spans="1:8" x14ac:dyDescent="0.25">
      <c r="B188" t="s">
        <v>685</v>
      </c>
      <c r="C188" s="1436">
        <f>C178+C183+C184+C185</f>
        <v>1</v>
      </c>
      <c r="D188"/>
      <c r="E188"/>
      <c r="F188"/>
    </row>
  </sheetData>
  <mergeCells count="26">
    <mergeCell ref="A46:H46"/>
    <mergeCell ref="E38:E39"/>
    <mergeCell ref="D34:E34"/>
    <mergeCell ref="A133:A140"/>
    <mergeCell ref="A125:H125"/>
    <mergeCell ref="A126:B126"/>
    <mergeCell ref="A127:C127"/>
    <mergeCell ref="A68:H68"/>
    <mergeCell ref="D69:E69"/>
    <mergeCell ref="G69:H69"/>
    <mergeCell ref="D90:D91"/>
    <mergeCell ref="E90:E91"/>
    <mergeCell ref="A99:H99"/>
    <mergeCell ref="A114:H114"/>
    <mergeCell ref="A89:H89"/>
    <mergeCell ref="B3:H3"/>
    <mergeCell ref="A4:H4"/>
    <mergeCell ref="A6:H6"/>
    <mergeCell ref="B12:F12"/>
    <mergeCell ref="B14:D14"/>
    <mergeCell ref="A144:A151"/>
    <mergeCell ref="A187:H187"/>
    <mergeCell ref="A162:H162"/>
    <mergeCell ref="A177:H177"/>
    <mergeCell ref="A181:H181"/>
    <mergeCell ref="A153:H153"/>
  </mergeCells>
  <phoneticPr fontId="24" type="noConversion"/>
  <dataValidations count="2">
    <dataValidation type="custom" showErrorMessage="1" errorTitle="Falsche Bruttofläche" error="Die Bruttofläche entspricht nicht 10000 m2" sqref="B19">
      <formula1>B18*B19=10000</formula1>
    </dataValidation>
    <dataValidation type="whole" operator="notEqual" showErrorMessage="1" errorTitle="Falsche Länge" error="Es muss eine Länge eingetragen sein" sqref="E10 B18">
      <formula1>0</formula1>
    </dataValidation>
  </dataValidations>
  <printOptions gridLines="1" gridLinesSet="0"/>
  <pageMargins left="0.39370078740157483" right="0.39370078740157483" top="0.59055118110236227" bottom="0.59055118110236227" header="0.51181102362204722" footer="0.51181102362204722"/>
  <pageSetup paperSize="9" scale="54" orientation="portrait" r:id="rId1"/>
  <headerFooter alignWithMargins="0">
    <oddFooter>&amp;LArbokost 2004&amp;RMatthias Zürcher, Agroscope FAW Wädenswil</oddFooter>
  </headerFooter>
  <rowBreaks count="2" manualBreakCount="2">
    <brk id="87" max="16383" man="1"/>
    <brk id="152" max="16383" man="1"/>
  </rowBreaks>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indexed="10"/>
  </sheetPr>
  <dimension ref="A1:L96"/>
  <sheetViews>
    <sheetView topLeftCell="A4" workbookViewId="0">
      <selection activeCell="E31" sqref="E31"/>
    </sheetView>
  </sheetViews>
  <sheetFormatPr baseColWidth="10" defaultRowHeight="12.5" x14ac:dyDescent="0.25"/>
  <cols>
    <col min="1" max="1" width="45" customWidth="1"/>
    <col min="2" max="2" width="36.81640625" customWidth="1"/>
    <col min="3" max="3" width="17.08984375" style="10" customWidth="1"/>
    <col min="4" max="4" width="18.08984375" customWidth="1"/>
    <col min="5" max="5" width="12.81640625" customWidth="1"/>
  </cols>
  <sheetData>
    <row r="1" spans="1:12" ht="25" x14ac:dyDescent="0.5">
      <c r="A1" s="1441" t="str">
        <f>'Données normes'!A1</f>
        <v>Arbokost 2023</v>
      </c>
      <c r="B1" s="1127"/>
      <c r="C1" s="1146"/>
      <c r="D1" s="767"/>
      <c r="E1" s="765"/>
      <c r="F1" s="769"/>
      <c r="G1" s="765"/>
      <c r="H1" s="18"/>
      <c r="I1" s="1"/>
      <c r="J1" s="18"/>
      <c r="K1" s="18"/>
      <c r="L1" s="18"/>
    </row>
    <row r="2" spans="1:12" ht="20" x14ac:dyDescent="0.4">
      <c r="A2" s="1132" t="str">
        <f>'[1]Standard données'!$A$2</f>
        <v>Standard 1ha</v>
      </c>
      <c r="B2" s="1128"/>
      <c r="C2" s="1146"/>
      <c r="D2" s="765"/>
      <c r="E2" s="765"/>
      <c r="F2" s="765"/>
      <c r="G2" s="1129"/>
      <c r="H2" s="18"/>
      <c r="I2" s="1"/>
      <c r="J2" s="18"/>
      <c r="K2" s="18"/>
      <c r="L2" s="18"/>
    </row>
    <row r="3" spans="1:12" ht="45.75" customHeight="1" x14ac:dyDescent="0.25">
      <c r="A3" s="805" t="s">
        <v>539</v>
      </c>
      <c r="B3" s="1483" t="s">
        <v>490</v>
      </c>
      <c r="C3" s="1483"/>
      <c r="D3" s="1483"/>
      <c r="E3" s="1483"/>
      <c r="F3" s="1483"/>
      <c r="G3" s="1483"/>
      <c r="H3" s="1483"/>
      <c r="I3" s="13"/>
      <c r="J3" s="13"/>
      <c r="K3" s="13"/>
      <c r="L3" s="13"/>
    </row>
    <row r="4" spans="1:12" ht="20" x14ac:dyDescent="0.3">
      <c r="A4" s="1133" t="s">
        <v>540</v>
      </c>
      <c r="B4" s="519"/>
      <c r="C4" s="1147"/>
      <c r="D4" s="1134" t="s">
        <v>522</v>
      </c>
      <c r="E4" s="1134"/>
      <c r="F4" s="519"/>
      <c r="G4" s="519"/>
      <c r="H4" s="13"/>
      <c r="I4" s="13"/>
      <c r="J4" s="13"/>
      <c r="K4" s="13"/>
      <c r="L4" s="13"/>
    </row>
    <row r="5" spans="1:12" ht="25" x14ac:dyDescent="0.5">
      <c r="A5" s="1130"/>
      <c r="B5" s="1131"/>
      <c r="C5" s="1148"/>
      <c r="D5" s="70"/>
      <c r="E5" s="1113"/>
      <c r="F5" s="70"/>
      <c r="G5" s="1114" t="s">
        <v>523</v>
      </c>
      <c r="H5" s="13"/>
      <c r="I5" s="13"/>
      <c r="J5" s="13"/>
      <c r="K5" s="13"/>
      <c r="L5" s="13"/>
    </row>
    <row r="6" spans="1:12" ht="25" x14ac:dyDescent="0.5">
      <c r="A6" s="1495" t="s">
        <v>713</v>
      </c>
      <c r="B6" s="1495"/>
      <c r="C6" s="1495"/>
      <c r="D6" s="1495"/>
      <c r="E6" s="1495"/>
      <c r="F6" s="1495"/>
      <c r="G6" s="1495"/>
      <c r="H6" s="1495"/>
    </row>
    <row r="7" spans="1:12" s="1448" customFormat="1" ht="14.15" customHeight="1" x14ac:dyDescent="0.5">
      <c r="A7" s="1451" t="s">
        <v>715</v>
      </c>
      <c r="B7" s="1452"/>
      <c r="C7" s="1454">
        <v>0.18</v>
      </c>
      <c r="D7" s="1447"/>
      <c r="E7" s="1447"/>
      <c r="F7" s="1447"/>
      <c r="G7" s="1447"/>
      <c r="H7" s="1447"/>
    </row>
    <row r="8" spans="1:12" ht="25" x14ac:dyDescent="0.5">
      <c r="A8" s="312" t="s">
        <v>155</v>
      </c>
      <c r="B8" s="794"/>
      <c r="C8" s="795" t="s">
        <v>244</v>
      </c>
      <c r="D8" s="795" t="s">
        <v>282</v>
      </c>
      <c r="E8" s="796" t="s">
        <v>59</v>
      </c>
      <c r="F8" s="41"/>
    </row>
    <row r="9" spans="1:12" ht="13" x14ac:dyDescent="0.3">
      <c r="A9" s="38" t="s">
        <v>283</v>
      </c>
      <c r="B9" s="18" t="s">
        <v>287</v>
      </c>
      <c r="C9" s="568">
        <f>'Données normes'!B24</f>
        <v>2000</v>
      </c>
      <c r="D9" s="551">
        <f>1.35*(1+C7)</f>
        <v>1.593</v>
      </c>
      <c r="E9" s="41">
        <f>C9*D9</f>
        <v>3186</v>
      </c>
      <c r="F9" s="459"/>
    </row>
    <row r="10" spans="1:12" ht="13" x14ac:dyDescent="0.3">
      <c r="A10" s="38"/>
      <c r="B10" s="18" t="s">
        <v>288</v>
      </c>
      <c r="C10" s="569">
        <v>2070</v>
      </c>
      <c r="D10" s="551">
        <f>0.16*(1+C7)</f>
        <v>0.1888</v>
      </c>
      <c r="E10" s="41">
        <f>C10*D10</f>
        <v>390.81599999999997</v>
      </c>
      <c r="F10" s="459"/>
      <c r="L10" s="1135"/>
    </row>
    <row r="11" spans="1:12" ht="13" x14ac:dyDescent="0.3">
      <c r="A11" s="38"/>
      <c r="B11" s="18" t="s">
        <v>289</v>
      </c>
      <c r="C11" s="570">
        <v>4.9090909090909092</v>
      </c>
      <c r="D11" s="551">
        <f>5.5*(1+C7)</f>
        <v>6.4899999999999993</v>
      </c>
      <c r="E11" s="41">
        <f>C11*D11</f>
        <v>31.859999999999996</v>
      </c>
      <c r="F11" s="459"/>
      <c r="L11" s="1135"/>
    </row>
    <row r="12" spans="1:12" ht="13" x14ac:dyDescent="0.3">
      <c r="A12" s="38"/>
      <c r="B12" s="18" t="s">
        <v>290</v>
      </c>
      <c r="C12" s="568">
        <f>'Données normes'!B24</f>
        <v>2000</v>
      </c>
      <c r="D12" s="551">
        <f>0.2*(1+C7)</f>
        <v>0.23599999999999999</v>
      </c>
      <c r="E12" s="41">
        <f>C12*D12</f>
        <v>472</v>
      </c>
      <c r="F12" s="459"/>
      <c r="L12" s="1135"/>
    </row>
    <row r="13" spans="1:12" ht="13" x14ac:dyDescent="0.3">
      <c r="A13" s="38"/>
      <c r="B13" s="18"/>
      <c r="C13" s="128"/>
      <c r="D13" s="42"/>
      <c r="E13" s="41"/>
      <c r="F13" s="459"/>
      <c r="L13" s="1135"/>
    </row>
    <row r="14" spans="1:12" ht="13" x14ac:dyDescent="0.3">
      <c r="A14" s="84" t="s">
        <v>284</v>
      </c>
      <c r="B14" s="54" t="s">
        <v>466</v>
      </c>
      <c r="C14" s="568">
        <v>9800</v>
      </c>
      <c r="D14" s="571">
        <f>0.58*(1+C7)</f>
        <v>0.6843999999999999</v>
      </c>
      <c r="E14" s="213">
        <f t="shared" ref="E14:E23" si="0">C14*D14</f>
        <v>6707.119999999999</v>
      </c>
      <c r="F14" s="459"/>
      <c r="L14" s="1135"/>
    </row>
    <row r="15" spans="1:12" ht="13" x14ac:dyDescent="0.3">
      <c r="A15" s="84"/>
      <c r="B15" s="54" t="s">
        <v>291</v>
      </c>
      <c r="C15" s="568">
        <v>803.30578512396698</v>
      </c>
      <c r="D15" s="571">
        <f>0.28*(1+C7)</f>
        <v>0.33040000000000003</v>
      </c>
      <c r="E15" s="213">
        <f t="shared" si="0"/>
        <v>265.41223140495873</v>
      </c>
      <c r="F15" s="459"/>
      <c r="L15" s="1135"/>
    </row>
    <row r="16" spans="1:12" ht="13" x14ac:dyDescent="0.3">
      <c r="A16" s="84"/>
      <c r="B16" s="54" t="s">
        <v>292</v>
      </c>
      <c r="C16" s="568">
        <v>1431.818181818182</v>
      </c>
      <c r="D16" s="571">
        <f>0.83*(1+C7)</f>
        <v>0.97939999999999994</v>
      </c>
      <c r="E16" s="213">
        <f t="shared" si="0"/>
        <v>1402.3227272727274</v>
      </c>
      <c r="F16" s="459"/>
      <c r="L16" s="1135"/>
    </row>
    <row r="17" spans="1:12" ht="13" x14ac:dyDescent="0.3">
      <c r="A17" s="84"/>
      <c r="B17" s="54" t="s">
        <v>457</v>
      </c>
      <c r="C17" s="568">
        <v>100</v>
      </c>
      <c r="D17" s="571">
        <f>0.55*(1+C7)</f>
        <v>0.64900000000000002</v>
      </c>
      <c r="E17" s="213">
        <f t="shared" si="0"/>
        <v>64.900000000000006</v>
      </c>
      <c r="F17" s="459"/>
      <c r="L17" s="1135"/>
    </row>
    <row r="18" spans="1:12" ht="13" x14ac:dyDescent="0.3">
      <c r="A18" s="84"/>
      <c r="B18" s="54" t="s">
        <v>293</v>
      </c>
      <c r="C18" s="568">
        <v>165</v>
      </c>
      <c r="D18" s="571">
        <f>1.19*(1+C7)</f>
        <v>1.4041999999999999</v>
      </c>
      <c r="E18" s="213">
        <f t="shared" si="0"/>
        <v>231.69299999999998</v>
      </c>
      <c r="F18" s="459"/>
      <c r="L18" s="1135"/>
    </row>
    <row r="19" spans="1:12" ht="13" x14ac:dyDescent="0.3">
      <c r="A19" s="84"/>
      <c r="B19" s="54" t="s">
        <v>294</v>
      </c>
      <c r="C19" s="568">
        <v>253.63636363636365</v>
      </c>
      <c r="D19" s="571">
        <f>1.19*(1+C7)</f>
        <v>1.4041999999999999</v>
      </c>
      <c r="E19" s="213">
        <f t="shared" si="0"/>
        <v>356.15618181818184</v>
      </c>
      <c r="F19" s="459"/>
      <c r="L19" s="1135"/>
    </row>
    <row r="20" spans="1:12" ht="13" x14ac:dyDescent="0.3">
      <c r="A20" s="84"/>
      <c r="B20" s="54" t="s">
        <v>498</v>
      </c>
      <c r="C20" s="568">
        <v>810</v>
      </c>
      <c r="D20" s="571">
        <f>0.7*(1+C7)</f>
        <v>0.82599999999999996</v>
      </c>
      <c r="E20" s="213">
        <f t="shared" si="0"/>
        <v>669.06</v>
      </c>
      <c r="F20" s="459"/>
      <c r="L20" s="1135"/>
    </row>
    <row r="21" spans="1:12" ht="13" x14ac:dyDescent="0.3">
      <c r="A21" s="84"/>
      <c r="B21" s="54" t="s">
        <v>295</v>
      </c>
      <c r="C21" s="568">
        <v>2536.3636363636365</v>
      </c>
      <c r="D21" s="571">
        <f>0.3*(1+C7)</f>
        <v>0.35399999999999998</v>
      </c>
      <c r="E21" s="213">
        <f t="shared" si="0"/>
        <v>897.87272727272727</v>
      </c>
      <c r="F21" s="459"/>
      <c r="L21" s="1135"/>
    </row>
    <row r="22" spans="1:12" ht="13" x14ac:dyDescent="0.3">
      <c r="A22" s="84"/>
      <c r="B22" s="54" t="s">
        <v>296</v>
      </c>
      <c r="C22" s="568">
        <v>2781.818181818182</v>
      </c>
      <c r="D22" s="571">
        <f>0.1*(1+C7)</f>
        <v>0.11799999999999999</v>
      </c>
      <c r="E22" s="213">
        <f t="shared" si="0"/>
        <v>328.25454545454545</v>
      </c>
      <c r="F22" s="459"/>
      <c r="L22" s="1135"/>
    </row>
    <row r="23" spans="1:12" ht="13" x14ac:dyDescent="0.3">
      <c r="A23" s="84"/>
      <c r="B23" s="54" t="s">
        <v>297</v>
      </c>
      <c r="C23" s="568">
        <v>26</v>
      </c>
      <c r="D23" s="571">
        <f>9.15*(1+C7)</f>
        <v>10.797000000000001</v>
      </c>
      <c r="E23" s="213">
        <f t="shared" si="0"/>
        <v>280.72200000000004</v>
      </c>
      <c r="F23" s="459"/>
      <c r="L23" s="1135"/>
    </row>
    <row r="24" spans="1:12" ht="13" x14ac:dyDescent="0.3">
      <c r="A24" s="84"/>
      <c r="B24" s="18" t="s">
        <v>298</v>
      </c>
      <c r="C24" s="450"/>
      <c r="D24" s="724"/>
      <c r="E24" s="904">
        <v>550</v>
      </c>
      <c r="F24" s="459"/>
      <c r="L24" s="1135"/>
    </row>
    <row r="25" spans="1:12" ht="13" x14ac:dyDescent="0.3">
      <c r="A25" s="84"/>
      <c r="B25" s="68"/>
      <c r="C25" s="450"/>
      <c r="D25" s="449"/>
      <c r="E25" s="213"/>
      <c r="F25" s="459"/>
      <c r="L25" s="1135"/>
    </row>
    <row r="26" spans="1:12" ht="13" x14ac:dyDescent="0.3">
      <c r="A26" s="84" t="s">
        <v>285</v>
      </c>
      <c r="B26" s="68" t="s">
        <v>299</v>
      </c>
      <c r="C26" s="568">
        <v>196.36363636363637</v>
      </c>
      <c r="D26" s="571">
        <f>18.5*(1+C7)</f>
        <v>21.83</v>
      </c>
      <c r="E26" s="213">
        <f>C26*D26</f>
        <v>4286.6181818181813</v>
      </c>
      <c r="F26" s="459"/>
      <c r="L26" s="1135"/>
    </row>
    <row r="27" spans="1:12" ht="13" x14ac:dyDescent="0.3">
      <c r="A27" s="84"/>
      <c r="B27" s="68" t="s">
        <v>300</v>
      </c>
      <c r="C27" s="568">
        <v>36</v>
      </c>
      <c r="D27" s="571">
        <f>27*(1+C7)</f>
        <v>31.86</v>
      </c>
      <c r="E27" s="213">
        <f>C27*D27</f>
        <v>1146.96</v>
      </c>
      <c r="F27" s="459"/>
      <c r="L27" s="1135"/>
    </row>
    <row r="28" spans="1:12" ht="13" x14ac:dyDescent="0.3">
      <c r="A28" s="84"/>
      <c r="B28" s="68" t="s">
        <v>301</v>
      </c>
      <c r="C28" s="568">
        <v>4</v>
      </c>
      <c r="D28" s="571">
        <f>58.95*(1+C7)</f>
        <v>69.560999999999993</v>
      </c>
      <c r="E28" s="213">
        <f>C28*D28</f>
        <v>278.24399999999997</v>
      </c>
      <c r="F28" s="459"/>
      <c r="L28" s="1135"/>
    </row>
    <row r="29" spans="1:12" ht="13" x14ac:dyDescent="0.3">
      <c r="A29" s="84"/>
      <c r="B29" s="68" t="s">
        <v>302</v>
      </c>
      <c r="C29" s="568">
        <v>58.909090909090914</v>
      </c>
      <c r="D29" s="571">
        <f>20.15*(1+C7)</f>
        <v>23.776999999999997</v>
      </c>
      <c r="E29" s="213">
        <f>C29*D29</f>
        <v>1400.6814545454545</v>
      </c>
      <c r="F29" s="459"/>
      <c r="L29" s="1135"/>
    </row>
    <row r="30" spans="1:12" ht="13.5" thickBot="1" x14ac:dyDescent="0.35">
      <c r="A30" s="84"/>
      <c r="B30" s="54" t="s">
        <v>303</v>
      </c>
      <c r="C30" s="568">
        <v>55.63636363636364</v>
      </c>
      <c r="D30" s="571">
        <f>1*(1+C7)</f>
        <v>1.18</v>
      </c>
      <c r="E30" s="672">
        <f>C30*D30</f>
        <v>65.650909090909096</v>
      </c>
      <c r="F30" s="459"/>
      <c r="L30" s="1135"/>
    </row>
    <row r="31" spans="1:12" ht="13" x14ac:dyDescent="0.3">
      <c r="A31" s="38"/>
      <c r="B31" s="13"/>
      <c r="C31" s="44"/>
      <c r="D31" s="42"/>
      <c r="E31" s="289">
        <f>SUM(E14:E30)</f>
        <v>18931.667958677681</v>
      </c>
      <c r="F31" s="459"/>
      <c r="L31" s="1135"/>
    </row>
    <row r="32" spans="1:12" ht="13" x14ac:dyDescent="0.3">
      <c r="A32" s="38"/>
      <c r="B32" s="13"/>
      <c r="C32" s="44"/>
      <c r="D32" s="42"/>
      <c r="E32" s="41"/>
      <c r="F32" s="459"/>
      <c r="L32" s="1135"/>
    </row>
    <row r="33" spans="1:12" ht="13" x14ac:dyDescent="0.3">
      <c r="A33" s="38" t="s">
        <v>275</v>
      </c>
      <c r="B33" s="18" t="s">
        <v>304</v>
      </c>
      <c r="C33" s="570">
        <v>40</v>
      </c>
      <c r="D33" s="551">
        <v>7.2</v>
      </c>
      <c r="E33" s="41"/>
      <c r="F33" s="459"/>
      <c r="L33" s="1135"/>
    </row>
    <row r="34" spans="1:12" ht="13" x14ac:dyDescent="0.3">
      <c r="A34" s="38"/>
      <c r="B34" s="18" t="s">
        <v>305</v>
      </c>
      <c r="C34" s="44"/>
      <c r="D34" s="41"/>
      <c r="E34" s="551">
        <v>125</v>
      </c>
      <c r="F34" s="459"/>
      <c r="L34" s="1135"/>
    </row>
    <row r="35" spans="1:12" ht="13" x14ac:dyDescent="0.3">
      <c r="A35" s="18"/>
      <c r="B35" s="18" t="s">
        <v>306</v>
      </c>
      <c r="C35" s="44"/>
      <c r="D35" s="41"/>
      <c r="E35" s="551">
        <v>500</v>
      </c>
      <c r="F35" s="459"/>
      <c r="L35" s="1135"/>
    </row>
    <row r="36" spans="1:12" ht="13" x14ac:dyDescent="0.3">
      <c r="A36" s="18"/>
      <c r="B36" s="18"/>
      <c r="C36" s="44"/>
      <c r="D36" s="41"/>
      <c r="E36" s="42"/>
      <c r="F36" s="459"/>
      <c r="L36" s="1135"/>
    </row>
    <row r="37" spans="1:12" ht="13" x14ac:dyDescent="0.3">
      <c r="A37" s="281" t="s">
        <v>286</v>
      </c>
      <c r="B37" s="68" t="s">
        <v>307</v>
      </c>
      <c r="C37" s="1136">
        <v>45</v>
      </c>
      <c r="D37" s="213">
        <f>'Données normes'!D130</f>
        <v>41</v>
      </c>
      <c r="E37" s="213">
        <f>C37*D37</f>
        <v>1845</v>
      </c>
      <c r="F37" s="459"/>
      <c r="L37" s="1135"/>
    </row>
    <row r="38" spans="1:12" ht="13" x14ac:dyDescent="0.3">
      <c r="A38" s="84"/>
      <c r="B38" s="68" t="s">
        <v>263</v>
      </c>
      <c r="C38" s="1136">
        <v>12.272727272727273</v>
      </c>
      <c r="D38" s="213">
        <f>'Données normes'!D149</f>
        <v>150</v>
      </c>
      <c r="E38" s="213">
        <f>C38*D38</f>
        <v>1840.909090909091</v>
      </c>
      <c r="F38" s="459"/>
      <c r="L38" s="1135"/>
    </row>
    <row r="39" spans="1:12" ht="13" x14ac:dyDescent="0.3">
      <c r="A39" s="84"/>
      <c r="B39" s="144" t="s">
        <v>262</v>
      </c>
      <c r="C39" s="1136">
        <v>16.363636363636363</v>
      </c>
      <c r="D39" s="213">
        <f>'Données normes'!D148</f>
        <v>22.8</v>
      </c>
      <c r="E39" s="213">
        <f>C39*D39</f>
        <v>373.09090909090912</v>
      </c>
      <c r="F39" s="459"/>
      <c r="L39" s="1135"/>
    </row>
    <row r="40" spans="1:12" ht="13.5" thickBot="1" x14ac:dyDescent="0.35">
      <c r="A40" s="84"/>
      <c r="B40" s="68" t="s">
        <v>308</v>
      </c>
      <c r="C40" s="1136">
        <v>16.363636363636363</v>
      </c>
      <c r="D40" s="213">
        <f>'Données normes'!D150</f>
        <v>19.100000000000001</v>
      </c>
      <c r="E40" s="672">
        <f>C40*D40</f>
        <v>312.54545454545456</v>
      </c>
      <c r="F40" s="459"/>
      <c r="L40" s="1135"/>
    </row>
    <row r="41" spans="1:12" ht="13" x14ac:dyDescent="0.3">
      <c r="A41" s="18"/>
      <c r="B41" s="18"/>
      <c r="C41" s="44"/>
      <c r="D41" s="41"/>
      <c r="E41" s="289">
        <f>SUM(E37:E40)</f>
        <v>4371.545454545455</v>
      </c>
      <c r="F41" s="459"/>
      <c r="L41" s="1135"/>
    </row>
    <row r="42" spans="1:12" ht="23" x14ac:dyDescent="0.5">
      <c r="A42" s="1140" t="s">
        <v>164</v>
      </c>
      <c r="B42" s="524"/>
      <c r="C42" s="575"/>
      <c r="D42" s="525"/>
      <c r="E42" s="525"/>
      <c r="F42" s="459"/>
      <c r="L42" s="1135"/>
    </row>
    <row r="43" spans="1:12" ht="13" x14ac:dyDescent="0.3">
      <c r="A43" s="18"/>
      <c r="B43" s="13"/>
      <c r="C43" s="798" t="s">
        <v>309</v>
      </c>
      <c r="D43" s="285" t="s">
        <v>52</v>
      </c>
      <c r="E43" s="77" t="s">
        <v>59</v>
      </c>
      <c r="F43" s="459"/>
      <c r="L43" s="1135"/>
    </row>
    <row r="44" spans="1:12" ht="13" x14ac:dyDescent="0.3">
      <c r="A44" s="38" t="s">
        <v>310</v>
      </c>
      <c r="B44" s="18" t="s">
        <v>305</v>
      </c>
      <c r="C44" s="561">
        <v>1</v>
      </c>
      <c r="D44" s="33"/>
      <c r="E44" s="33"/>
      <c r="F44" s="459"/>
      <c r="L44" s="1135"/>
    </row>
    <row r="45" spans="1:12" ht="13" x14ac:dyDescent="0.3">
      <c r="A45" s="13"/>
      <c r="B45" s="18" t="s">
        <v>314</v>
      </c>
      <c r="C45" s="561">
        <v>7.5</v>
      </c>
      <c r="D45" s="33"/>
      <c r="E45" s="33"/>
      <c r="F45" s="459"/>
      <c r="L45" s="1135"/>
    </row>
    <row r="46" spans="1:12" ht="13" x14ac:dyDescent="0.3">
      <c r="A46" s="13"/>
      <c r="B46" s="18" t="s">
        <v>315</v>
      </c>
      <c r="C46" s="561">
        <v>61.363636363636367</v>
      </c>
      <c r="D46" s="33"/>
      <c r="E46" s="33"/>
      <c r="F46" s="459"/>
      <c r="L46" s="1135"/>
    </row>
    <row r="47" spans="1:12" ht="13" x14ac:dyDescent="0.3">
      <c r="A47" s="13"/>
      <c r="B47" s="18" t="s">
        <v>316</v>
      </c>
      <c r="C47" s="561">
        <v>8.1818181818181817</v>
      </c>
      <c r="D47" s="33"/>
      <c r="E47" s="33"/>
      <c r="F47" s="459"/>
      <c r="L47" s="1135"/>
    </row>
    <row r="48" spans="1:12" ht="13" x14ac:dyDescent="0.3">
      <c r="A48" s="13"/>
      <c r="B48" s="18" t="s">
        <v>285</v>
      </c>
      <c r="C48" s="561">
        <v>57.272727272727273</v>
      </c>
      <c r="D48" s="33"/>
      <c r="E48" s="33"/>
      <c r="F48" s="459"/>
      <c r="L48" s="1135"/>
    </row>
    <row r="49" spans="1:12" x14ac:dyDescent="0.25">
      <c r="A49" s="13"/>
      <c r="B49" s="18"/>
      <c r="C49" s="37"/>
      <c r="D49" s="33"/>
      <c r="E49" s="33"/>
      <c r="F49" s="33"/>
      <c r="L49" s="1135"/>
    </row>
    <row r="50" spans="1:12" ht="13" x14ac:dyDescent="0.3">
      <c r="A50" s="69" t="s">
        <v>472</v>
      </c>
      <c r="B50" s="18"/>
      <c r="C50" s="37"/>
      <c r="D50" s="41"/>
      <c r="E50" s="41"/>
      <c r="F50" s="33"/>
      <c r="L50" s="1135"/>
    </row>
    <row r="51" spans="1:12" ht="13" x14ac:dyDescent="0.3">
      <c r="B51" s="144" t="s">
        <v>317</v>
      </c>
      <c r="C51" s="673">
        <v>12.272727272727273</v>
      </c>
      <c r="D51" s="213">
        <f>'Données normes'!$C$36</f>
        <v>29.5</v>
      </c>
      <c r="E51" s="213">
        <f>C51*D51</f>
        <v>362.04545454545456</v>
      </c>
      <c r="F51" s="459"/>
      <c r="L51" s="1135"/>
    </row>
    <row r="52" spans="1:12" ht="13" x14ac:dyDescent="0.3">
      <c r="A52" s="68"/>
      <c r="B52" s="144" t="s">
        <v>318</v>
      </c>
      <c r="C52" s="673">
        <v>81.818181818181827</v>
      </c>
      <c r="D52" s="213">
        <f>'Données normes'!$C$36</f>
        <v>29.5</v>
      </c>
      <c r="E52" s="213">
        <f>C52*D52</f>
        <v>2413.636363636364</v>
      </c>
      <c r="F52" s="459"/>
      <c r="L52" s="1135"/>
    </row>
    <row r="53" spans="1:12" ht="13" x14ac:dyDescent="0.3">
      <c r="A53" s="68"/>
      <c r="B53" s="144" t="s">
        <v>319</v>
      </c>
      <c r="C53" s="673">
        <v>143.18181818181819</v>
      </c>
      <c r="D53" s="213">
        <f>'Données normes'!$C$36</f>
        <v>29.5</v>
      </c>
      <c r="E53" s="213">
        <f>C53*D53</f>
        <v>4223.8636363636369</v>
      </c>
      <c r="F53" s="459"/>
      <c r="L53" s="1135"/>
    </row>
    <row r="54" spans="1:12" ht="13.5" thickBot="1" x14ac:dyDescent="0.35">
      <c r="A54" s="68"/>
      <c r="B54" s="144" t="s">
        <v>320</v>
      </c>
      <c r="C54" s="360">
        <f>SUM(C51:C53) * 0.1</f>
        <v>23.72727272727273</v>
      </c>
      <c r="D54" s="213">
        <f>'Données normes'!$C$36</f>
        <v>29.5</v>
      </c>
      <c r="E54" s="672">
        <f>C54*D54</f>
        <v>699.9545454545455</v>
      </c>
      <c r="F54" s="459"/>
      <c r="L54" s="1135"/>
    </row>
    <row r="55" spans="1:12" ht="13" x14ac:dyDescent="0.3">
      <c r="A55" s="13"/>
      <c r="B55" s="18"/>
      <c r="C55" s="37"/>
      <c r="D55" s="41"/>
      <c r="E55" s="289">
        <f>SUM(E51:E54)</f>
        <v>7699.5000000000018</v>
      </c>
      <c r="F55" s="459"/>
      <c r="L55" s="1135"/>
    </row>
    <row r="56" spans="1:12" ht="13" x14ac:dyDescent="0.3">
      <c r="A56" s="13"/>
      <c r="B56" s="13"/>
      <c r="C56" s="94"/>
      <c r="D56" s="41"/>
      <c r="E56" s="41"/>
      <c r="F56" s="459"/>
      <c r="L56" s="1135"/>
    </row>
    <row r="57" spans="1:12" ht="13" x14ac:dyDescent="0.3">
      <c r="A57" s="69" t="s">
        <v>311</v>
      </c>
      <c r="B57" s="13"/>
      <c r="C57" s="94"/>
      <c r="D57" s="41"/>
      <c r="E57" s="41"/>
      <c r="F57" s="459"/>
      <c r="L57" s="1135"/>
    </row>
    <row r="58" spans="1:12" ht="13" x14ac:dyDescent="0.3">
      <c r="A58" s="13"/>
      <c r="B58" s="13" t="s">
        <v>321</v>
      </c>
      <c r="C58" s="577">
        <v>45</v>
      </c>
      <c r="D58" s="551">
        <v>14</v>
      </c>
      <c r="E58" s="213">
        <f>C58*D58</f>
        <v>630</v>
      </c>
      <c r="F58" s="459"/>
      <c r="L58" s="1135"/>
    </row>
    <row r="59" spans="1:12" ht="13" x14ac:dyDescent="0.3">
      <c r="A59" s="13"/>
      <c r="B59" s="13" t="s">
        <v>322</v>
      </c>
      <c r="C59" s="577">
        <v>275</v>
      </c>
      <c r="D59" s="551">
        <v>10</v>
      </c>
      <c r="E59" s="213">
        <f>C59*D59</f>
        <v>2750</v>
      </c>
      <c r="F59" s="459"/>
      <c r="L59" s="1135"/>
    </row>
    <row r="60" spans="1:12" ht="13.5" thickBot="1" x14ac:dyDescent="0.35">
      <c r="A60" s="13"/>
      <c r="B60" s="13" t="s">
        <v>323</v>
      </c>
      <c r="C60" s="577">
        <v>45</v>
      </c>
      <c r="D60" s="551">
        <v>5.2</v>
      </c>
      <c r="E60" s="672">
        <f>C60*D60</f>
        <v>234</v>
      </c>
      <c r="F60" s="459"/>
      <c r="L60" s="1135"/>
    </row>
    <row r="61" spans="1:12" ht="13" x14ac:dyDescent="0.3">
      <c r="A61" s="13"/>
      <c r="B61" s="13"/>
      <c r="C61" s="44"/>
      <c r="D61" s="42"/>
      <c r="E61" s="289">
        <f>SUM(E58:E60)</f>
        <v>3614</v>
      </c>
      <c r="F61" s="459"/>
      <c r="L61" s="1135"/>
    </row>
    <row r="62" spans="1:12" ht="13" x14ac:dyDescent="0.3">
      <c r="A62" s="69" t="s">
        <v>312</v>
      </c>
      <c r="B62" s="18"/>
      <c r="C62" s="94"/>
      <c r="D62" s="41"/>
      <c r="E62" s="613"/>
      <c r="F62" s="459"/>
      <c r="L62" s="1135"/>
    </row>
    <row r="63" spans="1:12" ht="13" x14ac:dyDescent="0.3">
      <c r="A63" s="13"/>
      <c r="B63" s="18" t="s">
        <v>317</v>
      </c>
      <c r="C63" s="673">
        <v>7.5</v>
      </c>
      <c r="D63" s="213">
        <f>'Données normes'!$C$36</f>
        <v>29.5</v>
      </c>
      <c r="E63" s="213">
        <f>C63*D63</f>
        <v>221.25</v>
      </c>
      <c r="F63" s="459"/>
      <c r="L63" s="1135"/>
    </row>
    <row r="64" spans="1:12" ht="13" x14ac:dyDescent="0.3">
      <c r="A64" s="13"/>
      <c r="B64" s="18" t="s">
        <v>324</v>
      </c>
      <c r="C64" s="673">
        <v>35</v>
      </c>
      <c r="D64" s="213">
        <f>'Données normes'!$C$36</f>
        <v>29.5</v>
      </c>
      <c r="E64" s="213">
        <f>C64*D64</f>
        <v>1032.5</v>
      </c>
      <c r="F64" s="459"/>
      <c r="L64" s="1135"/>
    </row>
    <row r="65" spans="1:12" ht="13" x14ac:dyDescent="0.3">
      <c r="A65" s="13"/>
      <c r="B65" s="13" t="s">
        <v>325</v>
      </c>
      <c r="C65" s="673">
        <v>8</v>
      </c>
      <c r="D65" s="213">
        <f>'Données normes'!D130</f>
        <v>41</v>
      </c>
      <c r="E65" s="213">
        <f>C65*D65</f>
        <v>328</v>
      </c>
      <c r="F65" s="459"/>
      <c r="L65" s="1135"/>
    </row>
    <row r="66" spans="1:12" ht="13.5" thickBot="1" x14ac:dyDescent="0.35">
      <c r="A66" s="13"/>
      <c r="B66" s="18" t="s">
        <v>326</v>
      </c>
      <c r="C66" s="673">
        <v>8</v>
      </c>
      <c r="D66" s="213">
        <f>'Données normes'!D147</f>
        <v>13.9</v>
      </c>
      <c r="E66" s="672">
        <f>C66*D66</f>
        <v>111.2</v>
      </c>
      <c r="F66" s="459"/>
      <c r="L66" s="1135"/>
    </row>
    <row r="67" spans="1:12" ht="13" x14ac:dyDescent="0.3">
      <c r="A67" s="13"/>
      <c r="B67" s="18"/>
      <c r="C67" s="360"/>
      <c r="D67" s="213"/>
      <c r="E67" s="289">
        <f>SUM(E63:E66)</f>
        <v>1692.95</v>
      </c>
      <c r="F67" s="459"/>
      <c r="L67" s="1135"/>
    </row>
    <row r="68" spans="1:12" ht="13" x14ac:dyDescent="0.3">
      <c r="A68" s="13"/>
      <c r="B68" s="18"/>
      <c r="C68" s="360"/>
      <c r="D68" s="213"/>
      <c r="E68" s="289"/>
      <c r="F68" s="459"/>
    </row>
    <row r="69" spans="1:12" ht="15.5" x14ac:dyDescent="0.35">
      <c r="A69" s="152"/>
      <c r="B69" s="144" t="s">
        <v>327</v>
      </c>
      <c r="C69" s="451"/>
      <c r="D69" s="215"/>
      <c r="E69" s="213">
        <f>E31</f>
        <v>18931.667958677681</v>
      </c>
      <c r="F69" s="459"/>
    </row>
    <row r="70" spans="1:12" ht="13" x14ac:dyDescent="0.3">
      <c r="A70" s="13"/>
      <c r="B70" s="144" t="s">
        <v>163</v>
      </c>
      <c r="C70" s="451"/>
      <c r="D70" s="215"/>
      <c r="E70" s="213">
        <f>E41</f>
        <v>4371.545454545455</v>
      </c>
      <c r="F70" s="459"/>
    </row>
    <row r="71" spans="1:12" ht="13" x14ac:dyDescent="0.3">
      <c r="A71" s="13"/>
      <c r="B71" s="144" t="s">
        <v>164</v>
      </c>
      <c r="C71" s="451"/>
      <c r="D71" s="215"/>
      <c r="E71" s="213">
        <f>E55</f>
        <v>7699.5000000000018</v>
      </c>
      <c r="F71" s="459"/>
    </row>
    <row r="72" spans="1:12" ht="13.5" thickBot="1" x14ac:dyDescent="0.35">
      <c r="A72" s="13"/>
      <c r="B72" s="144" t="s">
        <v>328</v>
      </c>
      <c r="C72" s="451"/>
      <c r="D72" s="215"/>
      <c r="E72" s="672">
        <f>E61+E67</f>
        <v>5306.95</v>
      </c>
      <c r="F72" s="459"/>
    </row>
    <row r="73" spans="1:12" ht="16" thickBot="1" x14ac:dyDescent="0.4">
      <c r="A73" s="1024" t="s">
        <v>313</v>
      </c>
      <c r="B73" s="18"/>
      <c r="C73" s="1162">
        <f>'Données normes'!C178</f>
        <v>0</v>
      </c>
      <c r="E73" s="1137">
        <f>SUM(E69:E71)-E72</f>
        <v>25695.763413223136</v>
      </c>
      <c r="F73" s="33"/>
    </row>
    <row r="74" spans="1:12" x14ac:dyDescent="0.25">
      <c r="C74" s="92"/>
      <c r="D74" s="33"/>
      <c r="E74" s="33"/>
      <c r="F74" s="33"/>
    </row>
    <row r="77" spans="1:12" ht="13" x14ac:dyDescent="0.3">
      <c r="A77" s="1141" t="s">
        <v>544</v>
      </c>
    </row>
    <row r="78" spans="1:12" ht="13" x14ac:dyDescent="0.3">
      <c r="A78" s="1142" t="s">
        <v>543</v>
      </c>
      <c r="B78" s="1142" t="s">
        <v>545</v>
      </c>
      <c r="C78" s="1149" t="s">
        <v>59</v>
      </c>
      <c r="D78" s="1142" t="s">
        <v>542</v>
      </c>
      <c r="E78" s="1142" t="s">
        <v>547</v>
      </c>
    </row>
    <row r="80" spans="1:12" x14ac:dyDescent="0.25">
      <c r="A80">
        <v>1</v>
      </c>
      <c r="B80" s="1139">
        <v>1</v>
      </c>
      <c r="C80" s="14">
        <f>'Données normes'!B48*'Données normes'!E48*'Données normes'!B71*B80</f>
        <v>0</v>
      </c>
      <c r="D80" s="527">
        <v>0.112</v>
      </c>
      <c r="E80" s="1139">
        <v>0.8</v>
      </c>
    </row>
    <row r="81" spans="1:6" x14ac:dyDescent="0.25">
      <c r="A81">
        <v>2</v>
      </c>
      <c r="B81" s="1138">
        <f>B80</f>
        <v>1</v>
      </c>
      <c r="C81" s="14">
        <f>'Données normes'!B49*'Données normes'!E49*'Données normes'!B72*B81</f>
        <v>3920.0000000000005</v>
      </c>
      <c r="D81" s="199">
        <f>D80</f>
        <v>0.112</v>
      </c>
      <c r="E81" s="1138">
        <f>E80</f>
        <v>0.8</v>
      </c>
    </row>
    <row r="82" spans="1:6" x14ac:dyDescent="0.25">
      <c r="A82">
        <v>3</v>
      </c>
      <c r="B82" s="1138">
        <f>B80</f>
        <v>1</v>
      </c>
      <c r="C82" s="14">
        <f>'Données normes'!B50*'Données normes'!E50*'Données normes'!B73*B82</f>
        <v>14112.000000000002</v>
      </c>
      <c r="D82" s="199">
        <f>D80</f>
        <v>0.112</v>
      </c>
      <c r="E82" s="1138">
        <f>E80</f>
        <v>0.8</v>
      </c>
    </row>
    <row r="83" spans="1:6" ht="13" x14ac:dyDescent="0.3">
      <c r="A83">
        <v>4</v>
      </c>
      <c r="B83" s="1138">
        <f>B80</f>
        <v>1</v>
      </c>
      <c r="C83" s="14">
        <f>'Données normes'!B51*'Données normes'!E51*'Données normes'!B74*B83</f>
        <v>19600</v>
      </c>
      <c r="D83" s="199">
        <f>D80</f>
        <v>0.112</v>
      </c>
      <c r="E83" s="1138">
        <f>E80</f>
        <v>0.8</v>
      </c>
      <c r="F83" s="143">
        <f>C83*D83*E83</f>
        <v>1756.1600000000003</v>
      </c>
    </row>
    <row r="84" spans="1:6" ht="13" x14ac:dyDescent="0.3">
      <c r="A84">
        <v>5</v>
      </c>
      <c r="B84" s="1138">
        <f>B80</f>
        <v>1</v>
      </c>
      <c r="C84" s="14">
        <f>'Données normes'!B52*'Données normes'!E52*'Données normes'!B75*B84</f>
        <v>27440.000000000004</v>
      </c>
      <c r="D84" s="199">
        <f>D80</f>
        <v>0.112</v>
      </c>
      <c r="E84" s="1138">
        <f>E80</f>
        <v>0.8</v>
      </c>
      <c r="F84" s="143">
        <f t="shared" ref="F84:F95" si="1">C84*D84</f>
        <v>3073.2800000000007</v>
      </c>
    </row>
    <row r="85" spans="1:6" ht="13" x14ac:dyDescent="0.3">
      <c r="A85">
        <v>6</v>
      </c>
      <c r="B85" s="1138">
        <f>B80</f>
        <v>1</v>
      </c>
      <c r="C85" s="14">
        <f>'Données normes'!B53*'Données normes'!E53*'Données normes'!B76*B85</f>
        <v>35280</v>
      </c>
      <c r="D85" s="199">
        <f>D80</f>
        <v>0.112</v>
      </c>
      <c r="E85" s="1138">
        <f>E80</f>
        <v>0.8</v>
      </c>
      <c r="F85" s="143">
        <f t="shared" si="1"/>
        <v>3951.36</v>
      </c>
    </row>
    <row r="86" spans="1:6" ht="13" x14ac:dyDescent="0.3">
      <c r="A86">
        <v>7</v>
      </c>
      <c r="B86" s="1138">
        <f>B80</f>
        <v>1</v>
      </c>
      <c r="C86" s="14">
        <f>'Données normes'!B54*'Données normes'!E54*'Données normes'!B77*B86</f>
        <v>35280</v>
      </c>
      <c r="D86" s="199">
        <f>D80</f>
        <v>0.112</v>
      </c>
      <c r="E86" s="1138">
        <f>E80</f>
        <v>0.8</v>
      </c>
      <c r="F86" s="143">
        <f t="shared" si="1"/>
        <v>3951.36</v>
      </c>
    </row>
    <row r="87" spans="1:6" ht="13" x14ac:dyDescent="0.3">
      <c r="A87">
        <v>8</v>
      </c>
      <c r="B87" s="1138">
        <f>B80</f>
        <v>1</v>
      </c>
      <c r="C87" s="14">
        <f>'Données normes'!B55*'Données normes'!E55*'Données normes'!B78*B87</f>
        <v>35280</v>
      </c>
      <c r="D87" s="199">
        <f>D80</f>
        <v>0.112</v>
      </c>
      <c r="E87" s="1138">
        <f>E80</f>
        <v>0.8</v>
      </c>
      <c r="F87" s="143">
        <f t="shared" si="1"/>
        <v>3951.36</v>
      </c>
    </row>
    <row r="88" spans="1:6" ht="13" x14ac:dyDescent="0.3">
      <c r="A88">
        <v>9</v>
      </c>
      <c r="B88" s="1138">
        <f>B80</f>
        <v>1</v>
      </c>
      <c r="C88" s="14">
        <f>'Données normes'!B56*'Données normes'!E56*'Données normes'!B79*B88</f>
        <v>35280</v>
      </c>
      <c r="D88" s="199">
        <f>D80</f>
        <v>0.112</v>
      </c>
      <c r="E88" s="1138">
        <f>E80</f>
        <v>0.8</v>
      </c>
      <c r="F88" s="143">
        <f t="shared" si="1"/>
        <v>3951.36</v>
      </c>
    </row>
    <row r="89" spans="1:6" ht="13" x14ac:dyDescent="0.3">
      <c r="A89">
        <v>10</v>
      </c>
      <c r="B89" s="1138">
        <f>B80</f>
        <v>1</v>
      </c>
      <c r="C89" s="14">
        <f>'Données normes'!B57*'Données normes'!E57*'Données normes'!B80*B89</f>
        <v>32760.000000000007</v>
      </c>
      <c r="D89" s="199">
        <f>D80</f>
        <v>0.112</v>
      </c>
      <c r="E89" s="1138">
        <f>E80</f>
        <v>0.8</v>
      </c>
      <c r="F89" s="143">
        <f t="shared" si="1"/>
        <v>3669.1200000000008</v>
      </c>
    </row>
    <row r="90" spans="1:6" ht="13" x14ac:dyDescent="0.3">
      <c r="A90">
        <v>11</v>
      </c>
      <c r="B90" s="1138">
        <f>B80</f>
        <v>1</v>
      </c>
      <c r="C90" s="14">
        <f>'Données normes'!B58*'Données normes'!E58*'Données normes'!B81*B90</f>
        <v>32760.000000000007</v>
      </c>
      <c r="D90" s="199">
        <f>D80</f>
        <v>0.112</v>
      </c>
      <c r="E90" s="1138">
        <f>E80</f>
        <v>0.8</v>
      </c>
      <c r="F90" s="143">
        <f t="shared" si="1"/>
        <v>3669.1200000000008</v>
      </c>
    </row>
    <row r="91" spans="1:6" ht="13" x14ac:dyDescent="0.3">
      <c r="A91">
        <v>12</v>
      </c>
      <c r="B91" s="1138">
        <f>B80</f>
        <v>1</v>
      </c>
      <c r="C91" s="14">
        <f>'Données normes'!B59*'Données normes'!E59*'Données normes'!B82*B91</f>
        <v>32760.000000000007</v>
      </c>
      <c r="D91" s="199">
        <f>D80</f>
        <v>0.112</v>
      </c>
      <c r="E91" s="1138">
        <f>E80</f>
        <v>0.8</v>
      </c>
      <c r="F91" s="143">
        <f t="shared" si="1"/>
        <v>3669.1200000000008</v>
      </c>
    </row>
    <row r="92" spans="1:6" ht="13" x14ac:dyDescent="0.3">
      <c r="A92">
        <v>13</v>
      </c>
      <c r="B92" s="1138">
        <f>B80</f>
        <v>1</v>
      </c>
      <c r="C92" s="14">
        <f>'Données normes'!B60*'Données normes'!E60*'Données normes'!B83*B92</f>
        <v>30240.000000000004</v>
      </c>
      <c r="D92" s="199">
        <f>D80</f>
        <v>0.112</v>
      </c>
      <c r="E92" s="1138">
        <f>E80</f>
        <v>0.8</v>
      </c>
      <c r="F92" s="143">
        <f t="shared" si="1"/>
        <v>3386.8800000000006</v>
      </c>
    </row>
    <row r="93" spans="1:6" ht="13" x14ac:dyDescent="0.3">
      <c r="A93">
        <v>14</v>
      </c>
      <c r="B93" s="1138">
        <f>B80</f>
        <v>1</v>
      </c>
      <c r="C93" s="14">
        <f>'Données normes'!B61*'Données normes'!E61*'Données normes'!B84*B93</f>
        <v>30240.000000000004</v>
      </c>
      <c r="D93" s="199">
        <f>D80</f>
        <v>0.112</v>
      </c>
      <c r="E93" s="1138">
        <f>E80</f>
        <v>0.8</v>
      </c>
      <c r="F93" s="143">
        <f t="shared" si="1"/>
        <v>3386.8800000000006</v>
      </c>
    </row>
    <row r="94" spans="1:6" ht="13" x14ac:dyDescent="0.3">
      <c r="A94">
        <v>15</v>
      </c>
      <c r="B94" s="1138">
        <f>B80</f>
        <v>1</v>
      </c>
      <c r="C94" s="14">
        <f>'Données normes'!B62*'Données normes'!E62*'Données normes'!B85*B94</f>
        <v>30240.000000000004</v>
      </c>
      <c r="D94" s="199">
        <f>D80</f>
        <v>0.112</v>
      </c>
      <c r="E94" s="1138">
        <f>E80</f>
        <v>0.8</v>
      </c>
      <c r="F94" s="143">
        <f t="shared" si="1"/>
        <v>3386.8800000000006</v>
      </c>
    </row>
    <row r="95" spans="1:6" ht="13" x14ac:dyDescent="0.3">
      <c r="A95" s="1144" t="s">
        <v>548</v>
      </c>
      <c r="C95" s="1145">
        <f>AVERAGE(C83:C94)</f>
        <v>31430</v>
      </c>
      <c r="D95" s="1143">
        <f>AVERAGE(D83:D94)</f>
        <v>0.11200000000000003</v>
      </c>
      <c r="F95" s="1145">
        <f t="shared" si="1"/>
        <v>3520.1600000000008</v>
      </c>
    </row>
    <row r="96" spans="1:6" ht="13" x14ac:dyDescent="0.3">
      <c r="A96" s="1144" t="s">
        <v>549</v>
      </c>
      <c r="C96" s="1145">
        <f>SUM(C83:C94)</f>
        <v>377160</v>
      </c>
    </row>
  </sheetData>
  <mergeCells count="2">
    <mergeCell ref="A6:H6"/>
    <mergeCell ref="B3:H3"/>
  </mergeCells>
  <phoneticPr fontId="24" type="noConversion"/>
  <dataValidations count="1">
    <dataValidation type="whole" operator="notEqual" showErrorMessage="1" errorTitle="Falsche Länge" error="Es muss eine Länge eingetragen sein" sqref="J5">
      <formula1>0</formula1>
    </dataValidation>
  </dataValidations>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indexed="10"/>
  </sheetPr>
  <dimension ref="A1:K144"/>
  <sheetViews>
    <sheetView zoomScale="70" workbookViewId="0">
      <selection activeCell="H20" sqref="H20"/>
    </sheetView>
  </sheetViews>
  <sheetFormatPr baseColWidth="10" defaultRowHeight="12.5" x14ac:dyDescent="0.25"/>
  <cols>
    <col min="1" max="1" width="36.453125" customWidth="1"/>
    <col min="2" max="2" width="47.54296875" customWidth="1"/>
    <col min="3" max="3" width="15" customWidth="1"/>
    <col min="4" max="4" width="13.453125" customWidth="1"/>
    <col min="5" max="5" width="18.7265625" customWidth="1"/>
    <col min="6" max="6" width="21.54296875" customWidth="1"/>
    <col min="7" max="7" width="14.26953125" customWidth="1"/>
    <col min="8" max="8" width="15" customWidth="1"/>
    <col min="9" max="9" width="13" customWidth="1"/>
  </cols>
  <sheetData>
    <row r="1" spans="1:11" ht="25" x14ac:dyDescent="0.5">
      <c r="A1" s="1441" t="str">
        <f>'Normes grêle'!A1</f>
        <v>Arbokost 2023</v>
      </c>
      <c r="B1" s="18"/>
      <c r="C1" s="18"/>
      <c r="D1" s="18"/>
      <c r="E1" s="18"/>
      <c r="F1" s="18"/>
      <c r="G1" s="18"/>
      <c r="H1" s="18"/>
      <c r="I1" s="1"/>
    </row>
    <row r="2" spans="1:11" ht="18" x14ac:dyDescent="0.25">
      <c r="A2" s="1132" t="str">
        <f>'[1]Standard données'!$A$2</f>
        <v>Standard 1ha</v>
      </c>
      <c r="B2" s="18">
        <f>'Données normes'!B24</f>
        <v>2000</v>
      </c>
      <c r="C2" s="18"/>
      <c r="D2" s="18"/>
      <c r="E2" s="18"/>
      <c r="F2" s="18"/>
      <c r="G2" s="18"/>
      <c r="H2" s="18"/>
      <c r="I2" s="1"/>
    </row>
    <row r="3" spans="1:11" ht="38.25" customHeight="1" x14ac:dyDescent="0.25">
      <c r="A3" s="18" t="s">
        <v>539</v>
      </c>
      <c r="B3" s="18" t="s">
        <v>490</v>
      </c>
      <c r="C3" s="18"/>
      <c r="D3" s="18"/>
      <c r="E3" s="18"/>
      <c r="F3" s="18"/>
      <c r="G3" s="18"/>
      <c r="H3" s="18"/>
      <c r="I3" s="18"/>
    </row>
    <row r="4" spans="1:11" x14ac:dyDescent="0.25">
      <c r="A4" s="18"/>
      <c r="B4" s="18"/>
      <c r="C4" s="18"/>
      <c r="D4" s="18"/>
      <c r="E4" s="18"/>
      <c r="F4" s="18"/>
      <c r="G4" s="18"/>
      <c r="H4" s="18"/>
      <c r="I4" s="18"/>
    </row>
    <row r="5" spans="1:11" x14ac:dyDescent="0.25">
      <c r="I5" s="13"/>
    </row>
    <row r="6" spans="1:11" ht="13" x14ac:dyDescent="0.3">
      <c r="A6" s="72" t="str">
        <f>'Normes grêle'!A7</f>
        <v>Inflation materieaux de construction du 2015 au 2023</v>
      </c>
      <c r="B6" s="70"/>
      <c r="C6" s="1456">
        <f>'Normes grêle'!C7</f>
        <v>0.18</v>
      </c>
      <c r="D6" s="70"/>
      <c r="E6" s="70"/>
      <c r="F6" s="1117"/>
      <c r="G6" s="147"/>
      <c r="I6" s="13"/>
    </row>
    <row r="7" spans="1:11" s="70" customFormat="1" ht="20" x14ac:dyDescent="0.4">
      <c r="A7" s="589" t="s">
        <v>655</v>
      </c>
      <c r="B7" s="589" t="s">
        <v>654</v>
      </c>
      <c r="C7" s="519"/>
      <c r="D7" s="1519"/>
      <c r="E7" s="1519"/>
      <c r="F7" s="1519"/>
      <c r="G7" s="1519"/>
      <c r="H7" s="519"/>
      <c r="I7" s="1159"/>
    </row>
    <row r="8" spans="1:11" ht="20" x14ac:dyDescent="0.4">
      <c r="A8" s="589" t="s">
        <v>656</v>
      </c>
      <c r="B8" s="522"/>
      <c r="C8" s="522"/>
      <c r="D8" s="783"/>
      <c r="E8" s="783"/>
      <c r="F8" s="1115" t="s">
        <v>244</v>
      </c>
      <c r="G8" s="1115" t="s">
        <v>240</v>
      </c>
      <c r="H8" s="86" t="s">
        <v>343</v>
      </c>
      <c r="I8" s="1116"/>
    </row>
    <row r="9" spans="1:11" x14ac:dyDescent="0.25">
      <c r="A9" s="1118" t="s">
        <v>142</v>
      </c>
      <c r="B9" s="54" t="s">
        <v>527</v>
      </c>
      <c r="C9" s="54"/>
      <c r="F9" s="1119"/>
      <c r="G9" s="45"/>
      <c r="H9" s="1120">
        <f>6000*(1+C6)</f>
        <v>7080</v>
      </c>
      <c r="I9" s="193">
        <f t="shared" ref="I9:I20" si="0">H9/$H$20</f>
        <v>0.28361634880003844</v>
      </c>
      <c r="K9">
        <v>7080</v>
      </c>
    </row>
    <row r="10" spans="1:11" x14ac:dyDescent="0.25">
      <c r="B10" s="54" t="s">
        <v>528</v>
      </c>
      <c r="C10" s="54"/>
      <c r="F10" s="93"/>
      <c r="G10" s="45"/>
      <c r="H10" s="1121">
        <f>2500*(1+C6)</f>
        <v>2950</v>
      </c>
      <c r="I10" s="193">
        <f t="shared" si="0"/>
        <v>0.11817347866668269</v>
      </c>
      <c r="K10">
        <v>2950</v>
      </c>
    </row>
    <row r="11" spans="1:11" x14ac:dyDescent="0.25">
      <c r="B11" s="54" t="s">
        <v>529</v>
      </c>
      <c r="C11" s="54"/>
      <c r="F11" s="93"/>
      <c r="G11" s="45"/>
      <c r="H11" s="1121">
        <f>720*(1+C6)</f>
        <v>849.59999999999991</v>
      </c>
      <c r="I11" s="193">
        <f t="shared" si="0"/>
        <v>3.4033961856004609E-2</v>
      </c>
      <c r="K11">
        <v>849.59999999999991</v>
      </c>
    </row>
    <row r="12" spans="1:11" x14ac:dyDescent="0.25">
      <c r="B12" s="54" t="s">
        <v>530</v>
      </c>
      <c r="H12" s="1121">
        <f>700*(1+C6)</f>
        <v>826</v>
      </c>
      <c r="I12" s="193">
        <f t="shared" si="0"/>
        <v>3.3088574026671154E-2</v>
      </c>
      <c r="K12">
        <v>826</v>
      </c>
    </row>
    <row r="13" spans="1:11" x14ac:dyDescent="0.25">
      <c r="B13" t="s">
        <v>531</v>
      </c>
      <c r="F13" s="527">
        <v>400</v>
      </c>
      <c r="G13" s="527">
        <f>11*(1+C6)</f>
        <v>12.979999999999999</v>
      </c>
      <c r="H13" s="217">
        <f>F13*G13</f>
        <v>5191.9999999999991</v>
      </c>
      <c r="I13" s="193">
        <f t="shared" si="0"/>
        <v>0.20798532245336152</v>
      </c>
      <c r="K13">
        <v>5191.9999999999991</v>
      </c>
    </row>
    <row r="14" spans="1:11" x14ac:dyDescent="0.25">
      <c r="B14" t="s">
        <v>532</v>
      </c>
      <c r="F14" s="527">
        <v>5</v>
      </c>
      <c r="G14" s="527">
        <f>30*(1+C6)</f>
        <v>35.4</v>
      </c>
      <c r="H14" s="217">
        <f>F14*G14</f>
        <v>177</v>
      </c>
      <c r="I14" s="193">
        <f t="shared" si="0"/>
        <v>7.0904087200009619E-3</v>
      </c>
      <c r="K14">
        <v>177</v>
      </c>
    </row>
    <row r="15" spans="1:11" x14ac:dyDescent="0.25">
      <c r="B15" t="s">
        <v>533</v>
      </c>
      <c r="F15" s="527">
        <v>33</v>
      </c>
      <c r="G15" s="527">
        <f>75*(1+C6)</f>
        <v>88.5</v>
      </c>
      <c r="H15" s="217">
        <f>F15*G15</f>
        <v>2920.5</v>
      </c>
      <c r="I15" s="193">
        <f t="shared" si="0"/>
        <v>0.11699174388001586</v>
      </c>
      <c r="K15">
        <v>2920.5</v>
      </c>
    </row>
    <row r="16" spans="1:11" ht="13" thickBot="1" x14ac:dyDescent="0.3">
      <c r="B16" t="s">
        <v>534</v>
      </c>
      <c r="F16" s="527">
        <v>33</v>
      </c>
      <c r="G16" s="527">
        <f>30*(1+C6)</f>
        <v>35.4</v>
      </c>
      <c r="H16" s="580">
        <f>F16*G16</f>
        <v>1168.2</v>
      </c>
      <c r="I16" s="193">
        <f t="shared" si="0"/>
        <v>4.6796697552006349E-2</v>
      </c>
      <c r="K16">
        <v>1168.2</v>
      </c>
    </row>
    <row r="17" spans="1:11" ht="13" x14ac:dyDescent="0.3">
      <c r="H17" s="656">
        <f>SUM(H9:H16)</f>
        <v>21163.3</v>
      </c>
      <c r="I17" s="193">
        <f t="shared" si="0"/>
        <v>0.84777653595478164</v>
      </c>
      <c r="K17">
        <v>21163.3</v>
      </c>
    </row>
    <row r="18" spans="1:11" ht="13" x14ac:dyDescent="0.3">
      <c r="A18" t="s">
        <v>535</v>
      </c>
      <c r="H18" s="1122">
        <v>1000</v>
      </c>
      <c r="I18" s="1123">
        <f t="shared" si="0"/>
        <v>4.0058806327689052E-2</v>
      </c>
    </row>
    <row r="19" spans="1:11" ht="13.5" thickBot="1" x14ac:dyDescent="0.35">
      <c r="A19" t="s">
        <v>536</v>
      </c>
      <c r="F19" s="1124">
        <v>100</v>
      </c>
      <c r="G19" s="45">
        <f>'Données normes'!C37</f>
        <v>28</v>
      </c>
      <c r="H19" s="201">
        <f>F19*G19</f>
        <v>2800</v>
      </c>
      <c r="I19" s="1123">
        <f t="shared" si="0"/>
        <v>0.11216465771752934</v>
      </c>
    </row>
    <row r="20" spans="1:11" s="1" customFormat="1" ht="18" x14ac:dyDescent="0.4">
      <c r="A20" s="560" t="s">
        <v>537</v>
      </c>
      <c r="B20" s="18"/>
      <c r="C20" s="18"/>
      <c r="F20" s="1257"/>
      <c r="G20" s="1258"/>
      <c r="H20" s="1266">
        <f>SUM(H17:H19)</f>
        <v>24963.3</v>
      </c>
      <c r="I20" s="1260">
        <f t="shared" si="0"/>
        <v>1</v>
      </c>
    </row>
    <row r="22" spans="1:11" s="70" customFormat="1" ht="13" x14ac:dyDescent="0.3">
      <c r="A22" s="1141" t="s">
        <v>559</v>
      </c>
      <c r="B22" s="519"/>
      <c r="C22" s="519"/>
      <c r="D22" s="519"/>
      <c r="E22" s="519"/>
      <c r="F22" s="519"/>
      <c r="G22" s="519"/>
      <c r="H22" s="1396"/>
      <c r="I22" s="1396"/>
    </row>
    <row r="23" spans="1:11" ht="13" x14ac:dyDescent="0.3">
      <c r="C23" s="77" t="s">
        <v>554</v>
      </c>
      <c r="D23" s="77" t="s">
        <v>562</v>
      </c>
      <c r="E23" s="77" t="s">
        <v>339</v>
      </c>
      <c r="F23" s="77" t="s">
        <v>555</v>
      </c>
      <c r="G23" s="77" t="s">
        <v>556</v>
      </c>
      <c r="H23" s="77" t="s">
        <v>557</v>
      </c>
      <c r="I23" s="1161" t="s">
        <v>561</v>
      </c>
    </row>
    <row r="24" spans="1:11" x14ac:dyDescent="0.25">
      <c r="B24" t="s">
        <v>558</v>
      </c>
      <c r="C24" s="1163">
        <f>(F24*H24)/1000</f>
        <v>2592</v>
      </c>
      <c r="D24" s="10">
        <f>'Données normes'!$C$182</f>
        <v>0</v>
      </c>
      <c r="F24" s="527">
        <v>54</v>
      </c>
      <c r="G24" s="527">
        <v>24</v>
      </c>
      <c r="H24" s="1160">
        <f>G24*'Données normes'!B24</f>
        <v>48000</v>
      </c>
      <c r="I24" s="112">
        <f>C24*D24</f>
        <v>0</v>
      </c>
      <c r="J24" s="199">
        <f>I24/$I$27</f>
        <v>0</v>
      </c>
    </row>
    <row r="25" spans="1:11" ht="13" x14ac:dyDescent="0.3">
      <c r="B25" t="s">
        <v>560</v>
      </c>
      <c r="E25" s="775">
        <v>50</v>
      </c>
      <c r="I25" s="112">
        <f>E25</f>
        <v>50</v>
      </c>
      <c r="J25" s="199">
        <f>I25/$I$27</f>
        <v>0.11312217194570136</v>
      </c>
    </row>
    <row r="26" spans="1:11" ht="13" thickBot="1" x14ac:dyDescent="0.3">
      <c r="B26" s="54" t="s">
        <v>538</v>
      </c>
      <c r="C26" s="66"/>
      <c r="D26" s="1126">
        <v>14</v>
      </c>
      <c r="E26" s="45">
        <f>'Données normes'!C37</f>
        <v>28</v>
      </c>
      <c r="I26" s="580">
        <f>D26*E26</f>
        <v>392</v>
      </c>
      <c r="J26" s="199">
        <f>I26/$I$27</f>
        <v>0.8868778280542986</v>
      </c>
    </row>
    <row r="27" spans="1:11" ht="13" x14ac:dyDescent="0.3">
      <c r="A27" t="s">
        <v>59</v>
      </c>
      <c r="I27" s="1125">
        <f>SUM(I24:I26)</f>
        <v>442</v>
      </c>
      <c r="J27" s="199">
        <f>I27/$I$27</f>
        <v>1</v>
      </c>
    </row>
    <row r="28" spans="1:11" ht="13" x14ac:dyDescent="0.3">
      <c r="H28" s="1432">
        <f>'Données normes'!C183</f>
        <v>1</v>
      </c>
      <c r="I28" s="1125">
        <f>H28*I27</f>
        <v>442</v>
      </c>
    </row>
    <row r="29" spans="1:11" ht="20" x14ac:dyDescent="0.4">
      <c r="A29" s="589" t="s">
        <v>657</v>
      </c>
      <c r="B29" s="589" t="s">
        <v>658</v>
      </c>
      <c r="C29" s="1519"/>
      <c r="D29" s="1519"/>
      <c r="E29" s="1519"/>
      <c r="F29" s="1519"/>
      <c r="G29" s="589"/>
      <c r="H29" s="589"/>
      <c r="I29" s="1296"/>
    </row>
    <row r="30" spans="1:11" ht="14" x14ac:dyDescent="0.3">
      <c r="A30" s="1164"/>
      <c r="B30" s="1230">
        <f>'Données normes'!C23</f>
        <v>21</v>
      </c>
      <c r="C30" s="1165">
        <f>'Données normes'!C18</f>
        <v>110</v>
      </c>
      <c r="D30" s="785" t="s">
        <v>244</v>
      </c>
      <c r="E30" s="36"/>
      <c r="F30" s="785" t="s">
        <v>282</v>
      </c>
      <c r="G30" s="1166"/>
      <c r="H30" s="785" t="s">
        <v>564</v>
      </c>
      <c r="I30" s="783"/>
    </row>
    <row r="31" spans="1:11" s="1" customFormat="1" ht="13" x14ac:dyDescent="0.3">
      <c r="A31" s="46" t="s">
        <v>675</v>
      </c>
      <c r="B31" s="54" t="s">
        <v>527</v>
      </c>
      <c r="C31" s="54"/>
      <c r="D31"/>
      <c r="E31"/>
      <c r="F31" s="1119"/>
      <c r="G31" s="45"/>
      <c r="H31" s="1120">
        <v>0</v>
      </c>
    </row>
    <row r="32" spans="1:11" s="1" customFormat="1" x14ac:dyDescent="0.25">
      <c r="A32" s="1414"/>
      <c r="B32" s="54" t="s">
        <v>528</v>
      </c>
      <c r="C32" s="54"/>
      <c r="D32"/>
      <c r="E32"/>
      <c r="F32" s="93"/>
      <c r="G32" s="45"/>
      <c r="H32" s="1121">
        <v>0</v>
      </c>
    </row>
    <row r="33" spans="1:9" s="1" customFormat="1" x14ac:dyDescent="0.25">
      <c r="A33" s="1414"/>
      <c r="B33" s="54" t="s">
        <v>529</v>
      </c>
      <c r="C33" s="54"/>
      <c r="D33"/>
      <c r="E33"/>
      <c r="F33" s="93"/>
      <c r="G33" s="45"/>
      <c r="H33" s="1121">
        <v>0</v>
      </c>
    </row>
    <row r="34" spans="1:9" s="1" customFormat="1" ht="13" thickBot="1" x14ac:dyDescent="0.3">
      <c r="A34" s="1414"/>
      <c r="B34" s="54" t="s">
        <v>530</v>
      </c>
      <c r="C34"/>
      <c r="D34"/>
      <c r="E34"/>
      <c r="F34"/>
      <c r="G34"/>
      <c r="H34" s="1422">
        <v>0</v>
      </c>
    </row>
    <row r="35" spans="1:9" s="1" customFormat="1" ht="13" x14ac:dyDescent="0.3">
      <c r="A35" s="1414"/>
      <c r="B35" s="54"/>
      <c r="C35"/>
      <c r="D35"/>
      <c r="E35"/>
      <c r="F35"/>
      <c r="G35"/>
      <c r="H35" s="656">
        <f>SUM(H31:H34)</f>
        <v>0</v>
      </c>
    </row>
    <row r="36" spans="1:9" ht="13" x14ac:dyDescent="0.3">
      <c r="A36" s="46" t="s">
        <v>576</v>
      </c>
      <c r="C36" s="13"/>
      <c r="D36" s="13"/>
      <c r="E36" s="1167"/>
      <c r="F36" s="1168"/>
      <c r="G36" s="1168"/>
      <c r="H36" s="1169"/>
    </row>
    <row r="37" spans="1:9" x14ac:dyDescent="0.25">
      <c r="A37" s="1254" t="s">
        <v>565</v>
      </c>
      <c r="B37" s="13"/>
      <c r="C37" s="13"/>
      <c r="D37" s="1170"/>
      <c r="E37" s="1167"/>
      <c r="F37" s="1168"/>
      <c r="G37" s="1168"/>
      <c r="H37" s="1171"/>
    </row>
    <row r="38" spans="1:9" x14ac:dyDescent="0.25">
      <c r="A38" s="13"/>
      <c r="B38" s="13" t="s">
        <v>581</v>
      </c>
      <c r="C38" s="13"/>
      <c r="D38" s="1170">
        <f>((B30*C30)+50)</f>
        <v>2360</v>
      </c>
      <c r="E38" s="1167"/>
      <c r="F38" s="1168">
        <v>1.35</v>
      </c>
      <c r="G38" s="1168"/>
      <c r="H38" s="1171">
        <f>F38*D38</f>
        <v>3186</v>
      </c>
      <c r="I38" s="199">
        <f t="shared" ref="I38:I76" si="1">H38/$H$77</f>
        <v>0.29257084925438509</v>
      </c>
    </row>
    <row r="39" spans="1:9" x14ac:dyDescent="0.25">
      <c r="A39" s="13"/>
      <c r="B39" s="144" t="s">
        <v>582</v>
      </c>
      <c r="C39" s="13"/>
      <c r="D39" s="1170"/>
      <c r="E39" s="1167"/>
      <c r="F39" s="1168"/>
      <c r="G39" s="1168"/>
      <c r="H39" s="1171"/>
      <c r="I39" s="199"/>
    </row>
    <row r="40" spans="1:9" ht="13" x14ac:dyDescent="0.3">
      <c r="A40" s="13"/>
      <c r="B40" s="1215" t="s">
        <v>583</v>
      </c>
      <c r="C40" s="1172"/>
      <c r="D40" s="1216">
        <f>B30</f>
        <v>21</v>
      </c>
      <c r="E40" s="1174"/>
      <c r="F40" s="1175">
        <v>7</v>
      </c>
      <c r="G40" s="1168"/>
      <c r="H40" s="1171">
        <f>F40*D40</f>
        <v>147</v>
      </c>
      <c r="I40" s="199">
        <f t="shared" si="1"/>
        <v>1.3499031651096866E-2</v>
      </c>
    </row>
    <row r="41" spans="1:9" x14ac:dyDescent="0.25">
      <c r="A41" s="13"/>
      <c r="B41" s="18" t="s">
        <v>584</v>
      </c>
      <c r="C41" s="13"/>
      <c r="D41" s="1216">
        <f>B30</f>
        <v>21</v>
      </c>
      <c r="E41" s="1174"/>
      <c r="F41" s="1175">
        <v>6.5</v>
      </c>
      <c r="G41" s="1168"/>
      <c r="H41" s="1171">
        <f>F41*D41</f>
        <v>136.5</v>
      </c>
      <c r="I41" s="199">
        <f t="shared" si="1"/>
        <v>1.2534815104589946E-2</v>
      </c>
    </row>
    <row r="42" spans="1:9" x14ac:dyDescent="0.25">
      <c r="A42" s="13"/>
      <c r="B42" s="18" t="s">
        <v>585</v>
      </c>
      <c r="C42" s="13"/>
      <c r="D42" s="1173">
        <f>(5000/2000)*1666</f>
        <v>4165</v>
      </c>
      <c r="E42" s="1174"/>
      <c r="F42" s="1175">
        <v>0.06</v>
      </c>
      <c r="G42" s="1168"/>
      <c r="H42" s="1171">
        <f>F42*D42</f>
        <v>249.89999999999998</v>
      </c>
      <c r="I42" s="199">
        <f t="shared" si="1"/>
        <v>2.294835380686467E-2</v>
      </c>
    </row>
    <row r="43" spans="1:9" ht="13" thickBot="1" x14ac:dyDescent="0.3">
      <c r="A43" s="13"/>
      <c r="B43" s="13" t="s">
        <v>586</v>
      </c>
      <c r="C43" s="13"/>
      <c r="D43" s="1173"/>
      <c r="E43" s="1174"/>
      <c r="F43" s="1175"/>
      <c r="G43" s="1168"/>
      <c r="H43" s="1217">
        <v>250</v>
      </c>
      <c r="I43" s="199">
        <f t="shared" si="1"/>
        <v>2.2957536821593308E-2</v>
      </c>
    </row>
    <row r="44" spans="1:9" ht="13" x14ac:dyDescent="0.3">
      <c r="A44" s="69" t="s">
        <v>599</v>
      </c>
      <c r="B44" s="69"/>
      <c r="C44" s="69"/>
      <c r="D44" s="1176"/>
      <c r="E44" s="1177"/>
      <c r="F44" s="1178"/>
      <c r="G44" s="1179"/>
      <c r="H44" s="1180">
        <f>SUM(H38:H43)</f>
        <v>3969.4</v>
      </c>
      <c r="I44" s="199">
        <f t="shared" si="1"/>
        <v>0.36451058663852992</v>
      </c>
    </row>
    <row r="45" spans="1:9" ht="13" x14ac:dyDescent="0.3">
      <c r="A45" s="46" t="s">
        <v>577</v>
      </c>
      <c r="B45" s="13" t="s">
        <v>68</v>
      </c>
      <c r="C45" s="13"/>
      <c r="D45" s="1173"/>
      <c r="E45" s="1174"/>
      <c r="F45" s="1175"/>
      <c r="G45" s="1168"/>
      <c r="H45" s="1171"/>
      <c r="I45" s="199">
        <f t="shared" si="1"/>
        <v>0</v>
      </c>
    </row>
    <row r="46" spans="1:9" x14ac:dyDescent="0.25">
      <c r="A46" s="13"/>
      <c r="B46" s="13" t="s">
        <v>587</v>
      </c>
      <c r="C46" s="13"/>
      <c r="D46" s="1182">
        <f>(300/2000)*1666</f>
        <v>249.89999999999998</v>
      </c>
      <c r="E46" s="1174"/>
      <c r="F46" s="1175">
        <v>3.8</v>
      </c>
      <c r="G46" s="1168"/>
      <c r="H46" s="1171">
        <f>F46*D46</f>
        <v>949.61999999999989</v>
      </c>
      <c r="I46" s="199">
        <f t="shared" si="1"/>
        <v>8.7203744466085739E-2</v>
      </c>
    </row>
    <row r="47" spans="1:9" x14ac:dyDescent="0.25">
      <c r="A47" s="13"/>
      <c r="B47" s="18" t="s">
        <v>588</v>
      </c>
      <c r="C47" s="13"/>
      <c r="D47" s="1216">
        <v>3</v>
      </c>
      <c r="E47" s="1183"/>
      <c r="F47" s="1175">
        <v>60</v>
      </c>
      <c r="G47" s="1168"/>
      <c r="H47" s="1171">
        <f>F47*D47</f>
        <v>180</v>
      </c>
      <c r="I47" s="199">
        <f t="shared" si="1"/>
        <v>1.6529426511547183E-2</v>
      </c>
    </row>
    <row r="48" spans="1:9" ht="13" thickBot="1" x14ac:dyDescent="0.3">
      <c r="A48" s="13"/>
      <c r="B48" s="13" t="s">
        <v>586</v>
      </c>
      <c r="C48" s="13"/>
      <c r="D48" s="533"/>
      <c r="E48" s="533"/>
      <c r="F48" s="533"/>
      <c r="G48" s="13"/>
      <c r="H48" s="1184">
        <v>250</v>
      </c>
      <c r="I48" s="199">
        <f t="shared" si="1"/>
        <v>2.2957536821593308E-2</v>
      </c>
    </row>
    <row r="49" spans="1:9" ht="13" x14ac:dyDescent="0.3">
      <c r="A49" s="69" t="s">
        <v>580</v>
      </c>
      <c r="B49" s="84"/>
      <c r="C49" s="69"/>
      <c r="D49" s="1185"/>
      <c r="E49" s="1186"/>
      <c r="F49" s="1178"/>
      <c r="G49" s="1179"/>
      <c r="H49" s="1187">
        <f>SUM(H46:H48)</f>
        <v>1379.62</v>
      </c>
      <c r="I49" s="199">
        <f t="shared" si="1"/>
        <v>0.12669070779922623</v>
      </c>
    </row>
    <row r="50" spans="1:9" ht="13" x14ac:dyDescent="0.3">
      <c r="A50" s="69" t="s">
        <v>578</v>
      </c>
      <c r="B50" s="13" t="s">
        <v>598</v>
      </c>
      <c r="C50" s="13"/>
      <c r="D50" s="1216">
        <v>1</v>
      </c>
      <c r="E50" s="1183"/>
      <c r="F50" s="1175">
        <v>300</v>
      </c>
      <c r="G50" s="1168"/>
      <c r="H50" s="1171">
        <f t="shared" ref="H50:H55" si="2">F50*D50</f>
        <v>300</v>
      </c>
      <c r="I50" s="199">
        <f t="shared" si="1"/>
        <v>2.7549044185911968E-2</v>
      </c>
    </row>
    <row r="51" spans="1:9" x14ac:dyDescent="0.25">
      <c r="A51" s="13"/>
      <c r="B51" s="18" t="s">
        <v>588</v>
      </c>
      <c r="C51" s="13"/>
      <c r="D51" s="1216">
        <v>1</v>
      </c>
      <c r="E51" s="1183"/>
      <c r="F51" s="1175">
        <v>120</v>
      </c>
      <c r="G51" s="1168"/>
      <c r="H51" s="1171">
        <f t="shared" si="2"/>
        <v>120</v>
      </c>
      <c r="I51" s="199">
        <f t="shared" si="1"/>
        <v>1.1019617674364789E-2</v>
      </c>
    </row>
    <row r="52" spans="1:9" x14ac:dyDescent="0.25">
      <c r="A52" s="13"/>
      <c r="B52" s="13" t="s">
        <v>589</v>
      </c>
      <c r="C52" s="13"/>
      <c r="D52" s="1216">
        <v>1</v>
      </c>
      <c r="E52" s="1183"/>
      <c r="F52" s="1175">
        <v>75</v>
      </c>
      <c r="G52" s="1168"/>
      <c r="H52" s="1171">
        <f t="shared" si="2"/>
        <v>75</v>
      </c>
      <c r="I52" s="199">
        <f t="shared" si="1"/>
        <v>6.887261046477992E-3</v>
      </c>
    </row>
    <row r="53" spans="1:9" x14ac:dyDescent="0.25">
      <c r="A53" s="13"/>
      <c r="B53" s="13" t="s">
        <v>590</v>
      </c>
      <c r="C53" s="13"/>
      <c r="D53" s="1216">
        <v>1</v>
      </c>
      <c r="E53" s="1183"/>
      <c r="F53" s="1175">
        <v>70</v>
      </c>
      <c r="G53" s="1168"/>
      <c r="H53" s="1171">
        <f t="shared" si="2"/>
        <v>70</v>
      </c>
      <c r="I53" s="199">
        <f t="shared" si="1"/>
        <v>6.4281103100461258E-3</v>
      </c>
    </row>
    <row r="54" spans="1:9" x14ac:dyDescent="0.25">
      <c r="A54" s="13"/>
      <c r="B54" s="13" t="s">
        <v>591</v>
      </c>
      <c r="C54" s="13"/>
      <c r="D54" s="1216">
        <v>2</v>
      </c>
      <c r="E54" s="1183"/>
      <c r="F54" s="1175">
        <v>130</v>
      </c>
      <c r="G54" s="1168"/>
      <c r="H54" s="1171">
        <f t="shared" si="2"/>
        <v>260</v>
      </c>
      <c r="I54" s="199">
        <f t="shared" si="1"/>
        <v>2.3875838294457042E-2</v>
      </c>
    </row>
    <row r="55" spans="1:9" x14ac:dyDescent="0.25">
      <c r="A55" s="13"/>
      <c r="B55" s="13" t="s">
        <v>592</v>
      </c>
      <c r="C55" s="13"/>
      <c r="D55" s="1216">
        <v>1</v>
      </c>
      <c r="E55" s="1183"/>
      <c r="F55" s="1175">
        <v>350</v>
      </c>
      <c r="G55" s="1168"/>
      <c r="H55" s="1171">
        <f t="shared" si="2"/>
        <v>350</v>
      </c>
      <c r="I55" s="199">
        <f t="shared" si="1"/>
        <v>3.2140551550230628E-2</v>
      </c>
    </row>
    <row r="56" spans="1:9" ht="13" thickBot="1" x14ac:dyDescent="0.3">
      <c r="A56" s="13"/>
      <c r="B56" s="13" t="s">
        <v>586</v>
      </c>
      <c r="C56" s="13"/>
      <c r="D56" s="1216"/>
      <c r="E56" s="533"/>
      <c r="F56" s="533"/>
      <c r="G56" s="13"/>
      <c r="H56" s="1217">
        <v>100</v>
      </c>
      <c r="I56" s="199">
        <f t="shared" si="1"/>
        <v>9.1830147286373238E-3</v>
      </c>
    </row>
    <row r="57" spans="1:9" ht="13" x14ac:dyDescent="0.3">
      <c r="A57" s="46" t="s">
        <v>595</v>
      </c>
      <c r="B57" s="84"/>
      <c r="C57" s="69"/>
      <c r="D57" s="1216"/>
      <c r="E57" s="1186"/>
      <c r="F57" s="1178"/>
      <c r="G57" s="1179"/>
      <c r="H57" s="1180">
        <f>SUM(H50:H56)</f>
        <v>1275</v>
      </c>
      <c r="I57" s="199">
        <f t="shared" si="1"/>
        <v>0.11708343779012587</v>
      </c>
    </row>
    <row r="58" spans="1:9" x14ac:dyDescent="0.25">
      <c r="A58" s="68" t="s">
        <v>596</v>
      </c>
      <c r="B58" s="68" t="s">
        <v>593</v>
      </c>
      <c r="C58" s="68"/>
      <c r="D58" s="1216">
        <v>1</v>
      </c>
      <c r="E58" s="1188"/>
      <c r="F58" s="1189">
        <v>1580</v>
      </c>
      <c r="G58" s="1190"/>
      <c r="H58" s="1191"/>
      <c r="I58" s="199">
        <f t="shared" si="1"/>
        <v>0</v>
      </c>
    </row>
    <row r="59" spans="1:9" ht="13" thickBot="1" x14ac:dyDescent="0.3">
      <c r="A59" s="68" t="s">
        <v>596</v>
      </c>
      <c r="B59" s="68" t="s">
        <v>594</v>
      </c>
      <c r="C59" s="68"/>
      <c r="D59" s="1216">
        <v>1</v>
      </c>
      <c r="E59" s="1188"/>
      <c r="F59" s="1189">
        <v>1250</v>
      </c>
      <c r="G59" s="1190"/>
      <c r="H59" s="1191"/>
      <c r="I59" s="199">
        <f t="shared" si="1"/>
        <v>0</v>
      </c>
    </row>
    <row r="60" spans="1:9" ht="13" x14ac:dyDescent="0.3">
      <c r="A60" s="69" t="s">
        <v>597</v>
      </c>
      <c r="B60" s="84"/>
      <c r="C60" s="69"/>
      <c r="D60" s="1192"/>
      <c r="E60" s="1193"/>
      <c r="F60" s="1179"/>
      <c r="G60" s="1179"/>
      <c r="H60" s="1180">
        <f>H35+H44+H49+H57+H58+H59</f>
        <v>6624.02</v>
      </c>
      <c r="I60" s="199">
        <f t="shared" si="1"/>
        <v>0.60828473222788204</v>
      </c>
    </row>
    <row r="61" spans="1:9" x14ac:dyDescent="0.25">
      <c r="B61" s="18"/>
      <c r="C61" s="13"/>
      <c r="D61" s="1194"/>
      <c r="E61" s="1195"/>
      <c r="F61" s="1168"/>
      <c r="G61" s="1168"/>
      <c r="H61" s="1171"/>
      <c r="I61" s="199">
        <f t="shared" si="1"/>
        <v>0</v>
      </c>
    </row>
    <row r="62" spans="1:9" ht="13" x14ac:dyDescent="0.3">
      <c r="A62" s="84" t="s">
        <v>609</v>
      </c>
      <c r="B62" s="72"/>
      <c r="C62" s="18"/>
      <c r="D62" s="613" t="s">
        <v>244</v>
      </c>
      <c r="E62" s="613" t="s">
        <v>616</v>
      </c>
      <c r="F62" s="613" t="s">
        <v>383</v>
      </c>
      <c r="G62" s="613"/>
      <c r="H62" s="613" t="s">
        <v>564</v>
      </c>
      <c r="I62" s="199"/>
    </row>
    <row r="63" spans="1:9" x14ac:dyDescent="0.25">
      <c r="A63" s="18"/>
      <c r="B63" s="1"/>
      <c r="C63" s="18"/>
      <c r="D63" s="1257"/>
      <c r="E63" s="1267"/>
      <c r="F63" s="1259"/>
      <c r="G63" s="329" t="s">
        <v>52</v>
      </c>
      <c r="H63" s="1268" t="s">
        <v>59</v>
      </c>
      <c r="I63" s="199"/>
    </row>
    <row r="64" spans="1:9" ht="13" x14ac:dyDescent="0.3">
      <c r="A64" s="84" t="s">
        <v>571</v>
      </c>
      <c r="B64" s="18" t="s">
        <v>600</v>
      </c>
      <c r="C64" s="533"/>
      <c r="D64" s="1173"/>
      <c r="E64" s="1218">
        <v>8.1818181818181817</v>
      </c>
      <c r="F64" s="1218">
        <v>2</v>
      </c>
      <c r="G64" s="1168"/>
      <c r="H64" s="1171"/>
      <c r="I64" s="199">
        <f t="shared" si="1"/>
        <v>0</v>
      </c>
    </row>
    <row r="65" spans="1:9" ht="13" x14ac:dyDescent="0.3">
      <c r="A65" s="17"/>
      <c r="B65" s="13" t="s">
        <v>601</v>
      </c>
      <c r="C65" s="1196">
        <v>6.5</v>
      </c>
      <c r="D65" s="1197">
        <f>D46</f>
        <v>249.89999999999998</v>
      </c>
      <c r="E65" s="1218">
        <v>0</v>
      </c>
      <c r="F65" s="1198"/>
      <c r="G65" s="258">
        <f>C65</f>
        <v>6.5</v>
      </c>
      <c r="H65" s="1171">
        <f>G65*D65</f>
        <v>1624.35</v>
      </c>
      <c r="I65" s="199">
        <f t="shared" si="1"/>
        <v>0.14916429974462034</v>
      </c>
    </row>
    <row r="66" spans="1:9" x14ac:dyDescent="0.25">
      <c r="A66" s="13"/>
      <c r="B66" s="13" t="s">
        <v>602</v>
      </c>
      <c r="C66" s="1199"/>
      <c r="D66" s="1200">
        <v>1</v>
      </c>
      <c r="E66" s="1218">
        <v>20.454545454545457</v>
      </c>
      <c r="F66" s="1218">
        <v>4</v>
      </c>
      <c r="G66" s="561">
        <v>13.6</v>
      </c>
      <c r="H66" s="1171">
        <f>G66*F66</f>
        <v>54.4</v>
      </c>
      <c r="I66" s="199">
        <f t="shared" si="1"/>
        <v>4.9955600123787035E-3</v>
      </c>
    </row>
    <row r="67" spans="1:9" x14ac:dyDescent="0.25">
      <c r="A67" s="13"/>
      <c r="B67" s="13" t="s">
        <v>603</v>
      </c>
      <c r="C67" s="1201"/>
      <c r="D67" s="1200"/>
      <c r="E67" s="1218">
        <v>28.636363636363637</v>
      </c>
      <c r="F67" s="1198"/>
      <c r="G67" s="258"/>
      <c r="H67" s="1171"/>
      <c r="I67" s="199">
        <f t="shared" si="1"/>
        <v>0</v>
      </c>
    </row>
    <row r="68" spans="1:9" x14ac:dyDescent="0.25">
      <c r="A68" s="13"/>
      <c r="B68" s="13" t="s">
        <v>604</v>
      </c>
      <c r="C68" s="1201"/>
      <c r="D68" s="1200"/>
      <c r="E68" s="1218">
        <v>14.727272727272728</v>
      </c>
      <c r="F68" s="1198"/>
      <c r="G68" s="258"/>
      <c r="H68" s="1171"/>
      <c r="I68" s="199">
        <f t="shared" si="1"/>
        <v>0</v>
      </c>
    </row>
    <row r="69" spans="1:9" x14ac:dyDescent="0.25">
      <c r="A69" s="13"/>
      <c r="B69" s="13" t="s">
        <v>605</v>
      </c>
      <c r="C69" s="1199"/>
      <c r="D69" s="1202"/>
      <c r="E69" s="1218">
        <v>2.4545454545454546</v>
      </c>
      <c r="F69" s="1198"/>
      <c r="G69" s="258"/>
      <c r="H69" s="1171"/>
      <c r="I69" s="199">
        <f t="shared" si="1"/>
        <v>0</v>
      </c>
    </row>
    <row r="70" spans="1:9" x14ac:dyDescent="0.25">
      <c r="A70" s="13"/>
      <c r="B70" s="13" t="s">
        <v>606</v>
      </c>
      <c r="C70" s="1203">
        <v>125</v>
      </c>
      <c r="D70" s="1204">
        <v>3</v>
      </c>
      <c r="E70" s="1218">
        <v>2.4545454545454546</v>
      </c>
      <c r="F70" s="533"/>
      <c r="G70" s="561">
        <v>3</v>
      </c>
      <c r="H70" s="1171">
        <f>G70*C70</f>
        <v>375</v>
      </c>
      <c r="I70" s="199">
        <f t="shared" si="1"/>
        <v>3.4436305232389962E-2</v>
      </c>
    </row>
    <row r="71" spans="1:9" ht="13.5" thickBot="1" x14ac:dyDescent="0.35">
      <c r="A71" s="17" t="s">
        <v>607</v>
      </c>
      <c r="B71" s="1205">
        <v>0.1</v>
      </c>
      <c r="C71" s="1253" t="s">
        <v>572</v>
      </c>
      <c r="D71" s="1034"/>
      <c r="E71" s="1220">
        <v>7.6909090909090914</v>
      </c>
      <c r="F71" s="1220">
        <f>SUM(F64:F70)*B71</f>
        <v>0.60000000000000009</v>
      </c>
      <c r="G71" s="1207"/>
      <c r="H71" s="1171"/>
      <c r="I71" s="199">
        <f t="shared" si="1"/>
        <v>0</v>
      </c>
    </row>
    <row r="72" spans="1:9" ht="13" x14ac:dyDescent="0.3">
      <c r="A72" s="69" t="s">
        <v>662</v>
      </c>
      <c r="B72" s="69"/>
      <c r="C72" s="69"/>
      <c r="D72" s="1192"/>
      <c r="E72" s="1219">
        <f>SUM(E64:E71)</f>
        <v>84.600000000000009</v>
      </c>
      <c r="F72" s="1219">
        <f>SUM(F64:F71)</f>
        <v>6.6</v>
      </c>
      <c r="G72" s="1179"/>
      <c r="H72" s="1180">
        <f>SUM(H64:H71)</f>
        <v>2053.75</v>
      </c>
      <c r="I72" s="199">
        <f t="shared" si="1"/>
        <v>0.18859616498938903</v>
      </c>
    </row>
    <row r="73" spans="1:9" ht="13" x14ac:dyDescent="0.3">
      <c r="A73" s="84" t="s">
        <v>343</v>
      </c>
      <c r="B73" s="13"/>
      <c r="C73" s="13"/>
      <c r="D73" s="1194"/>
      <c r="E73" s="1208"/>
      <c r="F73" s="1168"/>
      <c r="G73" s="1168"/>
      <c r="H73" s="1171"/>
      <c r="I73" s="199">
        <f t="shared" si="1"/>
        <v>0</v>
      </c>
    </row>
    <row r="74" spans="1:9" x14ac:dyDescent="0.25">
      <c r="A74" s="13"/>
      <c r="B74" s="13"/>
      <c r="D74" s="1194"/>
      <c r="E74" s="1208"/>
      <c r="F74" s="1168"/>
      <c r="G74" s="1168"/>
      <c r="H74" s="1171">
        <f>H60</f>
        <v>6624.02</v>
      </c>
      <c r="I74" s="199">
        <f t="shared" si="1"/>
        <v>0.60828473222788204</v>
      </c>
    </row>
    <row r="75" spans="1:9" x14ac:dyDescent="0.25">
      <c r="A75" s="13" t="s">
        <v>610</v>
      </c>
      <c r="B75" s="13"/>
      <c r="C75" s="13" t="s">
        <v>611</v>
      </c>
      <c r="D75" s="1216">
        <f>F72</f>
        <v>6.6</v>
      </c>
      <c r="E75" s="1221" t="s">
        <v>574</v>
      </c>
      <c r="F75" s="1175">
        <v>27.5</v>
      </c>
      <c r="G75" s="1168"/>
      <c r="H75" s="1171">
        <f>((D75*F75)+H72)</f>
        <v>2235.25</v>
      </c>
      <c r="I75" s="199">
        <f t="shared" si="1"/>
        <v>0.20526333672186578</v>
      </c>
    </row>
    <row r="76" spans="1:9" ht="13" thickBot="1" x14ac:dyDescent="0.3">
      <c r="A76" s="13" t="s">
        <v>614</v>
      </c>
      <c r="B76" s="13"/>
      <c r="C76" s="13" t="s">
        <v>612</v>
      </c>
      <c r="D76" s="1218">
        <f>E72</f>
        <v>84.600000000000009</v>
      </c>
      <c r="E76" s="1222" t="s">
        <v>574</v>
      </c>
      <c r="F76" s="1175">
        <v>24</v>
      </c>
      <c r="G76" s="1168"/>
      <c r="H76" s="1184">
        <f>D76*F76</f>
        <v>2030.4</v>
      </c>
      <c r="I76" s="199">
        <f t="shared" si="1"/>
        <v>0.18645193105025221</v>
      </c>
    </row>
    <row r="77" spans="1:9" ht="18" x14ac:dyDescent="0.4">
      <c r="A77" s="560" t="s">
        <v>537</v>
      </c>
      <c r="B77" s="18"/>
      <c r="C77" s="18"/>
      <c r="D77" s="1257"/>
      <c r="E77" s="1258"/>
      <c r="F77" s="1259"/>
      <c r="G77" s="1259"/>
      <c r="H77" s="1245">
        <f>SUM(H74:H76)</f>
        <v>10889.67</v>
      </c>
      <c r="I77" s="199">
        <f>H77/$H$77</f>
        <v>1</v>
      </c>
    </row>
    <row r="78" spans="1:9" ht="18" x14ac:dyDescent="0.4">
      <c r="A78" s="1141" t="s">
        <v>559</v>
      </c>
      <c r="B78" s="1018"/>
      <c r="C78" s="1018"/>
      <c r="D78" s="1018"/>
      <c r="E78" s="1018"/>
      <c r="F78" s="1018"/>
      <c r="G78" s="1018"/>
      <c r="H78" s="1392"/>
      <c r="I78" s="524"/>
    </row>
    <row r="79" spans="1:9" x14ac:dyDescent="0.25">
      <c r="B79" s="13" t="s">
        <v>617</v>
      </c>
      <c r="D79" s="1261"/>
      <c r="E79" s="1262"/>
      <c r="F79" s="1263"/>
      <c r="G79" s="1259"/>
      <c r="H79" s="1217">
        <v>50</v>
      </c>
      <c r="I79" s="199">
        <f t="shared" ref="I79:I84" si="3">H79/$H$84</f>
        <v>7.2886297376093298E-2</v>
      </c>
    </row>
    <row r="80" spans="1:9" x14ac:dyDescent="0.25">
      <c r="A80" s="13"/>
      <c r="B80" s="1209" t="s">
        <v>618</v>
      </c>
      <c r="E80" s="1210">
        <v>4</v>
      </c>
      <c r="F80" s="1211">
        <v>24</v>
      </c>
      <c r="G80" s="1212"/>
      <c r="H80" s="1171">
        <f>E80*F80</f>
        <v>96</v>
      </c>
      <c r="I80" s="199">
        <f t="shared" si="3"/>
        <v>0.13994169096209913</v>
      </c>
    </row>
    <row r="81" spans="1:9" x14ac:dyDescent="0.25">
      <c r="A81" s="13"/>
      <c r="B81" s="1209" t="s">
        <v>619</v>
      </c>
      <c r="E81" s="1264"/>
      <c r="F81" s="1265"/>
      <c r="G81" s="1212"/>
      <c r="H81" s="1217">
        <v>300</v>
      </c>
      <c r="I81" s="199">
        <f t="shared" si="3"/>
        <v>0.43731778425655976</v>
      </c>
    </row>
    <row r="82" spans="1:9" x14ac:dyDescent="0.25">
      <c r="A82" s="13"/>
      <c r="B82" s="1209" t="s">
        <v>620</v>
      </c>
      <c r="E82" s="1210">
        <v>10</v>
      </c>
      <c r="F82" s="1211">
        <v>24</v>
      </c>
      <c r="G82" s="1212"/>
      <c r="H82" s="1171">
        <f>E82*F82</f>
        <v>240</v>
      </c>
      <c r="I82" s="199">
        <f t="shared" si="3"/>
        <v>0.3498542274052478</v>
      </c>
    </row>
    <row r="83" spans="1:9" ht="13" thickBot="1" x14ac:dyDescent="0.3">
      <c r="A83" s="13"/>
      <c r="B83" s="13" t="s">
        <v>579</v>
      </c>
      <c r="E83" s="1399">
        <f>70%*$C$24</f>
        <v>1814.3999999999999</v>
      </c>
      <c r="F83" s="1403">
        <f>'Données normes'!$C$182</f>
        <v>0</v>
      </c>
      <c r="G83" s="1168"/>
      <c r="H83" s="1184">
        <f>E83*F83</f>
        <v>0</v>
      </c>
      <c r="I83" s="199">
        <f t="shared" si="3"/>
        <v>0</v>
      </c>
    </row>
    <row r="84" spans="1:9" ht="13" x14ac:dyDescent="0.3">
      <c r="A84" s="84" t="s">
        <v>615</v>
      </c>
      <c r="B84" s="13"/>
      <c r="C84" s="1209"/>
      <c r="D84" s="1213"/>
      <c r="E84" s="1214"/>
      <c r="F84" s="1212"/>
      <c r="G84" s="1212"/>
      <c r="H84" s="1187">
        <f>SUM(H79:H83)</f>
        <v>686</v>
      </c>
      <c r="I84" s="199">
        <f t="shared" si="3"/>
        <v>1</v>
      </c>
    </row>
    <row r="85" spans="1:9" ht="13" x14ac:dyDescent="0.3">
      <c r="A85" s="13" t="s">
        <v>635</v>
      </c>
      <c r="B85" s="13"/>
      <c r="C85" s="1209"/>
      <c r="D85" s="1213"/>
      <c r="E85" s="1214"/>
      <c r="F85" s="1212"/>
      <c r="G85" s="1432">
        <f>'Données normes'!C184</f>
        <v>0</v>
      </c>
      <c r="H85" s="1433">
        <f>G85*H84</f>
        <v>0</v>
      </c>
    </row>
    <row r="86" spans="1:9" x14ac:dyDescent="0.25">
      <c r="A86" s="13"/>
      <c r="B86" s="13"/>
      <c r="C86" s="1209"/>
      <c r="D86" s="1213"/>
      <c r="E86" s="1214"/>
      <c r="F86" s="1212"/>
      <c r="G86" s="1212"/>
      <c r="H86" s="1171"/>
    </row>
    <row r="87" spans="1:9" x14ac:dyDescent="0.25">
      <c r="A87" s="13"/>
      <c r="B87" s="13"/>
      <c r="C87" s="1209"/>
      <c r="D87" s="1213"/>
      <c r="E87" s="1214"/>
      <c r="F87" s="1212"/>
      <c r="G87" s="1212"/>
      <c r="H87" s="1171"/>
    </row>
    <row r="88" spans="1:9" ht="20" x14ac:dyDescent="0.4">
      <c r="A88" s="589" t="s">
        <v>659</v>
      </c>
      <c r="B88" s="589" t="s">
        <v>660</v>
      </c>
      <c r="C88" s="1519"/>
      <c r="D88" s="1519"/>
      <c r="E88" s="1519"/>
      <c r="F88" s="1519"/>
      <c r="G88" s="589"/>
      <c r="H88" s="589"/>
      <c r="I88" s="524"/>
    </row>
    <row r="89" spans="1:9" ht="14" x14ac:dyDescent="0.3">
      <c r="A89" s="1230">
        <f>'Données normes'!C23</f>
        <v>21</v>
      </c>
      <c r="B89" s="1165">
        <f>'Données normes'!C18</f>
        <v>110</v>
      </c>
      <c r="C89" s="1231">
        <f>'Données normes'!C22</f>
        <v>1.1000000000000001</v>
      </c>
      <c r="D89" s="785" t="s">
        <v>624</v>
      </c>
      <c r="E89" s="36"/>
      <c r="F89" s="785" t="s">
        <v>282</v>
      </c>
      <c r="G89" s="1166"/>
      <c r="H89" s="785" t="s">
        <v>339</v>
      </c>
    </row>
    <row r="90" spans="1:9" ht="13" x14ac:dyDescent="0.3">
      <c r="A90" s="46" t="s">
        <v>674</v>
      </c>
      <c r="B90" s="54" t="s">
        <v>527</v>
      </c>
      <c r="C90" s="54"/>
      <c r="F90" s="1119"/>
      <c r="G90" s="45"/>
      <c r="H90" s="1120">
        <v>0</v>
      </c>
    </row>
    <row r="91" spans="1:9" ht="13" x14ac:dyDescent="0.3">
      <c r="A91" s="1415"/>
      <c r="B91" s="54" t="s">
        <v>528</v>
      </c>
      <c r="C91" s="54"/>
      <c r="F91" s="93"/>
      <c r="G91" s="45"/>
      <c r="H91" s="1121">
        <v>0</v>
      </c>
    </row>
    <row r="92" spans="1:9" ht="13" x14ac:dyDescent="0.3">
      <c r="A92" s="1415"/>
      <c r="B92" s="54" t="s">
        <v>529</v>
      </c>
      <c r="C92" s="54"/>
      <c r="F92" s="93"/>
      <c r="G92" s="45"/>
      <c r="H92" s="1121">
        <v>0</v>
      </c>
    </row>
    <row r="93" spans="1:9" ht="13.5" thickBot="1" x14ac:dyDescent="0.35">
      <c r="A93" s="1415"/>
      <c r="B93" s="54" t="s">
        <v>530</v>
      </c>
      <c r="H93" s="1422">
        <v>0</v>
      </c>
    </row>
    <row r="94" spans="1:9" s="114" customFormat="1" ht="14" x14ac:dyDescent="0.3">
      <c r="A94" s="1416"/>
      <c r="B94" s="1417"/>
      <c r="C94" s="1418"/>
      <c r="D94" s="1419"/>
      <c r="E94" s="1420"/>
      <c r="F94" s="1419"/>
      <c r="G94" s="1421"/>
      <c r="H94" s="656">
        <f>SUM(H90:H93)</f>
        <v>0</v>
      </c>
    </row>
    <row r="95" spans="1:9" ht="13" x14ac:dyDescent="0.3">
      <c r="A95" s="46" t="s">
        <v>576</v>
      </c>
      <c r="B95" s="13" t="s">
        <v>634</v>
      </c>
      <c r="C95" s="13"/>
      <c r="D95" s="1170">
        <f>(A89*B89)+50</f>
        <v>2360</v>
      </c>
      <c r="E95" s="1232"/>
      <c r="F95" s="1175">
        <v>0.9</v>
      </c>
      <c r="G95" s="1168"/>
      <c r="H95" s="1171">
        <f>F95*D95</f>
        <v>2124</v>
      </c>
      <c r="I95" s="199">
        <f t="shared" ref="I95:I134" si="4">H95/$H$135</f>
        <v>0.13587921335915296</v>
      </c>
    </row>
    <row r="96" spans="1:9" ht="13" x14ac:dyDescent="0.3">
      <c r="A96" s="1233"/>
      <c r="B96" s="13" t="s">
        <v>627</v>
      </c>
      <c r="C96" s="13"/>
      <c r="D96" s="1234">
        <f>ROUND(((B89/C89)+1)*A89,0)/2</f>
        <v>1060.5</v>
      </c>
      <c r="E96" s="1256" t="s">
        <v>626</v>
      </c>
      <c r="F96" s="1175">
        <v>2.6</v>
      </c>
      <c r="G96" s="1168"/>
      <c r="H96" s="1171">
        <f>F96*D96</f>
        <v>2757.3</v>
      </c>
      <c r="I96" s="199">
        <f t="shared" si="4"/>
        <v>0.17639348163615465</v>
      </c>
    </row>
    <row r="97" spans="1:9" ht="13" x14ac:dyDescent="0.3">
      <c r="A97" s="13"/>
      <c r="B97" s="1215" t="s">
        <v>583</v>
      </c>
      <c r="C97" s="1172"/>
      <c r="D97" s="1234">
        <f>A89</f>
        <v>21</v>
      </c>
      <c r="E97" s="1195"/>
      <c r="F97" s="1175">
        <v>20.65</v>
      </c>
      <c r="G97" s="1168"/>
      <c r="H97" s="1171">
        <f>F97*D97</f>
        <v>433.65</v>
      </c>
      <c r="I97" s="199">
        <f t="shared" si="4"/>
        <v>2.7742006060827058E-2</v>
      </c>
    </row>
    <row r="98" spans="1:9" x14ac:dyDescent="0.25">
      <c r="A98" s="13"/>
      <c r="B98" s="18" t="s">
        <v>628</v>
      </c>
      <c r="C98" s="13"/>
      <c r="D98" s="1234">
        <f>A89</f>
        <v>21</v>
      </c>
      <c r="E98" s="1195"/>
      <c r="F98" s="1175">
        <v>8.5</v>
      </c>
      <c r="G98" s="1168"/>
      <c r="H98" s="1171">
        <f>F98*D98</f>
        <v>178.5</v>
      </c>
      <c r="I98" s="199">
        <f t="shared" si="4"/>
        <v>1.1419227676369492E-2</v>
      </c>
    </row>
    <row r="99" spans="1:9" x14ac:dyDescent="0.25">
      <c r="A99" s="13"/>
      <c r="B99" s="18" t="s">
        <v>629</v>
      </c>
      <c r="C99" s="13"/>
      <c r="D99" s="1234">
        <f>D95</f>
        <v>2360</v>
      </c>
      <c r="E99" s="1195"/>
      <c r="F99" s="1175">
        <v>7.8E-2</v>
      </c>
      <c r="G99" s="1168"/>
      <c r="H99" s="1171">
        <f>F99*D99</f>
        <v>184.08</v>
      </c>
      <c r="I99" s="199">
        <f t="shared" si="4"/>
        <v>1.1776198491126591E-2</v>
      </c>
    </row>
    <row r="100" spans="1:9" x14ac:dyDescent="0.25">
      <c r="A100" s="13"/>
      <c r="B100" s="13" t="s">
        <v>586</v>
      </c>
      <c r="C100" s="13"/>
      <c r="D100" s="1194"/>
      <c r="E100" s="1195"/>
      <c r="F100" s="1168"/>
      <c r="G100" s="1168"/>
      <c r="H100" s="1217">
        <v>250</v>
      </c>
      <c r="I100" s="199">
        <f t="shared" si="4"/>
        <v>1.5993316073346628E-2</v>
      </c>
    </row>
    <row r="101" spans="1:9" ht="14" x14ac:dyDescent="0.3">
      <c r="A101" s="46" t="s">
        <v>59</v>
      </c>
      <c r="B101" s="1240"/>
      <c r="C101" s="1240"/>
      <c r="D101" s="1240"/>
      <c r="E101" s="1241"/>
      <c r="F101" s="1241"/>
      <c r="G101" s="1241"/>
      <c r="H101" s="1242">
        <f>SUM(H95:H100)</f>
        <v>5927.53</v>
      </c>
      <c r="I101" s="199">
        <f t="shared" si="4"/>
        <v>0.37920344329697736</v>
      </c>
    </row>
    <row r="102" spans="1:9" ht="13" x14ac:dyDescent="0.3">
      <c r="A102" s="46" t="s">
        <v>577</v>
      </c>
      <c r="B102" s="13" t="s">
        <v>631</v>
      </c>
      <c r="C102" s="13"/>
      <c r="D102" s="1194"/>
      <c r="E102" s="1195"/>
      <c r="F102" s="1168"/>
      <c r="G102" s="1168"/>
      <c r="H102" s="1171"/>
      <c r="I102" s="199">
        <f t="shared" si="4"/>
        <v>0</v>
      </c>
    </row>
    <row r="103" spans="1:9" x14ac:dyDescent="0.25">
      <c r="A103" s="13"/>
      <c r="B103" s="13" t="s">
        <v>632</v>
      </c>
      <c r="C103" s="13"/>
      <c r="D103" s="1182">
        <v>300</v>
      </c>
      <c r="E103" s="1195"/>
      <c r="F103" s="1175">
        <v>3.8</v>
      </c>
      <c r="G103" s="1168"/>
      <c r="H103" s="1171">
        <f>F103*D103</f>
        <v>1140</v>
      </c>
      <c r="I103" s="199">
        <f t="shared" si="4"/>
        <v>7.292952129446062E-2</v>
      </c>
    </row>
    <row r="104" spans="1:9" x14ac:dyDescent="0.25">
      <c r="A104" s="13"/>
      <c r="B104" s="18" t="s">
        <v>633</v>
      </c>
      <c r="C104" s="13"/>
      <c r="D104" s="1173">
        <v>2</v>
      </c>
      <c r="E104" s="1208"/>
      <c r="F104" s="1175">
        <v>55</v>
      </c>
      <c r="G104" s="1168"/>
      <c r="H104" s="1171">
        <f>F104*D104</f>
        <v>110</v>
      </c>
      <c r="I104" s="199">
        <f t="shared" si="4"/>
        <v>7.0370590722725161E-3</v>
      </c>
    </row>
    <row r="105" spans="1:9" x14ac:dyDescent="0.25">
      <c r="A105" s="18"/>
      <c r="B105" s="13" t="s">
        <v>586</v>
      </c>
      <c r="C105" s="18"/>
      <c r="D105" s="18"/>
      <c r="E105" s="18"/>
      <c r="F105" s="18"/>
      <c r="G105" s="18"/>
      <c r="H105" s="1243">
        <v>250</v>
      </c>
      <c r="I105" s="199">
        <f t="shared" si="4"/>
        <v>1.5993316073346628E-2</v>
      </c>
    </row>
    <row r="106" spans="1:9" ht="14" x14ac:dyDescent="0.3">
      <c r="A106" s="1240" t="s">
        <v>59</v>
      </c>
      <c r="B106" s="1240"/>
      <c r="C106" s="1240"/>
      <c r="D106" s="1240"/>
      <c r="E106" s="1241"/>
      <c r="F106" s="1241"/>
      <c r="G106" s="1241"/>
      <c r="H106" s="1242">
        <f>SUM(H103:H105)</f>
        <v>1500</v>
      </c>
      <c r="I106" s="199">
        <f t="shared" si="4"/>
        <v>9.5959896440079767E-2</v>
      </c>
    </row>
    <row r="107" spans="1:9" ht="13" x14ac:dyDescent="0.3">
      <c r="A107" s="69" t="s">
        <v>578</v>
      </c>
      <c r="B107" s="13" t="s">
        <v>630</v>
      </c>
      <c r="C107" s="13"/>
      <c r="D107" s="1216">
        <v>1</v>
      </c>
      <c r="E107" s="1208"/>
      <c r="F107" s="1175">
        <v>300</v>
      </c>
      <c r="G107" s="1168"/>
      <c r="H107" s="1171">
        <f t="shared" ref="H107:H112" si="5">F107*D107</f>
        <v>300</v>
      </c>
      <c r="I107" s="199">
        <f t="shared" si="4"/>
        <v>1.9191979288015953E-2</v>
      </c>
    </row>
    <row r="108" spans="1:9" x14ac:dyDescent="0.25">
      <c r="A108" s="13"/>
      <c r="B108" s="18" t="s">
        <v>567</v>
      </c>
      <c r="C108" s="13"/>
      <c r="D108" s="1216">
        <v>1</v>
      </c>
      <c r="E108" s="1208"/>
      <c r="F108" s="1175">
        <v>120</v>
      </c>
      <c r="G108" s="1168"/>
      <c r="H108" s="1171">
        <f t="shared" si="5"/>
        <v>120</v>
      </c>
      <c r="I108" s="199">
        <f t="shared" si="4"/>
        <v>7.6767917152063816E-3</v>
      </c>
    </row>
    <row r="109" spans="1:9" x14ac:dyDescent="0.25">
      <c r="A109" s="13"/>
      <c r="B109" s="13" t="s">
        <v>621</v>
      </c>
      <c r="C109" s="13"/>
      <c r="D109" s="1216">
        <v>1</v>
      </c>
      <c r="E109" s="1208"/>
      <c r="F109" s="1175">
        <v>190</v>
      </c>
      <c r="G109" s="1168"/>
      <c r="H109" s="1171">
        <f t="shared" si="5"/>
        <v>190</v>
      </c>
      <c r="I109" s="199">
        <f t="shared" si="4"/>
        <v>1.2154920215743437E-2</v>
      </c>
    </row>
    <row r="110" spans="1:9" x14ac:dyDescent="0.25">
      <c r="A110" s="13"/>
      <c r="B110" s="13" t="s">
        <v>568</v>
      </c>
      <c r="C110" s="13"/>
      <c r="D110" s="1216">
        <v>1</v>
      </c>
      <c r="E110" s="1208"/>
      <c r="F110" s="1175">
        <v>70</v>
      </c>
      <c r="G110" s="1168"/>
      <c r="H110" s="1171">
        <f t="shared" si="5"/>
        <v>70</v>
      </c>
      <c r="I110" s="199">
        <f t="shared" si="4"/>
        <v>4.4781285005370559E-3</v>
      </c>
    </row>
    <row r="111" spans="1:9" x14ac:dyDescent="0.25">
      <c r="A111" s="13"/>
      <c r="B111" s="13" t="s">
        <v>569</v>
      </c>
      <c r="C111" s="13"/>
      <c r="D111" s="1216">
        <v>4</v>
      </c>
      <c r="E111" s="1208"/>
      <c r="F111" s="1175">
        <v>130</v>
      </c>
      <c r="G111" s="1168"/>
      <c r="H111" s="1171">
        <f t="shared" si="5"/>
        <v>520</v>
      </c>
      <c r="I111" s="199">
        <f t="shared" si="4"/>
        <v>3.3266097432560988E-2</v>
      </c>
    </row>
    <row r="112" spans="1:9" x14ac:dyDescent="0.25">
      <c r="A112" s="13"/>
      <c r="B112" s="13" t="s">
        <v>570</v>
      </c>
      <c r="C112" s="13"/>
      <c r="D112" s="1216">
        <v>1</v>
      </c>
      <c r="E112" s="1208"/>
      <c r="F112" s="1175">
        <v>350</v>
      </c>
      <c r="G112" s="1168"/>
      <c r="H112" s="1171">
        <f t="shared" si="5"/>
        <v>350</v>
      </c>
      <c r="I112" s="199">
        <f t="shared" si="4"/>
        <v>2.2390642502685281E-2</v>
      </c>
    </row>
    <row r="113" spans="1:9" x14ac:dyDescent="0.25">
      <c r="A113" s="13"/>
      <c r="B113" s="18" t="s">
        <v>566</v>
      </c>
      <c r="C113" s="13"/>
      <c r="D113" s="13"/>
      <c r="E113" s="13"/>
      <c r="F113" s="13"/>
      <c r="G113" s="13"/>
      <c r="H113" s="1171">
        <v>100</v>
      </c>
      <c r="I113" s="199">
        <f t="shared" si="4"/>
        <v>6.3973264293386515E-3</v>
      </c>
    </row>
    <row r="114" spans="1:9" ht="14" x14ac:dyDescent="0.3">
      <c r="A114" s="1240" t="s">
        <v>59</v>
      </c>
      <c r="B114" s="1240"/>
      <c r="C114" s="1240"/>
      <c r="D114" s="1240"/>
      <c r="E114" s="1241"/>
      <c r="F114" s="1241"/>
      <c r="G114" s="1241"/>
      <c r="H114" s="1242">
        <f>SUM(H107:H112)</f>
        <v>1550</v>
      </c>
      <c r="I114" s="199">
        <f t="shared" si="4"/>
        <v>9.9158559654749096E-2</v>
      </c>
    </row>
    <row r="115" spans="1:9" ht="13" x14ac:dyDescent="0.3">
      <c r="A115" s="68" t="s">
        <v>596</v>
      </c>
      <c r="B115" s="68" t="s">
        <v>593</v>
      </c>
      <c r="C115" s="68"/>
      <c r="D115" s="1216">
        <v>1</v>
      </c>
      <c r="E115" s="1188"/>
      <c r="F115" s="1189">
        <v>1580</v>
      </c>
      <c r="G115" s="1235"/>
      <c r="H115" s="1169"/>
      <c r="I115" s="199">
        <f t="shared" si="4"/>
        <v>0</v>
      </c>
    </row>
    <row r="116" spans="1:9" ht="13" x14ac:dyDescent="0.3">
      <c r="A116" s="68" t="s">
        <v>596</v>
      </c>
      <c r="B116" s="68" t="s">
        <v>594</v>
      </c>
      <c r="C116" s="68"/>
      <c r="D116" s="1216">
        <v>1</v>
      </c>
      <c r="E116" s="1188"/>
      <c r="F116" s="1189">
        <v>1250</v>
      </c>
      <c r="G116" s="1235"/>
      <c r="H116" s="1236"/>
      <c r="I116" s="199">
        <f t="shared" si="4"/>
        <v>0</v>
      </c>
    </row>
    <row r="117" spans="1:9" ht="18" x14ac:dyDescent="0.4">
      <c r="A117" s="152" t="s">
        <v>663</v>
      </c>
      <c r="B117" s="152"/>
      <c r="C117" s="152"/>
      <c r="D117" s="152"/>
      <c r="E117" s="1244"/>
      <c r="F117" s="1244"/>
      <c r="G117" s="1244"/>
      <c r="H117" s="1245">
        <f>H101+H94 + H106+H114+H115+H116</f>
        <v>8977.5299999999988</v>
      </c>
      <c r="I117" s="199">
        <f t="shared" si="4"/>
        <v>0.57432189939180611</v>
      </c>
    </row>
    <row r="118" spans="1:9" x14ac:dyDescent="0.25">
      <c r="I118" s="199">
        <f t="shared" si="4"/>
        <v>0</v>
      </c>
    </row>
    <row r="119" spans="1:9" ht="13" x14ac:dyDescent="0.3">
      <c r="A119" s="84" t="s">
        <v>664</v>
      </c>
      <c r="B119" s="72"/>
      <c r="C119" s="144"/>
      <c r="D119" s="613" t="s">
        <v>244</v>
      </c>
      <c r="E119" s="613" t="s">
        <v>616</v>
      </c>
      <c r="F119" s="613" t="s">
        <v>616</v>
      </c>
      <c r="G119" s="613" t="s">
        <v>282</v>
      </c>
      <c r="H119" s="613" t="s">
        <v>339</v>
      </c>
      <c r="I119" s="199"/>
    </row>
    <row r="120" spans="1:9" ht="13" x14ac:dyDescent="0.3">
      <c r="A120" s="84"/>
      <c r="B120" s="84"/>
      <c r="C120" s="1393"/>
      <c r="D120" s="613"/>
      <c r="E120" s="229"/>
      <c r="F120" s="229"/>
      <c r="G120" s="1394" t="s">
        <v>52</v>
      </c>
      <c r="H120" s="1395" t="s">
        <v>59</v>
      </c>
      <c r="I120" s="199"/>
    </row>
    <row r="121" spans="1:9" x14ac:dyDescent="0.25">
      <c r="A121" s="1237" t="s">
        <v>571</v>
      </c>
      <c r="B121" s="18" t="s">
        <v>600</v>
      </c>
      <c r="C121" s="1223"/>
      <c r="D121" s="1238"/>
      <c r="E121" s="1198">
        <v>10</v>
      </c>
      <c r="F121" s="1198">
        <v>2</v>
      </c>
      <c r="G121" s="258"/>
      <c r="H121" s="1171"/>
      <c r="I121" s="199">
        <f t="shared" si="4"/>
        <v>0</v>
      </c>
    </row>
    <row r="122" spans="1:9" ht="13" x14ac:dyDescent="0.3">
      <c r="A122" s="17"/>
      <c r="B122" s="13" t="s">
        <v>601</v>
      </c>
      <c r="C122" s="1196">
        <v>6.5</v>
      </c>
      <c r="D122" s="1197">
        <f>D103</f>
        <v>300</v>
      </c>
      <c r="E122" s="1207"/>
      <c r="F122" s="1207"/>
      <c r="G122" s="258">
        <f>C122</f>
        <v>6.5</v>
      </c>
      <c r="H122" s="1171">
        <f>G122*D122</f>
        <v>1950</v>
      </c>
      <c r="I122" s="199">
        <f t="shared" si="4"/>
        <v>0.12474786537210369</v>
      </c>
    </row>
    <row r="123" spans="1:9" x14ac:dyDescent="0.25">
      <c r="A123" s="13"/>
      <c r="B123" s="13" t="s">
        <v>602</v>
      </c>
      <c r="C123" s="1224"/>
      <c r="D123" s="1200">
        <v>1</v>
      </c>
      <c r="E123" s="1198">
        <v>25</v>
      </c>
      <c r="F123" s="1198">
        <v>4</v>
      </c>
      <c r="G123" s="561">
        <v>13.6</v>
      </c>
      <c r="H123" s="1171">
        <f>G123*F123</f>
        <v>54.4</v>
      </c>
      <c r="I123" s="199">
        <f t="shared" si="4"/>
        <v>3.4801455775602262E-3</v>
      </c>
    </row>
    <row r="124" spans="1:9" x14ac:dyDescent="0.25">
      <c r="A124" s="13"/>
      <c r="B124" s="13" t="s">
        <v>603</v>
      </c>
      <c r="C124" s="1223"/>
      <c r="D124" s="1225"/>
      <c r="E124" s="1198">
        <v>35</v>
      </c>
      <c r="F124" s="1207"/>
      <c r="G124" s="258"/>
      <c r="H124" s="1171"/>
      <c r="I124" s="199">
        <f t="shared" si="4"/>
        <v>0</v>
      </c>
    </row>
    <row r="125" spans="1:9" x14ac:dyDescent="0.25">
      <c r="A125" s="13"/>
      <c r="B125" s="18" t="s">
        <v>636</v>
      </c>
      <c r="C125" s="1223"/>
      <c r="D125" s="1225"/>
      <c r="E125" s="1198">
        <v>10</v>
      </c>
      <c r="F125" s="1207"/>
      <c r="G125" s="258"/>
      <c r="H125" s="1171"/>
      <c r="I125" s="199">
        <f t="shared" si="4"/>
        <v>0</v>
      </c>
    </row>
    <row r="126" spans="1:9" x14ac:dyDescent="0.25">
      <c r="A126" s="13"/>
      <c r="B126" s="13" t="s">
        <v>604</v>
      </c>
      <c r="C126" s="1223"/>
      <c r="D126" s="1225"/>
      <c r="E126" s="1198">
        <v>18</v>
      </c>
      <c r="F126" s="1207"/>
      <c r="G126" s="258"/>
      <c r="H126" s="1171"/>
      <c r="I126" s="199">
        <f t="shared" si="4"/>
        <v>0</v>
      </c>
    </row>
    <row r="127" spans="1:9" x14ac:dyDescent="0.25">
      <c r="A127" s="13"/>
      <c r="B127" s="13" t="s">
        <v>605</v>
      </c>
      <c r="C127" s="1224"/>
      <c r="D127" s="750"/>
      <c r="E127" s="1198">
        <v>3</v>
      </c>
      <c r="F127" s="1207"/>
      <c r="G127" s="258"/>
      <c r="H127" s="1171"/>
      <c r="I127" s="199">
        <f t="shared" si="4"/>
        <v>0</v>
      </c>
    </row>
    <row r="128" spans="1:9" x14ac:dyDescent="0.25">
      <c r="A128" s="13"/>
      <c r="B128" s="13" t="s">
        <v>606</v>
      </c>
      <c r="C128" s="1203">
        <v>125</v>
      </c>
      <c r="D128" s="1204">
        <v>3</v>
      </c>
      <c r="E128" s="1198">
        <v>3</v>
      </c>
      <c r="F128" s="13"/>
      <c r="G128" s="561">
        <v>3</v>
      </c>
      <c r="H128" s="1171">
        <f>G128*C128</f>
        <v>375</v>
      </c>
      <c r="I128" s="199">
        <f t="shared" si="4"/>
        <v>2.3989974110019942E-2</v>
      </c>
    </row>
    <row r="129" spans="1:9" ht="13.5" thickBot="1" x14ac:dyDescent="0.35">
      <c r="A129" s="17" t="s">
        <v>637</v>
      </c>
      <c r="B129" s="1205">
        <v>0.1</v>
      </c>
      <c r="C129" s="1206" t="s">
        <v>572</v>
      </c>
      <c r="D129" s="28"/>
      <c r="E129" s="1198">
        <f>SUM(E121:E128)*B129</f>
        <v>10.4</v>
      </c>
      <c r="F129" s="1207">
        <f>SUM(F121:F128)*B129</f>
        <v>0.60000000000000009</v>
      </c>
      <c r="G129" s="1207"/>
      <c r="H129" s="1184"/>
      <c r="I129" s="199">
        <f t="shared" si="4"/>
        <v>0</v>
      </c>
    </row>
    <row r="130" spans="1:9" ht="14" x14ac:dyDescent="0.3">
      <c r="A130" s="1240"/>
      <c r="B130" s="1247"/>
      <c r="C130" s="1248"/>
      <c r="D130" s="1247"/>
      <c r="E130" s="1255">
        <f>SUM(E121:E129)</f>
        <v>114.4</v>
      </c>
      <c r="F130" s="1249">
        <f>SUM(F121:F129)</f>
        <v>6.6</v>
      </c>
      <c r="G130" s="1249"/>
      <c r="H130" s="1250">
        <f>SUM(H121:H129)</f>
        <v>2379.4</v>
      </c>
      <c r="I130" s="199">
        <f t="shared" si="4"/>
        <v>0.15221798505968387</v>
      </c>
    </row>
    <row r="131" spans="1:9" ht="14" x14ac:dyDescent="0.3">
      <c r="A131" s="84" t="s">
        <v>343</v>
      </c>
      <c r="B131" s="1247"/>
      <c r="C131" s="1251"/>
      <c r="D131" s="1247"/>
      <c r="E131" s="1247"/>
      <c r="F131" s="1251"/>
      <c r="G131" s="1251"/>
      <c r="H131" s="1252"/>
      <c r="I131" s="199">
        <f t="shared" si="4"/>
        <v>0</v>
      </c>
    </row>
    <row r="132" spans="1:9" ht="13" x14ac:dyDescent="0.3">
      <c r="A132" s="17" t="s">
        <v>664</v>
      </c>
      <c r="B132" s="13"/>
      <c r="C132" s="13"/>
      <c r="D132" s="1207"/>
      <c r="E132" s="11"/>
      <c r="F132" s="13"/>
      <c r="G132" s="13"/>
      <c r="H132" s="1171">
        <f>H117</f>
        <v>8977.5299999999988</v>
      </c>
      <c r="I132" s="199">
        <f t="shared" si="4"/>
        <v>0.57432189939180611</v>
      </c>
    </row>
    <row r="133" spans="1:9" ht="13" x14ac:dyDescent="0.3">
      <c r="A133" s="13" t="s">
        <v>610</v>
      </c>
      <c r="B133" s="17" t="s">
        <v>573</v>
      </c>
      <c r="C133" s="1227" t="s">
        <v>640</v>
      </c>
      <c r="D133" s="1226">
        <f>F130</f>
        <v>6.6</v>
      </c>
      <c r="E133" s="11" t="s">
        <v>574</v>
      </c>
      <c r="F133" s="1175">
        <f>'Données normes'!D143</f>
        <v>41</v>
      </c>
      <c r="G133" s="1168"/>
      <c r="H133" s="1171">
        <f>((D133*F133)+H130)</f>
        <v>2650</v>
      </c>
      <c r="I133" s="199">
        <f t="shared" si="4"/>
        <v>0.16952915037747426</v>
      </c>
    </row>
    <row r="134" spans="1:9" ht="13" thickBot="1" x14ac:dyDescent="0.3">
      <c r="A134" s="13" t="s">
        <v>614</v>
      </c>
      <c r="B134" s="13"/>
      <c r="C134" s="1181" t="s">
        <v>575</v>
      </c>
      <c r="D134" s="1226">
        <f>E130</f>
        <v>114.4</v>
      </c>
      <c r="E134" s="11" t="s">
        <v>574</v>
      </c>
      <c r="F134" s="1175">
        <f>'Données normes'!C32</f>
        <v>35</v>
      </c>
      <c r="G134" s="1168"/>
      <c r="H134" s="1184">
        <f>D134*F134</f>
        <v>4004</v>
      </c>
      <c r="I134" s="199">
        <f t="shared" si="4"/>
        <v>0.2561489502307196</v>
      </c>
    </row>
    <row r="135" spans="1:9" ht="18" x14ac:dyDescent="0.4">
      <c r="A135" s="560" t="s">
        <v>613</v>
      </c>
      <c r="B135" s="560"/>
      <c r="C135" s="560"/>
      <c r="D135" s="560"/>
      <c r="E135" s="560"/>
      <c r="F135" s="560"/>
      <c r="G135" s="560"/>
      <c r="H135" s="1245">
        <f>SUM(H132:H134)</f>
        <v>15631.529999999999</v>
      </c>
      <c r="I135" s="199">
        <f>H135/$H$135</f>
        <v>1</v>
      </c>
    </row>
    <row r="136" spans="1:9" ht="18" x14ac:dyDescent="0.4">
      <c r="A136" s="1024" t="s">
        <v>650</v>
      </c>
      <c r="B136" s="1018"/>
      <c r="C136" s="1018"/>
      <c r="D136" s="1018"/>
      <c r="E136" s="1018"/>
      <c r="F136" s="1018"/>
      <c r="G136" s="1018"/>
      <c r="H136" s="1392"/>
      <c r="I136" s="524"/>
    </row>
    <row r="137" spans="1:9" x14ac:dyDescent="0.25">
      <c r="A137" s="13" t="s">
        <v>638</v>
      </c>
      <c r="B137" s="13"/>
      <c r="C137" s="13" t="s">
        <v>617</v>
      </c>
      <c r="D137" s="1228"/>
      <c r="E137" s="1229"/>
      <c r="F137" s="1212"/>
      <c r="G137" s="1212"/>
      <c r="H137" s="1171">
        <v>50</v>
      </c>
      <c r="I137" s="199">
        <f>H137/$H$142</f>
        <v>7.331378299120235E-2</v>
      </c>
    </row>
    <row r="138" spans="1:9" x14ac:dyDescent="0.25">
      <c r="A138" s="13"/>
      <c r="B138" s="13"/>
      <c r="C138" s="1209" t="s">
        <v>618</v>
      </c>
      <c r="D138" s="1213"/>
      <c r="E138" s="1210">
        <v>4</v>
      </c>
      <c r="F138" s="1212">
        <f>'Données normes'!C37</f>
        <v>28</v>
      </c>
      <c r="G138" s="1212"/>
      <c r="H138" s="1171">
        <f>E138*F138</f>
        <v>112</v>
      </c>
      <c r="I138" s="199">
        <f>H138/$H$142</f>
        <v>0.16422287390029325</v>
      </c>
    </row>
    <row r="139" spans="1:9" x14ac:dyDescent="0.25">
      <c r="A139" s="13"/>
      <c r="B139" s="13"/>
      <c r="C139" s="1209" t="s">
        <v>619</v>
      </c>
      <c r="D139" s="1213"/>
      <c r="E139" s="1210">
        <v>10</v>
      </c>
      <c r="F139" s="1212">
        <f>'Données normes'!C37</f>
        <v>28</v>
      </c>
      <c r="G139" s="1212"/>
      <c r="H139" s="1171">
        <f>E139*F139</f>
        <v>280</v>
      </c>
      <c r="I139" s="199">
        <f>H139/$H$142</f>
        <v>0.41055718475073316</v>
      </c>
    </row>
    <row r="140" spans="1:9" x14ac:dyDescent="0.25">
      <c r="A140" s="13"/>
      <c r="B140" s="13"/>
      <c r="C140" s="1355" t="s">
        <v>620</v>
      </c>
      <c r="D140" s="1356"/>
      <c r="E140" s="1357">
        <v>10</v>
      </c>
      <c r="F140" s="1358">
        <v>24</v>
      </c>
      <c r="G140" s="1359"/>
      <c r="H140" s="1301">
        <f>E140*F140</f>
        <v>240</v>
      </c>
      <c r="I140" s="199"/>
    </row>
    <row r="141" spans="1:9" ht="13" thickBot="1" x14ac:dyDescent="0.3">
      <c r="A141" s="13"/>
      <c r="B141" s="13"/>
      <c r="C141" s="13" t="s">
        <v>579</v>
      </c>
      <c r="D141" s="1213"/>
      <c r="E141" s="1399">
        <f>80%*$C$24</f>
        <v>2073.6</v>
      </c>
      <c r="F141" s="1403">
        <f>'Données normes'!$C$182</f>
        <v>0</v>
      </c>
      <c r="G141" s="1239"/>
      <c r="H141" s="1184">
        <f>E141*F141</f>
        <v>0</v>
      </c>
      <c r="I141" s="199">
        <f>H141/$H$142</f>
        <v>0</v>
      </c>
    </row>
    <row r="142" spans="1:9" ht="18" x14ac:dyDescent="0.4">
      <c r="A142" s="152" t="s">
        <v>622</v>
      </c>
      <c r="B142" s="152"/>
      <c r="D142" s="152"/>
      <c r="E142" s="152"/>
      <c r="F142" s="152"/>
      <c r="G142" s="152"/>
      <c r="H142" s="1245">
        <f>SUM(H137:H141)</f>
        <v>682</v>
      </c>
      <c r="I142" s="199">
        <f>H142/$H$142</f>
        <v>1</v>
      </c>
    </row>
    <row r="143" spans="1:9" ht="18" x14ac:dyDescent="0.4">
      <c r="A143" s="13" t="s">
        <v>635</v>
      </c>
      <c r="B143" s="13"/>
      <c r="C143" s="13"/>
      <c r="D143" s="13"/>
      <c r="E143" s="13"/>
      <c r="F143" s="13"/>
      <c r="G143" s="1407">
        <f>'Données normes'!C185</f>
        <v>0</v>
      </c>
      <c r="H143" s="1245">
        <f>G143*H142</f>
        <v>0</v>
      </c>
    </row>
    <row r="144" spans="1:9" x14ac:dyDescent="0.25">
      <c r="A144" s="13"/>
      <c r="B144" s="13"/>
      <c r="C144" s="13"/>
      <c r="D144" s="13"/>
      <c r="E144" s="13"/>
      <c r="F144" s="13"/>
      <c r="G144" s="13"/>
      <c r="H144" s="13"/>
    </row>
  </sheetData>
  <mergeCells count="3">
    <mergeCell ref="D7:G7"/>
    <mergeCell ref="C29:F29"/>
    <mergeCell ref="C88:F88"/>
  </mergeCells>
  <phoneticPr fontId="24"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ndardErstellung">
    <tabColor indexed="10"/>
  </sheetPr>
  <dimension ref="A1:AI156"/>
  <sheetViews>
    <sheetView topLeftCell="A136" zoomScale="75" workbookViewId="0">
      <selection activeCell="B1" sqref="B1"/>
    </sheetView>
  </sheetViews>
  <sheetFormatPr baseColWidth="10" defaultRowHeight="12.5" x14ac:dyDescent="0.25"/>
  <cols>
    <col min="1" max="1" width="32.26953125" customWidth="1"/>
    <col min="2" max="2" width="71.54296875" customWidth="1"/>
    <col min="3" max="3" width="16.453125" customWidth="1"/>
    <col min="4" max="4" width="20.453125" customWidth="1"/>
    <col min="5" max="5" width="17.54296875" customWidth="1"/>
    <col min="6" max="6" width="18.453125" customWidth="1"/>
    <col min="7" max="7" width="25.7265625" customWidth="1"/>
    <col min="8" max="35" width="11.453125" style="13" customWidth="1"/>
  </cols>
  <sheetData>
    <row r="1" spans="1:35" ht="57.15" customHeight="1" x14ac:dyDescent="0.5">
      <c r="A1" s="1441" t="str">
        <f>'Normes Irrigation'!A1</f>
        <v>Arbokost 2023</v>
      </c>
      <c r="B1" s="971"/>
      <c r="C1" s="766"/>
      <c r="D1" s="767"/>
      <c r="E1" s="768"/>
      <c r="F1" s="769"/>
      <c r="G1" s="70"/>
      <c r="H1"/>
      <c r="I1"/>
      <c r="J1"/>
      <c r="K1"/>
      <c r="L1"/>
      <c r="M1"/>
      <c r="N1"/>
      <c r="O1"/>
      <c r="P1"/>
      <c r="Q1"/>
      <c r="R1"/>
      <c r="S1"/>
      <c r="T1"/>
      <c r="U1"/>
      <c r="V1"/>
      <c r="W1"/>
      <c r="X1"/>
      <c r="Y1"/>
      <c r="Z1"/>
      <c r="AA1"/>
      <c r="AB1"/>
      <c r="AC1"/>
      <c r="AD1"/>
      <c r="AE1"/>
      <c r="AF1"/>
      <c r="AG1"/>
      <c r="AH1"/>
      <c r="AI1"/>
    </row>
    <row r="2" spans="1:35" s="1" customFormat="1" ht="23.25" customHeight="1" x14ac:dyDescent="0.35">
      <c r="A2" s="972" t="s">
        <v>442</v>
      </c>
      <c r="B2" s="807"/>
      <c r="C2" s="766"/>
      <c r="D2" s="767"/>
      <c r="E2" s="768"/>
      <c r="F2" s="769"/>
      <c r="G2" s="70"/>
    </row>
    <row r="3" spans="1:35" s="1" customFormat="1" ht="62.25" customHeight="1" x14ac:dyDescent="0.25">
      <c r="A3" s="805" t="str">
        <f>'Données normes'!A3</f>
        <v>Définition norme:</v>
      </c>
      <c r="B3" s="1483" t="str">
        <f>'Données normes'!B3:H3</f>
        <v>Culture actuelle de pommes de table sur des porte-greffes faibles. Les valeurs sont basées sur des exploitations agricoles mixtes avec 2-5 ha de vergers, à un endroit approprié sur l'un des domaines de production principal en Suisse.</v>
      </c>
      <c r="C3" s="1483"/>
      <c r="D3" s="1483"/>
      <c r="E3" s="1483"/>
      <c r="F3" s="1483"/>
      <c r="G3" s="992"/>
    </row>
    <row r="4" spans="1:35" s="1" customFormat="1" ht="21.65" customHeight="1" x14ac:dyDescent="0.35">
      <c r="A4" s="989"/>
      <c r="B4" s="807"/>
      <c r="C4" s="766"/>
      <c r="D4" s="767"/>
      <c r="E4" s="768"/>
      <c r="F4" s="769"/>
      <c r="G4" s="70"/>
    </row>
    <row r="5" spans="1:35" ht="30.65" customHeight="1" x14ac:dyDescent="0.5">
      <c r="A5" s="382" t="s">
        <v>460</v>
      </c>
      <c r="B5" s="383"/>
      <c r="C5" s="383"/>
      <c r="D5" s="383"/>
      <c r="E5" s="383"/>
      <c r="F5" s="383"/>
      <c r="G5" s="114"/>
    </row>
    <row r="6" spans="1:35" ht="15.5" x14ac:dyDescent="0.35">
      <c r="A6" s="18"/>
      <c r="B6" s="579"/>
      <c r="C6" s="242"/>
      <c r="F6" s="33"/>
    </row>
    <row r="7" spans="1:35" s="12" customFormat="1" ht="20" customHeight="1" x14ac:dyDescent="0.3">
      <c r="A7" s="1"/>
      <c r="B7" s="3"/>
      <c r="C7" s="86" t="s">
        <v>244</v>
      </c>
      <c r="D7" s="86" t="s">
        <v>338</v>
      </c>
      <c r="E7" s="86" t="s">
        <v>343</v>
      </c>
      <c r="F7" s="280" t="s">
        <v>461</v>
      </c>
      <c r="G7" s="282"/>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ht="13" x14ac:dyDescent="0.3">
      <c r="A8" s="808" t="s">
        <v>200</v>
      </c>
      <c r="B8" s="18"/>
      <c r="C8" s="128">
        <f>'Données normes'!B24</f>
        <v>2000</v>
      </c>
      <c r="D8" s="42">
        <f>'Données normes'!C31</f>
        <v>8.5</v>
      </c>
      <c r="E8" s="80">
        <f>C8*D8</f>
        <v>17000</v>
      </c>
      <c r="F8" s="730">
        <f>E8/$E$83</f>
        <v>0.39447252774764058</v>
      </c>
      <c r="G8" s="463"/>
    </row>
    <row r="9" spans="1:35" ht="13" x14ac:dyDescent="0.3">
      <c r="A9" s="38"/>
      <c r="B9" s="18"/>
      <c r="C9" s="128"/>
      <c r="D9" s="42"/>
      <c r="E9" s="80"/>
      <c r="F9" s="725"/>
      <c r="G9" s="463"/>
    </row>
    <row r="10" spans="1:35" ht="13" x14ac:dyDescent="0.3">
      <c r="A10" s="1500" t="s">
        <v>283</v>
      </c>
      <c r="B10" s="18" t="str">
        <f>'Normes grêle'!B9</f>
        <v>Tuteur à chaque arbre</v>
      </c>
      <c r="C10" s="128">
        <f>'Normes grêle'!C9</f>
        <v>2000</v>
      </c>
      <c r="D10" s="42">
        <f>'Normes grêle'!D9</f>
        <v>1.593</v>
      </c>
      <c r="E10" s="43">
        <f>C10*D10</f>
        <v>3186</v>
      </c>
      <c r="F10" s="725">
        <f>E10/$E$83</f>
        <v>7.3928792553175457E-2</v>
      </c>
      <c r="G10" s="463"/>
    </row>
    <row r="11" spans="1:35" ht="13" x14ac:dyDescent="0.3">
      <c r="A11" s="1500"/>
      <c r="B11" s="18" t="str">
        <f>'Normes grêle'!B10</f>
        <v xml:space="preserve">Fils de fer 3 mm </v>
      </c>
      <c r="C11" s="128">
        <f>'Normes grêle'!C10</f>
        <v>2070</v>
      </c>
      <c r="D11" s="42">
        <f>'Normes grêle'!D10</f>
        <v>0.1888</v>
      </c>
      <c r="E11" s="43">
        <f>C11*D11</f>
        <v>390.81599999999997</v>
      </c>
      <c r="F11" s="725">
        <f>E11/$E$83</f>
        <v>9.0685985531895226E-3</v>
      </c>
      <c r="G11" s="463"/>
    </row>
    <row r="12" spans="1:35" ht="13" x14ac:dyDescent="0.3">
      <c r="A12" s="1500"/>
      <c r="B12" s="18" t="str">
        <f>'Normes grêle'!B11</f>
        <v>Agrafes</v>
      </c>
      <c r="C12" s="128">
        <f>'Normes grêle'!C11</f>
        <v>4.9090909090909092</v>
      </c>
      <c r="D12" s="42">
        <f>'Normes grêle'!D11</f>
        <v>6.4899999999999993</v>
      </c>
      <c r="E12" s="43">
        <f>C12*D12</f>
        <v>31.859999999999996</v>
      </c>
      <c r="F12" s="725">
        <f>E12/$E$83</f>
        <v>7.3928792553175457E-4</v>
      </c>
      <c r="G12" s="463"/>
    </row>
    <row r="13" spans="1:35" ht="13.5" thickBot="1" x14ac:dyDescent="0.35">
      <c r="A13" s="1500"/>
      <c r="B13" s="18" t="str">
        <f>'Normes grêle'!B12</f>
        <v xml:space="preserve">Attaches </v>
      </c>
      <c r="C13" s="128">
        <f>'Normes grêle'!C12</f>
        <v>2000</v>
      </c>
      <c r="D13" s="42">
        <f>'Normes grêle'!D12</f>
        <v>0.23599999999999999</v>
      </c>
      <c r="E13" s="464">
        <f>C13*D13</f>
        <v>472</v>
      </c>
      <c r="F13" s="725">
        <f>E13/$E$83</f>
        <v>1.095241371158155E-2</v>
      </c>
      <c r="G13" s="463"/>
    </row>
    <row r="14" spans="1:35" ht="13" x14ac:dyDescent="0.3">
      <c r="A14" s="38"/>
      <c r="B14" s="18"/>
      <c r="C14" s="128"/>
      <c r="D14" s="42"/>
      <c r="E14" s="581">
        <f>SUM(E10:E13)</f>
        <v>4080.6759999999999</v>
      </c>
      <c r="F14" s="730">
        <f t="shared" ref="F14:F34" si="0">E14/$E$83</f>
        <v>9.4689092743478295E-2</v>
      </c>
      <c r="G14" s="463"/>
    </row>
    <row r="15" spans="1:35" ht="13.65" customHeight="1" x14ac:dyDescent="0.3">
      <c r="A15" s="38"/>
      <c r="B15" s="18"/>
      <c r="C15" s="268"/>
      <c r="D15" s="105"/>
      <c r="E15" s="581"/>
      <c r="F15" s="725"/>
      <c r="G15" s="463"/>
    </row>
    <row r="16" spans="1:35" ht="13.65" customHeight="1" x14ac:dyDescent="0.3">
      <c r="A16" s="1500" t="s">
        <v>284</v>
      </c>
      <c r="B16" s="18" t="str">
        <f>'Normes grêle'!B14</f>
        <v>Largeur standard à trois fils m2</v>
      </c>
      <c r="C16" s="41">
        <f>'Normes grêle'!C14</f>
        <v>9800</v>
      </c>
      <c r="D16" s="42">
        <f>'Normes grêle'!D14</f>
        <v>0.6843999999999999</v>
      </c>
      <c r="E16" s="217">
        <f>C16*D16</f>
        <v>6707.119999999999</v>
      </c>
      <c r="F16" s="725">
        <f t="shared" si="0"/>
        <v>0.1556337988415738</v>
      </c>
      <c r="G16" s="463"/>
    </row>
    <row r="17" spans="1:7" ht="13.65" customHeight="1" x14ac:dyDescent="0.3">
      <c r="A17" s="1500"/>
      <c r="B17" s="18" t="str">
        <f>'Normes grêle'!B15</f>
        <v>Plaquettes de faîte</v>
      </c>
      <c r="C17" s="41">
        <f>'Normes grêle'!C15</f>
        <v>803.30578512396698</v>
      </c>
      <c r="D17" s="42">
        <f>'Normes grêle'!D15</f>
        <v>0.33040000000000003</v>
      </c>
      <c r="E17" s="217">
        <f t="shared" ref="E17:E33" si="1">C17*D17</f>
        <v>265.41223140495873</v>
      </c>
      <c r="F17" s="725">
        <f t="shared" si="0"/>
        <v>6.1586961069091638E-3</v>
      </c>
      <c r="G17" s="463"/>
    </row>
    <row r="18" spans="1:7" ht="13.65" customHeight="1" x14ac:dyDescent="0.3">
      <c r="A18" s="1500"/>
      <c r="B18" s="18" t="str">
        <f>'Normes grêle'!B16</f>
        <v xml:space="preserve">Plaquettes de gouttière FRUSTAR1 </v>
      </c>
      <c r="C18" s="41">
        <f>'Normes grêle'!C16</f>
        <v>1431.818181818182</v>
      </c>
      <c r="D18" s="42">
        <f>'Normes grêle'!D16</f>
        <v>0.97939999999999994</v>
      </c>
      <c r="E18" s="217">
        <f t="shared" si="1"/>
        <v>1402.3227272727274</v>
      </c>
      <c r="F18" s="725">
        <f t="shared" si="0"/>
        <v>3.2539870055602237E-2</v>
      </c>
      <c r="G18" s="463"/>
    </row>
    <row r="19" spans="1:7" ht="13.65" customHeight="1" x14ac:dyDescent="0.3">
      <c r="A19" s="1500"/>
      <c r="B19" s="18" t="str">
        <f>'Normes grêle'!B17</f>
        <v xml:space="preserve">Plaquettes standard avec crochet </v>
      </c>
      <c r="C19" s="41">
        <f>'Normes grêle'!C17</f>
        <v>100</v>
      </c>
      <c r="D19" s="42">
        <f>'Normes grêle'!D17</f>
        <v>0.64900000000000002</v>
      </c>
      <c r="E19" s="217">
        <f t="shared" si="1"/>
        <v>64.900000000000006</v>
      </c>
      <c r="F19" s="725">
        <f t="shared" si="0"/>
        <v>1.5059568853424633E-3</v>
      </c>
      <c r="G19" s="463"/>
    </row>
    <row r="20" spans="1:7" ht="13.65" customHeight="1" x14ac:dyDescent="0.3">
      <c r="A20" s="1500"/>
      <c r="B20" s="18" t="str">
        <f>'Normes grêle'!B18</f>
        <v xml:space="preserve">Câble frontal 9.5 mm </v>
      </c>
      <c r="C20" s="41">
        <f>'Normes grêle'!C18</f>
        <v>165</v>
      </c>
      <c r="D20" s="42">
        <f>'Normes grêle'!D18</f>
        <v>1.4041999999999999</v>
      </c>
      <c r="E20" s="217">
        <f t="shared" si="1"/>
        <v>231.69299999999998</v>
      </c>
      <c r="F20" s="725">
        <f t="shared" si="0"/>
        <v>5.3762660806725929E-3</v>
      </c>
      <c r="G20" s="463"/>
    </row>
    <row r="21" spans="1:7" ht="13.65" customHeight="1" x14ac:dyDescent="0.3">
      <c r="A21" s="1500"/>
      <c r="B21" s="18" t="str">
        <f>'Normes grêle'!B19</f>
        <v>Câble d'ancrage 9.5 mm</v>
      </c>
      <c r="C21" s="41">
        <f>'Normes grêle'!C19</f>
        <v>253.63636363636365</v>
      </c>
      <c r="D21" s="42">
        <f>'Normes grêle'!D19</f>
        <v>1.4041999999999999</v>
      </c>
      <c r="E21" s="217">
        <f t="shared" si="1"/>
        <v>356.15618181818184</v>
      </c>
      <c r="F21" s="725">
        <f t="shared" si="0"/>
        <v>8.264342900868615E-3</v>
      </c>
      <c r="G21" s="463"/>
    </row>
    <row r="22" spans="1:7" ht="13.65" customHeight="1" x14ac:dyDescent="0.3">
      <c r="A22" s="1500"/>
      <c r="B22" s="18" t="str">
        <f>'Normes grêle'!B20</f>
        <v xml:space="preserve">Câble transversal 9 mm </v>
      </c>
      <c r="C22" s="41">
        <f>'Normes grêle'!C20</f>
        <v>810</v>
      </c>
      <c r="D22" s="42">
        <f>'Normes grêle'!D20</f>
        <v>0.82599999999999996</v>
      </c>
      <c r="E22" s="217">
        <f t="shared" si="1"/>
        <v>669.06</v>
      </c>
      <c r="F22" s="725">
        <f t="shared" si="0"/>
        <v>1.5525046436166846E-2</v>
      </c>
      <c r="G22" s="463"/>
    </row>
    <row r="23" spans="1:7" ht="13.65" customHeight="1" x14ac:dyDescent="0.3">
      <c r="A23" s="1500"/>
      <c r="B23" s="18" t="str">
        <f>'Normes grêle'!B21</f>
        <v>Fil de faîtage</v>
      </c>
      <c r="C23" s="41">
        <f>'Normes grêle'!C21</f>
        <v>2536.3636363636365</v>
      </c>
      <c r="D23" s="42">
        <f>'Normes grêle'!D21</f>
        <v>0.35399999999999998</v>
      </c>
      <c r="E23" s="217">
        <f t="shared" si="1"/>
        <v>897.87272727272727</v>
      </c>
      <c r="F23" s="725">
        <f t="shared" si="0"/>
        <v>2.083447790134945E-2</v>
      </c>
      <c r="G23" s="463"/>
    </row>
    <row r="24" spans="1:7" ht="13.65" customHeight="1" x14ac:dyDescent="0.3">
      <c r="A24" s="1500"/>
      <c r="B24" s="18" t="str">
        <f>'Normes grêle'!B22</f>
        <v>Ficelle pour filet</v>
      </c>
      <c r="C24" s="41">
        <f>'Normes grêle'!C22</f>
        <v>2781.818181818182</v>
      </c>
      <c r="D24" s="42">
        <f>'Normes grêle'!D22</f>
        <v>0.11799999999999999</v>
      </c>
      <c r="E24" s="217">
        <f t="shared" si="1"/>
        <v>328.25454545454545</v>
      </c>
      <c r="F24" s="725">
        <f t="shared" si="0"/>
        <v>7.6169058994180784E-3</v>
      </c>
      <c r="G24" s="463"/>
    </row>
    <row r="25" spans="1:7" ht="13.65" customHeight="1" x14ac:dyDescent="0.3">
      <c r="A25" s="1500"/>
      <c r="B25" s="18" t="str">
        <f>'Normes grêle'!B23</f>
        <v>Tendeur (pour fil de fer)</v>
      </c>
      <c r="C25" s="41">
        <f>'Normes grêle'!C23</f>
        <v>26</v>
      </c>
      <c r="D25" s="42">
        <f>'Normes grêle'!D23</f>
        <v>10.797000000000001</v>
      </c>
      <c r="E25" s="217">
        <f t="shared" si="1"/>
        <v>280.72200000000004</v>
      </c>
      <c r="F25" s="725">
        <f t="shared" si="0"/>
        <v>6.5139480549631281E-3</v>
      </c>
      <c r="G25" s="463"/>
    </row>
    <row r="26" spans="1:7" ht="13.65" customHeight="1" thickBot="1" x14ac:dyDescent="0.35">
      <c r="A26" s="1500"/>
      <c r="B26" s="18" t="str">
        <f>'Normes grêle'!B24</f>
        <v>Petit matériel</v>
      </c>
      <c r="C26" s="41"/>
      <c r="D26" s="42"/>
      <c r="E26" s="580">
        <f>'Normes grêle'!E24</f>
        <v>550</v>
      </c>
      <c r="F26" s="725">
        <f t="shared" si="0"/>
        <v>1.2762346485953077E-2</v>
      </c>
      <c r="G26" s="463"/>
    </row>
    <row r="27" spans="1:7" ht="13.65" customHeight="1" x14ac:dyDescent="0.3">
      <c r="A27" s="3"/>
      <c r="B27" s="1"/>
      <c r="C27" s="33"/>
      <c r="D27" s="45"/>
      <c r="E27" s="156">
        <f>SUM(E16:E26)</f>
        <v>11753.513413223138</v>
      </c>
      <c r="F27" s="730">
        <f t="shared" si="0"/>
        <v>0.2727316556488194</v>
      </c>
      <c r="G27" s="991"/>
    </row>
    <row r="28" spans="1:7" ht="13.65" customHeight="1" x14ac:dyDescent="0.3">
      <c r="A28" s="38"/>
      <c r="B28" s="18"/>
      <c r="C28" s="41"/>
      <c r="D28" s="42"/>
      <c r="E28" s="217"/>
      <c r="F28" s="725"/>
      <c r="G28" s="463"/>
    </row>
    <row r="29" spans="1:7" ht="13.65" customHeight="1" x14ac:dyDescent="0.3">
      <c r="A29" s="1501" t="s">
        <v>344</v>
      </c>
      <c r="B29" s="18" t="str">
        <f>'Normes grêle'!B26</f>
        <v>Tuteurs de ligne 4 m 8/10 10 m d'espacement</v>
      </c>
      <c r="C29" s="41">
        <f>'Normes grêle'!C26</f>
        <v>196.36363636363637</v>
      </c>
      <c r="D29" s="42">
        <f>'Normes grêle'!D26</f>
        <v>21.83</v>
      </c>
      <c r="E29" s="217">
        <f t="shared" si="1"/>
        <v>4286.6181818181813</v>
      </c>
      <c r="F29" s="725">
        <f t="shared" si="0"/>
        <v>9.9467829980636066E-2</v>
      </c>
      <c r="G29" s="463"/>
    </row>
    <row r="30" spans="1:7" ht="13.65" customHeight="1" x14ac:dyDescent="0.3">
      <c r="A30" s="1501"/>
      <c r="B30" s="18" t="str">
        <f>'Normes grêle'!B27</f>
        <v>Tuteurs à l'extrémité 4.20 m 10/1210</v>
      </c>
      <c r="C30" s="41">
        <f>'Normes grêle'!C27</f>
        <v>36</v>
      </c>
      <c r="D30" s="42">
        <f>'Normes grêle'!D27</f>
        <v>31.86</v>
      </c>
      <c r="E30" s="217">
        <f t="shared" si="1"/>
        <v>1146.96</v>
      </c>
      <c r="F30" s="725">
        <f t="shared" si="0"/>
        <v>2.6614365319143168E-2</v>
      </c>
      <c r="G30" s="463"/>
    </row>
    <row r="31" spans="1:7" ht="13.65" customHeight="1" x14ac:dyDescent="0.3">
      <c r="A31" s="1501"/>
      <c r="B31" s="18" t="str">
        <f>'Normes grêle'!B28</f>
        <v>Tuteurs au coin 4.50 m 13/15</v>
      </c>
      <c r="C31" s="41">
        <f>'Normes grêle'!C28</f>
        <v>4</v>
      </c>
      <c r="D31" s="42">
        <f>'Normes grêle'!D28</f>
        <v>69.560999999999993</v>
      </c>
      <c r="E31" s="217">
        <f t="shared" si="1"/>
        <v>278.24399999999997</v>
      </c>
      <c r="F31" s="725">
        <f t="shared" si="0"/>
        <v>6.4564478829773229E-3</v>
      </c>
      <c r="G31" s="463"/>
    </row>
    <row r="32" spans="1:7" ht="13.65" customHeight="1" x14ac:dyDescent="0.3">
      <c r="A32" s="1501"/>
      <c r="B32" s="18" t="str">
        <f>'Normes grêle'!B29</f>
        <v>Armature</v>
      </c>
      <c r="C32" s="41">
        <f>'Normes grêle'!C29</f>
        <v>58.909090909090914</v>
      </c>
      <c r="D32" s="42">
        <f>'Normes grêle'!D29</f>
        <v>23.776999999999997</v>
      </c>
      <c r="E32" s="217">
        <f t="shared" si="1"/>
        <v>1400.6814545454545</v>
      </c>
      <c r="F32" s="725">
        <f t="shared" si="0"/>
        <v>3.2501785526105137E-2</v>
      </c>
      <c r="G32" s="463"/>
    </row>
    <row r="33" spans="1:35" ht="13.65" customHeight="1" thickBot="1" x14ac:dyDescent="0.35">
      <c r="A33" s="1501"/>
      <c r="B33" s="18" t="str">
        <f>'Normes grêle'!B30</f>
        <v xml:space="preserve">Chapeaux (pour poteaux) </v>
      </c>
      <c r="C33" s="41">
        <f>'Normes grêle'!C30</f>
        <v>55.63636363636364</v>
      </c>
      <c r="D33" s="42">
        <f>'Normes grêle'!D30</f>
        <v>1.18</v>
      </c>
      <c r="E33" s="580">
        <f t="shared" si="1"/>
        <v>65.650909090909096</v>
      </c>
      <c r="F33" s="725">
        <f t="shared" si="0"/>
        <v>1.5233811798836157E-3</v>
      </c>
      <c r="G33" s="463"/>
    </row>
    <row r="34" spans="1:35" ht="13.65" customHeight="1" x14ac:dyDescent="0.3">
      <c r="A34" s="38"/>
      <c r="B34" s="18"/>
      <c r="C34" s="44"/>
      <c r="D34" s="105"/>
      <c r="E34" s="581">
        <f>SUM(E29:E33)</f>
        <v>7178.1545454545449</v>
      </c>
      <c r="F34" s="730">
        <f t="shared" si="0"/>
        <v>0.16656380988874531</v>
      </c>
      <c r="G34" s="463"/>
    </row>
    <row r="35" spans="1:35" ht="13.65" customHeight="1" x14ac:dyDescent="0.3">
      <c r="A35" s="38"/>
      <c r="B35" s="18"/>
      <c r="C35" s="268"/>
      <c r="D35" s="105"/>
      <c r="E35" s="581"/>
      <c r="F35" s="725"/>
      <c r="G35" s="463"/>
    </row>
    <row r="36" spans="1:35" ht="13" x14ac:dyDescent="0.3">
      <c r="A36" s="1500" t="s">
        <v>275</v>
      </c>
      <c r="B36" s="18" t="s">
        <v>304</v>
      </c>
      <c r="C36" s="267">
        <f>'Normes grêle'!C33</f>
        <v>40</v>
      </c>
      <c r="D36" s="42">
        <f>'Normes grêle'!D33</f>
        <v>7.2</v>
      </c>
      <c r="E36" s="43">
        <f>C36*D36</f>
        <v>288</v>
      </c>
      <c r="F36" s="725">
        <f>E36/E83</f>
        <v>6.6828287053717931E-3</v>
      </c>
      <c r="G36" s="463"/>
    </row>
    <row r="37" spans="1:35" ht="13" x14ac:dyDescent="0.3">
      <c r="A37" s="1500"/>
      <c r="B37" s="18" t="s">
        <v>305</v>
      </c>
      <c r="C37" s="268"/>
      <c r="D37" s="41"/>
      <c r="E37" s="42">
        <f>'Normes grêle'!E34</f>
        <v>125</v>
      </c>
      <c r="F37" s="725">
        <f>E37/E83</f>
        <v>2.9005332922620629E-3</v>
      </c>
      <c r="G37" s="463"/>
    </row>
    <row r="38" spans="1:35" ht="13.5" thickBot="1" x14ac:dyDescent="0.35">
      <c r="A38" s="1500"/>
      <c r="B38" s="18" t="s">
        <v>345</v>
      </c>
      <c r="C38" s="268"/>
      <c r="D38" s="41"/>
      <c r="E38" s="387">
        <f>'Normes grêle'!E35</f>
        <v>500</v>
      </c>
      <c r="F38" s="725">
        <f>E38/E83</f>
        <v>1.1602133169048252E-2</v>
      </c>
      <c r="G38" s="463"/>
    </row>
    <row r="39" spans="1:35" ht="13" x14ac:dyDescent="0.3">
      <c r="A39" s="18"/>
      <c r="B39" s="18"/>
      <c r="C39" s="18"/>
      <c r="D39" s="42"/>
      <c r="E39" s="80">
        <f>SUM(E36:E38)</f>
        <v>913</v>
      </c>
      <c r="F39" s="730">
        <f>E39/E83</f>
        <v>2.1185495166682108E-2</v>
      </c>
      <c r="G39" s="463"/>
    </row>
    <row r="40" spans="1:35" s="1" customFormat="1" ht="13" x14ac:dyDescent="0.3">
      <c r="A40" s="18"/>
      <c r="B40" s="18"/>
      <c r="C40" s="18"/>
      <c r="D40" s="42"/>
      <c r="E40" s="80"/>
      <c r="F40" s="725"/>
      <c r="G40" s="463"/>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row>
    <row r="41" spans="1:35" s="1" customFormat="1" ht="13" x14ac:dyDescent="0.3">
      <c r="A41" s="18" t="str">
        <f>'Normes grêle'!A57</f>
        <v>Economie des coûts de palissage grâce à l'installation du filet anti-grêle</v>
      </c>
      <c r="B41" s="18"/>
      <c r="C41" s="18"/>
      <c r="D41" s="42"/>
      <c r="E41" s="80"/>
      <c r="F41" s="214"/>
      <c r="G41" s="463"/>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row>
    <row r="42" spans="1:35" s="1" customFormat="1" ht="13" x14ac:dyDescent="0.3">
      <c r="A42" s="18"/>
      <c r="B42" s="18" t="str">
        <f>'Normes grêle'!B58</f>
        <v>Tuteurs à l'extrémité</v>
      </c>
      <c r="C42" s="44">
        <f>'Normes grêle'!C58</f>
        <v>45</v>
      </c>
      <c r="D42" s="42">
        <f>'Normes grêle'!D58</f>
        <v>14</v>
      </c>
      <c r="E42" s="148">
        <f>C42*D42</f>
        <v>630</v>
      </c>
      <c r="F42" s="214"/>
      <c r="G42" s="463"/>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row>
    <row r="43" spans="1:35" s="1" customFormat="1" ht="13" x14ac:dyDescent="0.3">
      <c r="A43" s="18"/>
      <c r="B43" s="18" t="str">
        <f>'Normes grêle'!B59</f>
        <v>Tuteurs intermédiaires</v>
      </c>
      <c r="C43" s="44">
        <f>'Normes grêle'!C59</f>
        <v>275</v>
      </c>
      <c r="D43" s="42">
        <f>'Normes grêle'!D59</f>
        <v>10</v>
      </c>
      <c r="E43" s="148">
        <f>C43*D43</f>
        <v>2750</v>
      </c>
      <c r="F43" s="214"/>
      <c r="G43" s="463"/>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row>
    <row r="44" spans="1:35" s="1" customFormat="1" ht="13.5" thickBot="1" x14ac:dyDescent="0.35">
      <c r="A44" s="18"/>
      <c r="B44" s="18" t="str">
        <f>'Normes grêle'!B60</f>
        <v>Ancres à assiette</v>
      </c>
      <c r="C44" s="44">
        <f>'Normes grêle'!C60</f>
        <v>45</v>
      </c>
      <c r="D44" s="42">
        <f>'Normes grêle'!D60</f>
        <v>5.2</v>
      </c>
      <c r="E44" s="582">
        <f>C44*D44</f>
        <v>234</v>
      </c>
      <c r="F44" s="214"/>
      <c r="G44" s="463"/>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row>
    <row r="45" spans="1:35" s="1" customFormat="1" ht="13" x14ac:dyDescent="0.3">
      <c r="A45" s="18"/>
      <c r="B45" s="18"/>
      <c r="C45" s="18"/>
      <c r="D45" s="42"/>
      <c r="E45" s="82">
        <f>SUM(E42:E44)</f>
        <v>3614</v>
      </c>
      <c r="F45" s="214"/>
      <c r="G45" s="463"/>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row>
    <row r="46" spans="1:35" s="1" customFormat="1" ht="13" x14ac:dyDescent="0.3">
      <c r="A46" s="18"/>
      <c r="B46" s="18"/>
      <c r="C46" s="18"/>
      <c r="D46" s="42"/>
      <c r="E46" s="80"/>
      <c r="F46" s="214"/>
      <c r="G46" s="463"/>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row>
    <row r="47" spans="1:35" ht="20" customHeight="1" x14ac:dyDescent="0.35">
      <c r="A47" s="592" t="s">
        <v>346</v>
      </c>
      <c r="B47" s="584"/>
      <c r="C47" s="585"/>
      <c r="D47" s="586"/>
      <c r="E47" s="676">
        <f>E39+E14+E8+'Données normes'!$C$179*E27+'Données normes'!$C$179*E34-'Données normes'!$C$179*E45</f>
        <v>21993.675999999999</v>
      </c>
      <c r="F47" s="727">
        <f>E47/E83</f>
        <v>0.510347115657801</v>
      </c>
      <c r="G47" s="463"/>
    </row>
    <row r="48" spans="1:35" s="1" customFormat="1" ht="20" customHeight="1" x14ac:dyDescent="0.35">
      <c r="A48" s="2"/>
      <c r="C48" s="6"/>
      <c r="D48" s="45"/>
      <c r="E48" s="283"/>
      <c r="F48" s="87"/>
      <c r="G48" s="463"/>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row>
    <row r="49" spans="1:7" ht="13" x14ac:dyDescent="0.3">
      <c r="A49" s="3"/>
      <c r="B49" s="1"/>
      <c r="C49" s="284" t="s">
        <v>58</v>
      </c>
      <c r="D49" s="285" t="s">
        <v>52</v>
      </c>
      <c r="E49" s="286" t="s">
        <v>343</v>
      </c>
      <c r="F49" s="588"/>
      <c r="G49" s="463"/>
    </row>
    <row r="50" spans="1:7" ht="13" x14ac:dyDescent="0.3">
      <c r="A50" s="38"/>
      <c r="B50" s="18"/>
      <c r="C50" s="37"/>
      <c r="D50" s="42"/>
      <c r="E50" s="43"/>
      <c r="F50" s="133"/>
      <c r="G50" s="463"/>
    </row>
    <row r="51" spans="1:7" ht="13" x14ac:dyDescent="0.3">
      <c r="A51" s="38" t="s">
        <v>163</v>
      </c>
      <c r="B51" s="18" t="str">
        <f>'Données normes'!B144</f>
        <v>Charrue bisoc</v>
      </c>
      <c r="C51" s="37">
        <f>'Données normes'!C144</f>
        <v>3.8</v>
      </c>
      <c r="D51" s="451">
        <f>'Données normes'!D144</f>
        <v>23</v>
      </c>
      <c r="E51" s="43">
        <f t="shared" ref="E51:E60" si="2">C51*D51</f>
        <v>87.399999999999991</v>
      </c>
      <c r="F51" s="733">
        <f>E51/E83</f>
        <v>2.0280528779496342E-3</v>
      </c>
      <c r="G51" s="463"/>
    </row>
    <row r="52" spans="1:7" ht="13" x14ac:dyDescent="0.3">
      <c r="A52" s="810"/>
      <c r="B52" s="18" t="str">
        <f>'Données normes'!B145</f>
        <v>Herse rotative avec émotteuse à battes, 3 m</v>
      </c>
      <c r="C52" s="37">
        <f>'Données normes'!C145</f>
        <v>1.8</v>
      </c>
      <c r="D52" s="451">
        <f>'Données normes'!D145</f>
        <v>51.6</v>
      </c>
      <c r="E52" s="43">
        <f t="shared" si="2"/>
        <v>92.88000000000001</v>
      </c>
      <c r="F52" s="733">
        <f>E52/E83</f>
        <v>2.1552122574824036E-3</v>
      </c>
      <c r="G52" s="463"/>
    </row>
    <row r="53" spans="1:7" ht="13" x14ac:dyDescent="0.3">
      <c r="A53" s="18"/>
      <c r="B53" s="18" t="str">
        <f>'Données normes'!B146</f>
        <v>Semoir 3 m</v>
      </c>
      <c r="C53" s="37">
        <f>'Données normes'!C146</f>
        <v>1.6</v>
      </c>
      <c r="D53" s="451">
        <f>'Données normes'!D146</f>
        <v>90</v>
      </c>
      <c r="E53" s="43">
        <f t="shared" si="2"/>
        <v>144</v>
      </c>
      <c r="F53" s="733">
        <f>E53/E83</f>
        <v>3.3414143526858966E-3</v>
      </c>
      <c r="G53" s="463"/>
    </row>
    <row r="54" spans="1:7" ht="13" x14ac:dyDescent="0.3">
      <c r="A54" s="18"/>
      <c r="B54" s="18" t="str">
        <f>'Données normes'!B147</f>
        <v>Char, 3 t</v>
      </c>
      <c r="C54" s="561">
        <v>15</v>
      </c>
      <c r="D54" s="94">
        <f>'Données normes'!D147</f>
        <v>13.9</v>
      </c>
      <c r="E54" s="43">
        <f t="shared" si="2"/>
        <v>208.5</v>
      </c>
      <c r="F54" s="733">
        <f>E54/E83</f>
        <v>4.8380895314931215E-3</v>
      </c>
      <c r="G54" s="463"/>
    </row>
    <row r="55" spans="1:7" ht="13" x14ac:dyDescent="0.3">
      <c r="A55" s="18"/>
      <c r="B55" s="144" t="s">
        <v>262</v>
      </c>
      <c r="C55" s="37">
        <f>'Normes grêle'!C39</f>
        <v>16.363636363636363</v>
      </c>
      <c r="D55" s="94">
        <f>'Données normes'!D148</f>
        <v>22.8</v>
      </c>
      <c r="E55" s="43">
        <f t="shared" si="2"/>
        <v>373.09090909090912</v>
      </c>
      <c r="F55" s="733">
        <f>E55/E83</f>
        <v>8.6573008228680061E-3</v>
      </c>
      <c r="G55" s="463"/>
    </row>
    <row r="56" spans="1:7" ht="13" x14ac:dyDescent="0.3">
      <c r="A56" s="18"/>
      <c r="B56" s="144" t="s">
        <v>308</v>
      </c>
      <c r="C56" s="37">
        <f>'Normes grêle'!C40</f>
        <v>16.363636363636363</v>
      </c>
      <c r="D56" s="94">
        <f>'Données normes'!D150</f>
        <v>19.100000000000001</v>
      </c>
      <c r="E56" s="43">
        <f t="shared" si="2"/>
        <v>312.54545454545456</v>
      </c>
      <c r="F56" s="733">
        <f>E56/E83</f>
        <v>7.2523879700341623E-3</v>
      </c>
      <c r="G56" s="463"/>
    </row>
    <row r="57" spans="1:7" ht="13" x14ac:dyDescent="0.3">
      <c r="A57" s="18"/>
      <c r="B57" s="18" t="s">
        <v>348</v>
      </c>
      <c r="C57" s="561">
        <v>20</v>
      </c>
      <c r="D57" s="42">
        <f>'Données normes'!D143</f>
        <v>41</v>
      </c>
      <c r="E57" s="43">
        <f t="shared" si="2"/>
        <v>820</v>
      </c>
      <c r="F57" s="733">
        <f>E57/E83</f>
        <v>1.9027498397239134E-2</v>
      </c>
      <c r="G57" s="463"/>
    </row>
    <row r="58" spans="1:7" ht="13.5" thickBot="1" x14ac:dyDescent="0.35">
      <c r="A58" s="18"/>
      <c r="B58" s="18" t="s">
        <v>349</v>
      </c>
      <c r="C58" s="728">
        <f>SUM(C51:C57)*0.1</f>
        <v>7.4927272727272722</v>
      </c>
      <c r="D58" s="42">
        <f>'Données normes'!D143</f>
        <v>41</v>
      </c>
      <c r="E58" s="43">
        <f t="shared" si="2"/>
        <v>307.20181818181817</v>
      </c>
      <c r="F58" s="733">
        <f>E58/E83</f>
        <v>7.1283928086384061E-3</v>
      </c>
      <c r="G58" s="463"/>
    </row>
    <row r="59" spans="1:7" ht="13" x14ac:dyDescent="0.3">
      <c r="A59" s="38" t="s">
        <v>347</v>
      </c>
      <c r="B59" s="84" t="str">
        <f>'Données normes'!B143</f>
        <v>Tracteur arboricole, 4 roues motrices</v>
      </c>
      <c r="C59" s="336">
        <f>SUM(C51:C58)</f>
        <v>82.419999999999987</v>
      </c>
      <c r="D59" s="94">
        <f>'Données normes'!D143</f>
        <v>41</v>
      </c>
      <c r="E59" s="82">
        <f>C59*D59</f>
        <v>3379.2199999999993</v>
      </c>
      <c r="F59" s="733">
        <f>E59/E83</f>
        <v>7.8412320895022453E-2</v>
      </c>
      <c r="G59" s="463"/>
    </row>
    <row r="60" spans="1:7" ht="13" x14ac:dyDescent="0.3">
      <c r="A60" s="38"/>
      <c r="B60" s="18" t="s">
        <v>263</v>
      </c>
      <c r="C60" s="37">
        <f>'Normes grêle'!C38</f>
        <v>12.272727272727273</v>
      </c>
      <c r="D60" s="94">
        <f>'Données normes'!D149</f>
        <v>150</v>
      </c>
      <c r="E60" s="43">
        <f t="shared" si="2"/>
        <v>1840.909090909091</v>
      </c>
      <c r="F60" s="733">
        <f>E60/E83</f>
        <v>4.2716944849677661E-2</v>
      </c>
      <c r="G60" s="463"/>
    </row>
    <row r="61" spans="1:7" ht="13.5" thickBot="1" x14ac:dyDescent="0.35">
      <c r="A61" s="18"/>
      <c r="B61" s="18" t="s">
        <v>350</v>
      </c>
      <c r="C61" s="37"/>
      <c r="D61" s="42"/>
      <c r="E61" s="464">
        <f>'Données normes'!D151</f>
        <v>220</v>
      </c>
      <c r="F61" s="733">
        <f>E61/E83</f>
        <v>5.1049385943812307E-3</v>
      </c>
      <c r="G61" s="463"/>
    </row>
    <row r="62" spans="1:7" ht="13" x14ac:dyDescent="0.3">
      <c r="A62" s="38" t="s">
        <v>468</v>
      </c>
      <c r="B62" s="18"/>
      <c r="C62" s="37"/>
      <c r="D62" s="42"/>
      <c r="E62" s="82">
        <f>SUM(E51:E61)</f>
        <v>7785.7472727272716</v>
      </c>
      <c r="F62" s="730">
        <f>E62/E83</f>
        <v>0.18066255335747208</v>
      </c>
      <c r="G62" s="463"/>
    </row>
    <row r="63" spans="1:7" ht="13" x14ac:dyDescent="0.3">
      <c r="A63" s="18"/>
      <c r="B63" s="18"/>
      <c r="C63" s="37"/>
      <c r="D63" s="42"/>
      <c r="E63" s="43"/>
      <c r="F63" s="733"/>
      <c r="G63" s="463"/>
    </row>
    <row r="64" spans="1:7" ht="13" x14ac:dyDescent="0.3">
      <c r="A64" s="1"/>
      <c r="B64" s="1"/>
      <c r="C64" s="34"/>
      <c r="D64" s="45"/>
      <c r="E64" s="43"/>
      <c r="F64" s="88"/>
      <c r="G64" s="463"/>
    </row>
    <row r="65" spans="1:7" ht="13" x14ac:dyDescent="0.3">
      <c r="A65" s="18"/>
      <c r="B65" s="18"/>
      <c r="C65" s="284" t="s">
        <v>309</v>
      </c>
      <c r="D65" s="285" t="s">
        <v>52</v>
      </c>
      <c r="E65" s="286" t="s">
        <v>53</v>
      </c>
      <c r="F65" s="809"/>
      <c r="G65" s="463"/>
    </row>
    <row r="66" spans="1:7" ht="13" x14ac:dyDescent="0.3">
      <c r="A66" s="38" t="s">
        <v>164</v>
      </c>
      <c r="B66" s="18" t="s">
        <v>351</v>
      </c>
      <c r="C66" s="37">
        <f>C51</f>
        <v>3.8</v>
      </c>
      <c r="D66" s="42">
        <f>'Données normes'!$C$36</f>
        <v>29.5</v>
      </c>
      <c r="E66" s="43">
        <f t="shared" ref="E66:E79" si="3">C66*D66</f>
        <v>112.1</v>
      </c>
      <c r="F66" s="733">
        <f>E66/E83</f>
        <v>2.6011982565006179E-3</v>
      </c>
      <c r="G66" s="463"/>
    </row>
    <row r="67" spans="1:7" ht="13" x14ac:dyDescent="0.3">
      <c r="A67" s="18"/>
      <c r="B67" s="18" t="s">
        <v>352</v>
      </c>
      <c r="C67" s="37">
        <f>C52</f>
        <v>1.8</v>
      </c>
      <c r="D67" s="42">
        <f>'Données normes'!$C$36</f>
        <v>29.5</v>
      </c>
      <c r="E67" s="43">
        <f t="shared" si="3"/>
        <v>53.1</v>
      </c>
      <c r="F67" s="733">
        <f>E67/E83</f>
        <v>1.2321465425529244E-3</v>
      </c>
      <c r="G67" s="463"/>
    </row>
    <row r="68" spans="1:7" ht="13" x14ac:dyDescent="0.3">
      <c r="A68" s="18"/>
      <c r="B68" s="18" t="s">
        <v>353</v>
      </c>
      <c r="C68" s="561">
        <v>0</v>
      </c>
      <c r="D68" s="42">
        <f>'Données normes'!$C$36</f>
        <v>29.5</v>
      </c>
      <c r="E68" s="43">
        <f t="shared" si="3"/>
        <v>0</v>
      </c>
      <c r="F68" s="733">
        <f>E68/E83</f>
        <v>0</v>
      </c>
      <c r="G68" s="463"/>
    </row>
    <row r="69" spans="1:7" ht="13" x14ac:dyDescent="0.3">
      <c r="A69" s="18"/>
      <c r="B69" s="18" t="s">
        <v>305</v>
      </c>
      <c r="C69" s="37">
        <f>'Normes grêle'!C44</f>
        <v>1</v>
      </c>
      <c r="D69" s="42">
        <f>'Données normes'!$C$36</f>
        <v>29.5</v>
      </c>
      <c r="E69" s="43">
        <f t="shared" si="3"/>
        <v>29.5</v>
      </c>
      <c r="F69" s="733">
        <f>E69/E83</f>
        <v>6.8452585697384688E-4</v>
      </c>
      <c r="G69" s="463"/>
    </row>
    <row r="70" spans="1:7" ht="13" x14ac:dyDescent="0.3">
      <c r="A70" s="18"/>
      <c r="B70" s="18" t="s">
        <v>314</v>
      </c>
      <c r="C70" s="37">
        <f>'Normes grêle'!C45</f>
        <v>7.5</v>
      </c>
      <c r="D70" s="42">
        <f>'Données normes'!$C$36</f>
        <v>29.5</v>
      </c>
      <c r="E70" s="43">
        <f t="shared" si="3"/>
        <v>221.25</v>
      </c>
      <c r="F70" s="733">
        <f>E70/E83</f>
        <v>5.1339439273038519E-3</v>
      </c>
      <c r="G70" s="463"/>
    </row>
    <row r="71" spans="1:7" ht="13" x14ac:dyDescent="0.3">
      <c r="A71" s="813"/>
      <c r="B71" s="18" t="s">
        <v>499</v>
      </c>
      <c r="C71" s="37">
        <f>'Normes grêle'!C46</f>
        <v>61.363636363636367</v>
      </c>
      <c r="D71" s="42">
        <f>'Données normes'!$C$36</f>
        <v>29.5</v>
      </c>
      <c r="E71" s="43">
        <f t="shared" si="3"/>
        <v>1810.2272727272727</v>
      </c>
      <c r="F71" s="733">
        <f>E71/E83</f>
        <v>4.2004995768849696E-2</v>
      </c>
      <c r="G71" s="463"/>
    </row>
    <row r="72" spans="1:7" ht="13" x14ac:dyDescent="0.3">
      <c r="A72" s="813"/>
      <c r="B72" s="18" t="s">
        <v>354</v>
      </c>
      <c r="C72" s="37">
        <f>'Normes grêle'!C47</f>
        <v>8.1818181818181817</v>
      </c>
      <c r="D72" s="42">
        <f>'Données normes'!$C$36</f>
        <v>29.5</v>
      </c>
      <c r="E72" s="43">
        <f t="shared" si="3"/>
        <v>241.36363636363635</v>
      </c>
      <c r="F72" s="733">
        <f>E72/$E$83</f>
        <v>5.6006661025132919E-3</v>
      </c>
      <c r="G72" s="463"/>
    </row>
    <row r="73" spans="1:7" ht="13" x14ac:dyDescent="0.3">
      <c r="A73" s="813"/>
      <c r="B73" s="18" t="s">
        <v>355</v>
      </c>
      <c r="C73" s="37">
        <f>'Normes grêle'!C48</f>
        <v>57.272727272727273</v>
      </c>
      <c r="D73" s="42">
        <f>'Données normes'!$C$36</f>
        <v>29.5</v>
      </c>
      <c r="E73" s="43">
        <f>C73*D73</f>
        <v>1689.5454545454545</v>
      </c>
      <c r="F73" s="733">
        <f>E73/$E$83</f>
        <v>3.9204662717593049E-2</v>
      </c>
      <c r="G73" s="463"/>
    </row>
    <row r="74" spans="1:7" ht="13" x14ac:dyDescent="0.3">
      <c r="A74" s="18"/>
      <c r="B74" s="18" t="s">
        <v>304</v>
      </c>
      <c r="C74" s="37">
        <f>C53</f>
        <v>1.6</v>
      </c>
      <c r="D74" s="42">
        <f>'Données normes'!$C$36</f>
        <v>29.5</v>
      </c>
      <c r="E74" s="43">
        <f t="shared" si="3"/>
        <v>47.2</v>
      </c>
      <c r="F74" s="733">
        <f>E74/E83</f>
        <v>1.095241371158155E-3</v>
      </c>
      <c r="G74" s="463"/>
    </row>
    <row r="75" spans="1:7" ht="13" x14ac:dyDescent="0.3">
      <c r="A75" s="18"/>
      <c r="B75" s="18" t="s">
        <v>356</v>
      </c>
      <c r="C75" s="37">
        <f>'Normes grêle'!C51</f>
        <v>12.272727272727273</v>
      </c>
      <c r="D75" s="42">
        <f>'Données normes'!$C$36</f>
        <v>29.5</v>
      </c>
      <c r="E75" s="43">
        <f t="shared" si="3"/>
        <v>362.04545454545456</v>
      </c>
      <c r="F75" s="733">
        <f>E75/E83</f>
        <v>8.4009991537699388E-3</v>
      </c>
      <c r="G75" s="463"/>
    </row>
    <row r="76" spans="1:7" ht="13" x14ac:dyDescent="0.3">
      <c r="A76" s="18"/>
      <c r="B76" s="18" t="s">
        <v>357</v>
      </c>
      <c r="C76" s="37">
        <f>'Normes grêle'!C52</f>
        <v>81.818181818181827</v>
      </c>
      <c r="D76" s="42">
        <f>'Données normes'!$C$36</f>
        <v>29.5</v>
      </c>
      <c r="E76" s="43">
        <f t="shared" si="3"/>
        <v>2413.636363636364</v>
      </c>
      <c r="F76" s="733">
        <f>E76/E83</f>
        <v>5.6006661025132937E-2</v>
      </c>
      <c r="G76" s="463"/>
    </row>
    <row r="77" spans="1:7" ht="13" x14ac:dyDescent="0.3">
      <c r="A77" s="18"/>
      <c r="B77" s="18" t="s">
        <v>319</v>
      </c>
      <c r="C77" s="37">
        <f>'Normes grêle'!C53</f>
        <v>143.18181818181819</v>
      </c>
      <c r="D77" s="42">
        <f>'Données normes'!$C$36</f>
        <v>29.5</v>
      </c>
      <c r="E77" s="43">
        <f t="shared" si="3"/>
        <v>4223.8636363636369</v>
      </c>
      <c r="F77" s="733">
        <f>E77/E83</f>
        <v>9.8011656793982632E-2</v>
      </c>
      <c r="G77" s="463"/>
    </row>
    <row r="78" spans="1:7" ht="13" x14ac:dyDescent="0.3">
      <c r="A78" s="18"/>
      <c r="B78" s="18" t="s">
        <v>349</v>
      </c>
      <c r="C78" s="37">
        <f>'Normes grêle'!C54</f>
        <v>23.72727272727273</v>
      </c>
      <c r="D78" s="42">
        <f>'Données normes'!$C$36</f>
        <v>29.5</v>
      </c>
      <c r="E78" s="43">
        <f t="shared" si="3"/>
        <v>699.9545454545455</v>
      </c>
      <c r="F78" s="733">
        <f>E78/E83</f>
        <v>1.6241931697288551E-2</v>
      </c>
      <c r="G78" s="463"/>
    </row>
    <row r="79" spans="1:7" ht="13.5" thickBot="1" x14ac:dyDescent="0.35">
      <c r="A79" s="18"/>
      <c r="B79" s="18" t="s">
        <v>358</v>
      </c>
      <c r="C79" s="728">
        <f>SUM(C66:C78) * 0.1</f>
        <v>40.351818181818189</v>
      </c>
      <c r="D79" s="42">
        <f>'Données normes'!$C$32</f>
        <v>35</v>
      </c>
      <c r="E79" s="464">
        <f t="shared" si="3"/>
        <v>1412.3136363636365</v>
      </c>
      <c r="F79" s="733">
        <f>E79/E83</f>
        <v>3.27717017711074E-2</v>
      </c>
      <c r="G79" s="463"/>
    </row>
    <row r="80" spans="1:7" ht="13" x14ac:dyDescent="0.3">
      <c r="A80" s="18"/>
      <c r="B80" s="18"/>
      <c r="C80" s="814">
        <f>SUM(C66:C79)</f>
        <v>443.87000000000006</v>
      </c>
      <c r="D80" s="42"/>
      <c r="E80" s="80">
        <f>SUM(E66:E79)</f>
        <v>13316.100000000002</v>
      </c>
      <c r="F80" s="815">
        <f>E80/E83</f>
        <v>0.30899033098472689</v>
      </c>
      <c r="G80" s="463"/>
    </row>
    <row r="81" spans="1:35" s="22" customFormat="1" ht="17.5" x14ac:dyDescent="0.35">
      <c r="A81" s="592" t="s">
        <v>158</v>
      </c>
      <c r="B81" s="600"/>
      <c r="C81" s="601"/>
      <c r="D81" s="602"/>
      <c r="E81" s="676">
        <f>E80+E62</f>
        <v>21101.847272727275</v>
      </c>
      <c r="F81" s="727">
        <f>E81/E83</f>
        <v>0.48965288434219906</v>
      </c>
      <c r="G81" s="463"/>
      <c r="H81" s="53"/>
      <c r="I81" s="53"/>
      <c r="J81" s="53"/>
      <c r="K81" s="53"/>
      <c r="L81" s="53"/>
      <c r="M81" s="53"/>
      <c r="N81" s="53"/>
      <c r="O81" s="53"/>
      <c r="P81" s="53"/>
      <c r="Q81" s="53"/>
      <c r="R81" s="53"/>
      <c r="S81" s="53"/>
      <c r="T81" s="53"/>
      <c r="U81" s="53"/>
      <c r="V81" s="53"/>
      <c r="W81" s="53"/>
      <c r="X81" s="53"/>
      <c r="Y81" s="53"/>
      <c r="Z81" s="53"/>
      <c r="AA81" s="53"/>
      <c r="AB81" s="53"/>
      <c r="AC81" s="53"/>
      <c r="AD81" s="53"/>
      <c r="AE81" s="53"/>
      <c r="AF81" s="53"/>
      <c r="AG81" s="53"/>
      <c r="AH81" s="53"/>
      <c r="AI81" s="53"/>
    </row>
    <row r="82" spans="1:35" s="19" customFormat="1" ht="20" x14ac:dyDescent="0.35">
      <c r="A82" s="600"/>
      <c r="B82" s="1048"/>
      <c r="C82" s="1048"/>
      <c r="D82" s="1048"/>
      <c r="E82" s="676"/>
      <c r="F82" s="678"/>
      <c r="G82" s="463"/>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row>
    <row r="83" spans="1:35" s="22" customFormat="1" ht="20" x14ac:dyDescent="0.4">
      <c r="A83" s="1498" t="s">
        <v>462</v>
      </c>
      <c r="B83" s="1498"/>
      <c r="C83" s="1498"/>
      <c r="D83" s="1498"/>
      <c r="E83" s="590">
        <f>E81+E47</f>
        <v>43095.523272727274</v>
      </c>
      <c r="F83" s="591">
        <f>E83/E83</f>
        <v>1</v>
      </c>
      <c r="G83" s="463"/>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row>
    <row r="84" spans="1:35" ht="14.25" customHeight="1" x14ac:dyDescent="0.3">
      <c r="A84" s="1048"/>
      <c r="B84" s="1048"/>
      <c r="C84" s="1048"/>
      <c r="D84" s="1048"/>
      <c r="E84" s="817"/>
      <c r="F84" s="524"/>
      <c r="G84" s="463"/>
    </row>
    <row r="85" spans="1:35" s="16" customFormat="1" ht="14.25" customHeight="1" x14ac:dyDescent="0.35">
      <c r="A85" s="592" t="s">
        <v>463</v>
      </c>
      <c r="B85" s="593"/>
      <c r="C85" s="594"/>
      <c r="D85" s="594"/>
      <c r="E85" s="676">
        <f>'Données normes'!C178*'Normes grêle'!E73</f>
        <v>0</v>
      </c>
      <c r="F85" s="524"/>
      <c r="G85" s="463"/>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row>
    <row r="86" spans="1:35" ht="20.399999999999999" customHeight="1" x14ac:dyDescent="0.3">
      <c r="B86" s="13"/>
      <c r="C86" s="11"/>
      <c r="D86" s="11"/>
      <c r="E86" s="11"/>
      <c r="G86" s="463"/>
    </row>
    <row r="87" spans="1:35" ht="19.5" customHeight="1" x14ac:dyDescent="0.4">
      <c r="A87" s="287" t="s">
        <v>359</v>
      </c>
      <c r="B87" s="13"/>
      <c r="C87" s="91" t="s">
        <v>244</v>
      </c>
      <c r="D87" s="91" t="s">
        <v>282</v>
      </c>
      <c r="E87" s="91" t="s">
        <v>343</v>
      </c>
      <c r="F87" s="36"/>
      <c r="G87" s="463"/>
    </row>
    <row r="88" spans="1:35" ht="15" customHeight="1" x14ac:dyDescent="0.3">
      <c r="B88" s="1" t="s">
        <v>329</v>
      </c>
      <c r="C88" s="462">
        <f>('Données normes'!B18+'Données normes'!B19)*2-2*6</f>
        <v>398</v>
      </c>
      <c r="D88" s="45">
        <f>'Données normes'!D164</f>
        <v>6.9</v>
      </c>
      <c r="E88" s="32">
        <f t="shared" ref="E88:E94" si="4">C88*D88</f>
        <v>2746.2000000000003</v>
      </c>
      <c r="F88" s="726">
        <f>E88/E107</f>
        <v>0.45038967513951333</v>
      </c>
      <c r="G88" s="463"/>
    </row>
    <row r="89" spans="1:35" ht="15" customHeight="1" x14ac:dyDescent="0.3">
      <c r="B89" s="1" t="s">
        <v>360</v>
      </c>
      <c r="C89" s="93">
        <f>(C88/4)-(C88/4/5)</f>
        <v>79.599999999999994</v>
      </c>
      <c r="D89" s="45">
        <f>'Données normes'!D165</f>
        <v>9.6</v>
      </c>
      <c r="E89" s="32">
        <f t="shared" si="4"/>
        <v>764.16</v>
      </c>
      <c r="F89" s="726">
        <f>E89/E107</f>
        <v>0.12532582264751674</v>
      </c>
      <c r="G89" s="463"/>
    </row>
    <row r="90" spans="1:35" ht="15" customHeight="1" x14ac:dyDescent="0.3">
      <c r="B90" s="1" t="s">
        <v>361</v>
      </c>
      <c r="C90" s="93">
        <f>(C88/4)/5</f>
        <v>19.899999999999999</v>
      </c>
      <c r="D90" s="45">
        <f>'Données normes'!D166</f>
        <v>15.5</v>
      </c>
      <c r="E90" s="32">
        <f t="shared" si="4"/>
        <v>308.45</v>
      </c>
      <c r="F90" s="726">
        <f>E90/E107</f>
        <v>5.0587246120742432E-2</v>
      </c>
      <c r="G90" s="463"/>
    </row>
    <row r="91" spans="1:35" ht="15" customHeight="1" x14ac:dyDescent="0.3">
      <c r="B91" s="1" t="s">
        <v>361</v>
      </c>
      <c r="C91" s="93">
        <f>'Données normes'!C167</f>
        <v>6</v>
      </c>
      <c r="D91" s="45">
        <f>'Données normes'!D167</f>
        <v>19.8</v>
      </c>
      <c r="E91" s="32">
        <f t="shared" si="4"/>
        <v>118.80000000000001</v>
      </c>
      <c r="F91" s="726">
        <f>E91/E107</f>
        <v>1.9483756975666077E-2</v>
      </c>
      <c r="G91" s="463"/>
    </row>
    <row r="92" spans="1:35" ht="15" customHeight="1" x14ac:dyDescent="0.3">
      <c r="B92" s="1" t="s">
        <v>333</v>
      </c>
      <c r="C92" s="679">
        <f>'Données normes'!C168</f>
        <v>2</v>
      </c>
      <c r="D92" s="45">
        <f>'Données normes'!D168</f>
        <v>200</v>
      </c>
      <c r="E92" s="32">
        <f t="shared" si="4"/>
        <v>400</v>
      </c>
      <c r="F92" s="726">
        <f>E92/E107</f>
        <v>6.5601875338943016E-2</v>
      </c>
      <c r="G92" s="463"/>
    </row>
    <row r="93" spans="1:35" ht="15" customHeight="1" x14ac:dyDescent="0.3">
      <c r="B93" s="1" t="s">
        <v>289</v>
      </c>
      <c r="C93" s="226">
        <f>'Données normes'!C170</f>
        <v>3</v>
      </c>
      <c r="D93" s="45">
        <f>'Données normes'!D170</f>
        <v>11.95</v>
      </c>
      <c r="E93" s="43">
        <f t="shared" si="4"/>
        <v>35.849999999999994</v>
      </c>
      <c r="F93" s="726">
        <f>E93/E107</f>
        <v>5.8795680772527666E-3</v>
      </c>
      <c r="G93" s="463"/>
    </row>
    <row r="94" spans="1:35" ht="15" customHeight="1" thickBot="1" x14ac:dyDescent="0.35">
      <c r="B94" s="1" t="str">
        <f>'Données normes'!B169</f>
        <v>Fils de fer 3 mm</v>
      </c>
      <c r="C94" s="461">
        <f>C88/18</f>
        <v>22.111111111111111</v>
      </c>
      <c r="D94" s="45">
        <f>'Données normes'!D169</f>
        <v>4.0999999999999996</v>
      </c>
      <c r="E94" s="464">
        <f t="shared" si="4"/>
        <v>90.655555555555551</v>
      </c>
      <c r="F94" s="726">
        <f>E94/E107</f>
        <v>1.4867936135845446E-2</v>
      </c>
      <c r="G94" s="463"/>
    </row>
    <row r="95" spans="1:35" ht="15" customHeight="1" x14ac:dyDescent="0.3">
      <c r="B95" s="1"/>
      <c r="C95" s="461"/>
      <c r="D95" s="45"/>
      <c r="E95" s="465">
        <f>SUM(E88:E94)</f>
        <v>4464.1155555555561</v>
      </c>
      <c r="F95" s="726">
        <f>E95/E107</f>
        <v>0.73213588043547984</v>
      </c>
      <c r="G95" s="463"/>
    </row>
    <row r="96" spans="1:35" ht="15" customHeight="1" thickBot="1" x14ac:dyDescent="0.35">
      <c r="B96" s="974" t="s">
        <v>362</v>
      </c>
      <c r="C96" s="93"/>
      <c r="D96" s="73">
        <f>'Données normes'!D171</f>
        <v>0.25</v>
      </c>
      <c r="E96" s="731">
        <f>E95*D96*(-1)</f>
        <v>-1116.028888888889</v>
      </c>
      <c r="F96" s="726">
        <f>E96/$E$107</f>
        <v>-0.18303397010886996</v>
      </c>
      <c r="G96" s="463"/>
    </row>
    <row r="97" spans="1:35" ht="15" customHeight="1" x14ac:dyDescent="0.3">
      <c r="B97" s="1"/>
      <c r="C97" s="93"/>
      <c r="D97" s="60"/>
      <c r="E97" s="82">
        <f>SUM(E95:E96)</f>
        <v>3348.086666666667</v>
      </c>
      <c r="F97" s="729">
        <f>E97/$E$107</f>
        <v>0.54910191032660993</v>
      </c>
      <c r="G97" s="463"/>
    </row>
    <row r="98" spans="1:35" s="1" customFormat="1" ht="15" customHeight="1" x14ac:dyDescent="0.3">
      <c r="B98" s="1" t="s">
        <v>336</v>
      </c>
      <c r="C98" s="93"/>
      <c r="D98" s="73"/>
      <c r="E98" s="82">
        <f>'Données normes'!E173</f>
        <v>300</v>
      </c>
      <c r="F98" s="729">
        <f>E98/$E$107</f>
        <v>4.9201406504207262E-2</v>
      </c>
      <c r="G98" s="463"/>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row>
    <row r="99" spans="1:35" ht="15" customHeight="1" x14ac:dyDescent="0.35">
      <c r="A99" s="592" t="s">
        <v>157</v>
      </c>
      <c r="B99" s="524"/>
      <c r="C99" s="576"/>
      <c r="D99" s="596"/>
      <c r="E99" s="597">
        <f>E97+E98</f>
        <v>3648.086666666667</v>
      </c>
      <c r="F99" s="598">
        <f>E99/E107</f>
        <v>0.59830331683081717</v>
      </c>
      <c r="G99" s="463"/>
    </row>
    <row r="100" spans="1:35" ht="19.5" customHeight="1" x14ac:dyDescent="0.3">
      <c r="A100" s="3" t="s">
        <v>163</v>
      </c>
      <c r="C100" s="284" t="s">
        <v>58</v>
      </c>
      <c r="D100" s="285" t="s">
        <v>52</v>
      </c>
      <c r="E100" s="286" t="s">
        <v>343</v>
      </c>
      <c r="F100" s="1397"/>
      <c r="G100" s="463"/>
    </row>
    <row r="101" spans="1:35" ht="16.5" customHeight="1" x14ac:dyDescent="0.3">
      <c r="A101" s="13"/>
      <c r="B101" s="1" t="s">
        <v>469</v>
      </c>
      <c r="C101" s="37">
        <f>'Données normes'!C147*C105</f>
        <v>7</v>
      </c>
      <c r="D101" s="94">
        <f>D54</f>
        <v>13.9</v>
      </c>
      <c r="E101" s="43">
        <f>C101*D101</f>
        <v>97.3</v>
      </c>
      <c r="F101" s="733">
        <f>E101/E107</f>
        <v>1.5957656176197887E-2</v>
      </c>
      <c r="G101" s="463"/>
    </row>
    <row r="102" spans="1:35" ht="16.5" customHeight="1" thickBot="1" x14ac:dyDescent="0.35">
      <c r="A102" s="13"/>
      <c r="B102" s="1" t="s">
        <v>363</v>
      </c>
      <c r="C102" s="34">
        <f>C101</f>
        <v>7</v>
      </c>
      <c r="D102" s="92">
        <f>D59</f>
        <v>41</v>
      </c>
      <c r="E102" s="464">
        <f>C102*D102</f>
        <v>287</v>
      </c>
      <c r="F102" s="726">
        <f>E102/E107</f>
        <v>4.7069345555691616E-2</v>
      </c>
      <c r="G102" s="463"/>
    </row>
    <row r="103" spans="1:35" ht="16.5" customHeight="1" x14ac:dyDescent="0.3">
      <c r="A103" s="13"/>
      <c r="B103" s="1"/>
      <c r="C103" s="37"/>
      <c r="D103" s="92"/>
      <c r="E103" s="82">
        <f>SUM(E101:E102)</f>
        <v>384.3</v>
      </c>
      <c r="F103" s="729">
        <f>E103/E107</f>
        <v>6.3027001731889506E-2</v>
      </c>
      <c r="G103" s="463"/>
    </row>
    <row r="104" spans="1:35" ht="16.5" customHeight="1" x14ac:dyDescent="0.3">
      <c r="A104" s="3" t="s">
        <v>164</v>
      </c>
      <c r="C104" s="284" t="s">
        <v>309</v>
      </c>
      <c r="D104" s="285" t="s">
        <v>52</v>
      </c>
      <c r="E104" s="286" t="s">
        <v>53</v>
      </c>
      <c r="F104" s="1398"/>
      <c r="G104" s="463"/>
    </row>
    <row r="105" spans="1:35" ht="16.5" customHeight="1" x14ac:dyDescent="0.3">
      <c r="B105" s="1" t="s">
        <v>364</v>
      </c>
      <c r="C105" s="599">
        <f>'Données normes'!C176</f>
        <v>70</v>
      </c>
      <c r="D105" s="42">
        <f>'Données normes'!$C$36</f>
        <v>29.5</v>
      </c>
      <c r="E105" s="132">
        <f>C105*D105</f>
        <v>2065</v>
      </c>
      <c r="F105" s="729">
        <f>E105/E107</f>
        <v>0.33866968143729331</v>
      </c>
      <c r="G105" s="463"/>
    </row>
    <row r="106" spans="1:35" s="16" customFormat="1" ht="15.5" x14ac:dyDescent="0.35">
      <c r="A106" s="592" t="s">
        <v>158</v>
      </c>
      <c r="B106" s="600"/>
      <c r="C106" s="601"/>
      <c r="D106" s="602"/>
      <c r="E106" s="676">
        <f>E103+E105</f>
        <v>2449.3000000000002</v>
      </c>
      <c r="F106" s="598">
        <f>E106/E107</f>
        <v>0.40169668316918283</v>
      </c>
      <c r="G106" s="463"/>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row>
    <row r="107" spans="1:35" s="22" customFormat="1" ht="18" customHeight="1" x14ac:dyDescent="0.35">
      <c r="A107" s="603" t="s">
        <v>365</v>
      </c>
      <c r="B107" s="604"/>
      <c r="C107" s="605"/>
      <c r="D107" s="606"/>
      <c r="E107" s="607">
        <f>E99+E106</f>
        <v>6097.3866666666672</v>
      </c>
      <c r="F107" s="598">
        <f>E107/E107</f>
        <v>1</v>
      </c>
      <c r="G107" s="463"/>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row>
    <row r="108" spans="1:35" s="101" customFormat="1" ht="13.5" customHeight="1" x14ac:dyDescent="0.4">
      <c r="A108" s="95"/>
      <c r="B108" s="96"/>
      <c r="C108" s="97"/>
      <c r="D108" s="98"/>
      <c r="E108" s="99"/>
      <c r="F108" s="88"/>
      <c r="G108" s="463"/>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row>
    <row r="109" spans="1:35" s="101" customFormat="1" ht="20.399999999999999" customHeight="1" x14ac:dyDescent="0.4">
      <c r="A109" s="1497" t="s">
        <v>366</v>
      </c>
      <c r="B109" s="1497"/>
      <c r="C109" s="1497"/>
      <c r="D109" s="1497"/>
      <c r="E109" s="288">
        <f>E107-E97</f>
        <v>2749.3</v>
      </c>
      <c r="F109" s="88"/>
      <c r="G109" s="463"/>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row>
    <row r="110" spans="1:35" s="101" customFormat="1" ht="20.399999999999999" customHeight="1" x14ac:dyDescent="0.4">
      <c r="A110" s="1497"/>
      <c r="B110" s="1497"/>
      <c r="C110" s="1497"/>
      <c r="D110" s="1497"/>
      <c r="E110" s="99"/>
      <c r="F110" s="88"/>
      <c r="G110" s="463"/>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row>
    <row r="111" spans="1:35" s="101" customFormat="1" ht="18" customHeight="1" x14ac:dyDescent="0.4">
      <c r="A111" s="595" t="s">
        <v>653</v>
      </c>
      <c r="B111" s="604"/>
      <c r="C111" s="605"/>
      <c r="D111" s="606"/>
      <c r="E111" s="608">
        <f>E107+E83</f>
        <v>49192.90993939394</v>
      </c>
      <c r="F111" s="609"/>
      <c r="G111" s="463"/>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row>
    <row r="113" spans="1:6" ht="18" x14ac:dyDescent="0.4">
      <c r="A113" s="287" t="s">
        <v>521</v>
      </c>
      <c r="B113" s="287" t="str">
        <f>'Normes Irrigation'!B7</f>
        <v>Aspersion</v>
      </c>
      <c r="C113" s="91" t="s">
        <v>244</v>
      </c>
      <c r="D113" s="91" t="s">
        <v>282</v>
      </c>
      <c r="E113" s="91" t="s">
        <v>343</v>
      </c>
      <c r="F113" s="36"/>
    </row>
    <row r="114" spans="1:6" x14ac:dyDescent="0.25">
      <c r="A114" s="18"/>
      <c r="B114" s="18" t="str">
        <f>'Normes Irrigation'!B9</f>
        <v>Pompe (Diesel)</v>
      </c>
      <c r="C114" s="41">
        <f>'Normes Irrigation'!F9</f>
        <v>0</v>
      </c>
      <c r="D114" s="41">
        <f>'Normes Irrigation'!G9</f>
        <v>0</v>
      </c>
      <c r="E114" s="32">
        <f>'Normes Irrigation'!H9</f>
        <v>7080</v>
      </c>
      <c r="F114" s="18"/>
    </row>
    <row r="115" spans="1:6" x14ac:dyDescent="0.25">
      <c r="A115" s="18"/>
      <c r="B115" s="18" t="str">
        <f>'Normes Irrigation'!B10</f>
        <v>Puits</v>
      </c>
      <c r="C115" s="41">
        <f>'Normes Irrigation'!F10</f>
        <v>0</v>
      </c>
      <c r="D115" s="41">
        <f>'Normes Irrigation'!G10</f>
        <v>0</v>
      </c>
      <c r="E115" s="32">
        <f>'Normes Irrigation'!H10</f>
        <v>2950</v>
      </c>
      <c r="F115" s="18"/>
    </row>
    <row r="116" spans="1:6" x14ac:dyDescent="0.25">
      <c r="A116" s="18"/>
      <c r="B116" s="18" t="str">
        <f>'Normes Irrigation'!B11</f>
        <v>Nourrice principale (Tube PVC)</v>
      </c>
      <c r="C116" s="41">
        <f>'Normes Irrigation'!F11</f>
        <v>0</v>
      </c>
      <c r="D116" s="41">
        <f>'Normes Irrigation'!G11</f>
        <v>0</v>
      </c>
      <c r="E116" s="32">
        <f>'Normes Irrigation'!H11</f>
        <v>849.59999999999991</v>
      </c>
      <c r="F116" s="18"/>
    </row>
    <row r="117" spans="1:6" x14ac:dyDescent="0.25">
      <c r="A117" s="18"/>
      <c r="B117" s="18" t="str">
        <f>'Normes Irrigation'!B12</f>
        <v>Hydrant (Collier buse; tube, vanne..)</v>
      </c>
      <c r="C117" s="41">
        <f>'Normes Irrigation'!F12</f>
        <v>0</v>
      </c>
      <c r="D117" s="41">
        <f>'Normes Irrigation'!G12</f>
        <v>0</v>
      </c>
      <c r="E117" s="32">
        <f>'Normes Irrigation'!H12</f>
        <v>826</v>
      </c>
      <c r="F117" s="18"/>
    </row>
    <row r="118" spans="1:6" x14ac:dyDescent="0.25">
      <c r="B118" s="18" t="str">
        <f>'Normes Irrigation'!B13</f>
        <v>Tuyau</v>
      </c>
      <c r="C118" s="41">
        <f>'Normes Irrigation'!F13</f>
        <v>400</v>
      </c>
      <c r="D118" s="41">
        <f>'Normes Irrigation'!G13</f>
        <v>12.979999999999999</v>
      </c>
      <c r="E118" s="32">
        <f>C118*D118</f>
        <v>5191.9999999999991</v>
      </c>
    </row>
    <row r="119" spans="1:6" x14ac:dyDescent="0.25">
      <c r="B119" s="18" t="str">
        <f>'Normes Irrigation'!B14</f>
        <v>Bouchons</v>
      </c>
      <c r="C119" s="41">
        <f>'Normes Irrigation'!F14</f>
        <v>5</v>
      </c>
      <c r="D119" s="41">
        <f>'Normes Irrigation'!G14</f>
        <v>35.4</v>
      </c>
      <c r="E119" s="32">
        <f>C119*D119</f>
        <v>177</v>
      </c>
    </row>
    <row r="120" spans="1:6" x14ac:dyDescent="0.25">
      <c r="B120" s="18" t="str">
        <f>'Normes Irrigation'!B15</f>
        <v>Arroseur complet ( ... Baiouette, vanne, tuyau, n..., arroseur)</v>
      </c>
      <c r="C120" s="41">
        <f>'Normes Irrigation'!F15</f>
        <v>33</v>
      </c>
      <c r="D120" s="41">
        <f>'Normes Irrigation'!G15</f>
        <v>88.5</v>
      </c>
      <c r="E120" s="32">
        <f>C120*D120</f>
        <v>2920.5</v>
      </c>
    </row>
    <row r="121" spans="1:6" x14ac:dyDescent="0.25">
      <c r="B121" s="18" t="str">
        <f>'Normes Irrigation'!B16</f>
        <v>Piquets fixation perche</v>
      </c>
      <c r="C121" s="41">
        <f>'Normes Irrigation'!F16</f>
        <v>33</v>
      </c>
      <c r="D121" s="41">
        <f>'Normes Irrigation'!G16</f>
        <v>35.4</v>
      </c>
      <c r="E121" s="32">
        <f>C121*D121</f>
        <v>1168.2</v>
      </c>
    </row>
    <row r="122" spans="1:6" x14ac:dyDescent="0.25">
      <c r="A122" s="18" t="str">
        <f>'Normes Irrigation'!A18</f>
        <v>Machines et outillage</v>
      </c>
      <c r="B122" s="18"/>
      <c r="C122" s="18"/>
      <c r="D122" s="18"/>
      <c r="E122" s="32">
        <f>'Normes Irrigation'!H18</f>
        <v>1000</v>
      </c>
    </row>
    <row r="123" spans="1:6" ht="13" thickBot="1" x14ac:dyDescent="0.3">
      <c r="A123" s="18" t="str">
        <f>'Normes Irrigation'!A19</f>
        <v>Main-d'oeuvre</v>
      </c>
      <c r="B123" s="18"/>
      <c r="C123" s="10">
        <f>'Normes Irrigation'!F19</f>
        <v>100</v>
      </c>
      <c r="D123" s="10">
        <f>'Normes Irrigation'!G19</f>
        <v>28</v>
      </c>
      <c r="E123" s="464">
        <f>C123*D123</f>
        <v>2800</v>
      </c>
    </row>
    <row r="124" spans="1:6" ht="18" x14ac:dyDescent="0.4">
      <c r="E124" s="288">
        <f>SUM(E114:E123)</f>
        <v>24963.3</v>
      </c>
    </row>
    <row r="125" spans="1:6" ht="13" x14ac:dyDescent="0.3">
      <c r="A125" s="72" t="str">
        <f>B113</f>
        <v>Aspersion</v>
      </c>
      <c r="B125" s="142" t="s">
        <v>661</v>
      </c>
      <c r="C125" s="1400">
        <f>'Données normes'!C183</f>
        <v>1</v>
      </c>
    </row>
    <row r="127" spans="1:6" ht="18" x14ac:dyDescent="0.4">
      <c r="A127" s="287" t="s">
        <v>521</v>
      </c>
      <c r="B127" s="287" t="str">
        <f>'Normes Irrigation'!B29</f>
        <v xml:space="preserve">Goutte à goutte  </v>
      </c>
      <c r="C127" s="91" t="s">
        <v>244</v>
      </c>
      <c r="D127" s="91" t="s">
        <v>282</v>
      </c>
      <c r="E127" s="91" t="s">
        <v>343</v>
      </c>
      <c r="F127" s="36"/>
    </row>
    <row r="128" spans="1:6" ht="18" x14ac:dyDescent="0.4">
      <c r="A128" s="287"/>
      <c r="B128" t="s">
        <v>676</v>
      </c>
      <c r="C128" s="41"/>
      <c r="D128" s="41"/>
      <c r="E128" s="32">
        <f>'Normes Irrigation'!H35</f>
        <v>0</v>
      </c>
      <c r="F128" s="33"/>
    </row>
    <row r="129" spans="1:6" x14ac:dyDescent="0.25">
      <c r="B129" t="str">
        <f>'Normes Irrigation'!A36</f>
        <v>Installation goutte à goutte</v>
      </c>
      <c r="E129" s="32">
        <f>'Normes Irrigation'!H44</f>
        <v>3969.4</v>
      </c>
    </row>
    <row r="130" spans="1:6" x14ac:dyDescent="0.25">
      <c r="B130" t="str">
        <f>'Normes Irrigation'!A45</f>
        <v>Installation dispersion</v>
      </c>
      <c r="E130" s="32">
        <f>'Normes Irrigation'!H49</f>
        <v>1379.62</v>
      </c>
    </row>
    <row r="131" spans="1:6" x14ac:dyDescent="0.25">
      <c r="B131" t="str">
        <f>'Normes Irrigation'!A50</f>
        <v>Station tête</v>
      </c>
      <c r="E131" s="32">
        <f>'Normes Irrigation'!H57</f>
        <v>1275</v>
      </c>
    </row>
    <row r="132" spans="1:6" x14ac:dyDescent="0.25">
      <c r="B132" t="str">
        <f>'Normes Irrigation'!A75</f>
        <v>Maschines et force de traction</v>
      </c>
      <c r="E132" s="32">
        <f>'Normes Irrigation'!H75</f>
        <v>2235.25</v>
      </c>
    </row>
    <row r="133" spans="1:6" ht="13" thickBot="1" x14ac:dyDescent="0.3">
      <c r="B133" t="str">
        <f>'Normes Irrigation'!A76</f>
        <v>Coûts du travail manuel</v>
      </c>
      <c r="E133" s="464">
        <f>'Normes Irrigation'!H76</f>
        <v>2030.4</v>
      </c>
    </row>
    <row r="134" spans="1:6" ht="18" x14ac:dyDescent="0.4">
      <c r="E134" s="288">
        <f>SUM(E128:E133)</f>
        <v>10889.67</v>
      </c>
    </row>
    <row r="135" spans="1:6" ht="13" x14ac:dyDescent="0.3">
      <c r="B135" s="142" t="str">
        <f>B125</f>
        <v>JA=1, Nein = 0</v>
      </c>
      <c r="C135" s="1400">
        <f>'Données normes'!C184</f>
        <v>0</v>
      </c>
    </row>
    <row r="136" spans="1:6" ht="13" x14ac:dyDescent="0.3">
      <c r="B136" s="142"/>
    </row>
    <row r="137" spans="1:6" ht="18" x14ac:dyDescent="0.4">
      <c r="A137" s="287" t="s">
        <v>521</v>
      </c>
      <c r="B137" s="1440" t="str">
        <f>'Normes Irrigation'!B88</f>
        <v xml:space="preserve"> microjet </v>
      </c>
      <c r="C137" s="91" t="s">
        <v>244</v>
      </c>
      <c r="D137" s="91" t="s">
        <v>282</v>
      </c>
      <c r="E137" s="91" t="s">
        <v>343</v>
      </c>
      <c r="F137" s="36"/>
    </row>
    <row r="138" spans="1:6" ht="18" x14ac:dyDescent="0.4">
      <c r="A138" s="287"/>
      <c r="B138" t="str">
        <f>'Normes Irrigation'!A31</f>
        <v>Installation pompe</v>
      </c>
      <c r="E138" s="32">
        <f>'Normes Irrigation'!H94</f>
        <v>0</v>
      </c>
    </row>
    <row r="139" spans="1:6" x14ac:dyDescent="0.25">
      <c r="B139" t="str">
        <f>'Normes Irrigation'!A95</f>
        <v>Installation goutte à goutte</v>
      </c>
      <c r="E139" s="32">
        <f>'Normes Irrigation'!H101</f>
        <v>5927.53</v>
      </c>
    </row>
    <row r="140" spans="1:6" x14ac:dyDescent="0.25">
      <c r="B140" t="str">
        <f>'Normes Irrigation'!A102</f>
        <v>Installation dispersion</v>
      </c>
      <c r="E140" s="32">
        <f>'Normes Irrigation'!H106</f>
        <v>1500</v>
      </c>
    </row>
    <row r="141" spans="1:6" x14ac:dyDescent="0.25">
      <c r="B141" t="str">
        <f>'Normes Irrigation'!A107</f>
        <v>Station tête</v>
      </c>
      <c r="E141" s="32">
        <f>'Normes Irrigation'!H114</f>
        <v>1550</v>
      </c>
    </row>
    <row r="142" spans="1:6" x14ac:dyDescent="0.25">
      <c r="B142" t="str">
        <f>'Normes Irrigation'!A133</f>
        <v>Maschines et force de traction</v>
      </c>
      <c r="E142" s="32">
        <f>'Normes Irrigation'!H133</f>
        <v>2650</v>
      </c>
    </row>
    <row r="143" spans="1:6" ht="13" thickBot="1" x14ac:dyDescent="0.3">
      <c r="B143" t="str">
        <f>'Normes Irrigation'!A134</f>
        <v>Coûts du travail manuel</v>
      </c>
      <c r="E143" s="464">
        <f>'Normes Irrigation'!H134</f>
        <v>4004</v>
      </c>
    </row>
    <row r="144" spans="1:6" ht="18" x14ac:dyDescent="0.4">
      <c r="E144" s="288">
        <f>SUM(E138:E143)</f>
        <v>15631.529999999999</v>
      </c>
    </row>
    <row r="145" spans="1:6" ht="13" x14ac:dyDescent="0.3">
      <c r="B145" s="1401" t="str">
        <f>B135</f>
        <v>JA=1, Nein = 0</v>
      </c>
      <c r="C145" s="1400">
        <f>'Données normes'!C185</f>
        <v>0</v>
      </c>
    </row>
    <row r="146" spans="1:6" x14ac:dyDescent="0.25">
      <c r="A146" s="783"/>
      <c r="B146" s="783"/>
      <c r="C146" s="783"/>
      <c r="D146" s="783"/>
      <c r="E146" s="783"/>
      <c r="F146" s="783"/>
    </row>
    <row r="147" spans="1:6" ht="18" x14ac:dyDescent="0.4">
      <c r="A147" s="1497" t="s">
        <v>665</v>
      </c>
      <c r="B147" s="1497"/>
      <c r="C147" s="1497"/>
      <c r="D147" s="1497"/>
      <c r="E147" s="288">
        <f>C125*E124+C135*E134+C145*E144</f>
        <v>24963.3</v>
      </c>
      <c r="F147" s="88"/>
    </row>
    <row r="148" spans="1:6" ht="18" x14ac:dyDescent="0.4">
      <c r="A148" s="1497"/>
      <c r="B148" s="1497"/>
      <c r="C148" s="1497"/>
      <c r="D148" s="1497"/>
      <c r="E148" s="99"/>
      <c r="F148" s="88"/>
    </row>
    <row r="149" spans="1:6" ht="18" x14ac:dyDescent="0.4">
      <c r="A149" s="595" t="s">
        <v>666</v>
      </c>
      <c r="B149" s="604"/>
      <c r="C149" s="605"/>
      <c r="D149" s="606"/>
      <c r="E149" s="608">
        <f>E111+E147</f>
        <v>74156.209939393942</v>
      </c>
      <c r="F149" s="609"/>
    </row>
    <row r="151" spans="1:6" ht="18" x14ac:dyDescent="0.4">
      <c r="A151" s="595" t="s">
        <v>686</v>
      </c>
      <c r="B151" s="604"/>
      <c r="C151" s="1437">
        <f>IF(C155=0,1,0)</f>
        <v>0</v>
      </c>
      <c r="D151" s="608">
        <f>E8+E14+E39+E62-E57+E80-E75-E78-E76-E77</f>
        <v>34576.023272727274</v>
      </c>
      <c r="E151" s="608">
        <f>C151*D151</f>
        <v>0</v>
      </c>
    </row>
    <row r="152" spans="1:6" ht="18" x14ac:dyDescent="0.4">
      <c r="A152" s="595" t="s">
        <v>687</v>
      </c>
      <c r="B152" s="604"/>
      <c r="C152" s="1437">
        <f>IF('Données normes'!C186=1,0,'Données normes'!C178)</f>
        <v>0</v>
      </c>
      <c r="D152" s="608">
        <f>E111</f>
        <v>49192.90993939394</v>
      </c>
      <c r="E152" s="608">
        <f>C152*D152</f>
        <v>0</v>
      </c>
    </row>
    <row r="153" spans="1:6" ht="18" x14ac:dyDescent="0.4">
      <c r="A153" s="595" t="s">
        <v>688</v>
      </c>
      <c r="B153" s="604"/>
      <c r="C153" s="1437">
        <f>IF('Données normes'!C188=2,1,0)</f>
        <v>0</v>
      </c>
      <c r="D153" s="608">
        <f>E111+E147</f>
        <v>74156.209939393942</v>
      </c>
      <c r="E153" s="608">
        <f>(D153+E103)*C153</f>
        <v>0</v>
      </c>
    </row>
    <row r="154" spans="1:6" ht="18" x14ac:dyDescent="0.4">
      <c r="A154" s="595" t="s">
        <v>689</v>
      </c>
      <c r="B154" s="604"/>
      <c r="C154" s="1437">
        <f>IF(C153=1,0,'Données normes'!C186)</f>
        <v>1</v>
      </c>
      <c r="D154" s="608">
        <f>D151+E147</f>
        <v>59539.32327272727</v>
      </c>
      <c r="E154" s="608">
        <f>(D154)*C154</f>
        <v>59539.32327272727</v>
      </c>
    </row>
    <row r="155" spans="1:6" x14ac:dyDescent="0.25">
      <c r="C155" s="1436">
        <f>SUM(C152:C154)</f>
        <v>1</v>
      </c>
    </row>
    <row r="156" spans="1:6" ht="18" x14ac:dyDescent="0.4">
      <c r="A156" s="595" t="s">
        <v>690</v>
      </c>
      <c r="B156" s="524"/>
      <c r="C156" s="524"/>
      <c r="D156" s="524"/>
      <c r="E156" s="608">
        <f>SUM(E151:E154)</f>
        <v>59539.32327272727</v>
      </c>
    </row>
  </sheetData>
  <mergeCells count="8">
    <mergeCell ref="A147:D148"/>
    <mergeCell ref="A83:D83"/>
    <mergeCell ref="A109:D110"/>
    <mergeCell ref="B3:F3"/>
    <mergeCell ref="A36:A38"/>
    <mergeCell ref="A10:A13"/>
    <mergeCell ref="A16:A26"/>
    <mergeCell ref="A29:A33"/>
  </mergeCells>
  <phoneticPr fontId="24" type="noConversion"/>
  <printOptions gridLines="1" gridLinesSet="0"/>
  <pageMargins left="0.78740157480314965" right="0.39370078740157483" top="0.59055118110236227" bottom="0.39370078740157483" header="0.51181102362204722" footer="0.51181102362204722"/>
  <pageSetup paperSize="9" scale="6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ndardStandjahre">
    <tabColor indexed="10"/>
  </sheetPr>
  <dimension ref="A1:DF82"/>
  <sheetViews>
    <sheetView topLeftCell="A46" zoomScale="70" zoomScaleNormal="75" workbookViewId="0">
      <selection activeCell="CX64" sqref="CX64"/>
    </sheetView>
  </sheetViews>
  <sheetFormatPr baseColWidth="10" defaultRowHeight="15.5" x14ac:dyDescent="0.35"/>
  <cols>
    <col min="1" max="1" width="41.453125" style="12" customWidth="1"/>
    <col min="2" max="2" width="34.7265625" style="15" customWidth="1"/>
    <col min="3" max="3" width="18.453125" style="10" customWidth="1"/>
    <col min="4" max="4" width="14.54296875" style="10" bestFit="1" customWidth="1"/>
    <col min="5" max="5" width="16" style="23" customWidth="1"/>
    <col min="6" max="6" width="17.453125" style="24" customWidth="1"/>
    <col min="7" max="7" width="10.7265625" style="10" customWidth="1"/>
    <col min="8" max="8" width="41.54296875" style="326" customWidth="1"/>
    <col min="9" max="9" width="34.7265625" style="10" customWidth="1"/>
    <col min="10" max="10" width="18.453125" customWidth="1"/>
    <col min="11" max="11" width="16" bestFit="1" customWidth="1"/>
    <col min="12" max="12" width="15.453125" customWidth="1"/>
    <col min="13" max="13" width="17.453125" customWidth="1"/>
    <col min="14" max="14" width="10.7265625" style="1" customWidth="1"/>
    <col min="15" max="15" width="41.54296875" style="211" customWidth="1"/>
    <col min="16" max="16" width="34.7265625" customWidth="1"/>
    <col min="17" max="17" width="18.453125" customWidth="1"/>
    <col min="18" max="18" width="16.7265625" style="25" bestFit="1" customWidth="1"/>
    <col min="19" max="19" width="16.26953125" customWidth="1"/>
    <col min="20" max="20" width="17.453125" customWidth="1"/>
    <col min="21" max="21" width="10.7265625" style="330" customWidth="1"/>
    <col min="22" max="22" width="41.54296875" style="211" customWidth="1"/>
    <col min="23" max="23" width="34.7265625" customWidth="1"/>
    <col min="24" max="24" width="18.453125" customWidth="1"/>
    <col min="25" max="25" width="17.08984375" bestFit="1" customWidth="1"/>
    <col min="26" max="26" width="13.453125" customWidth="1"/>
    <col min="27" max="27" width="17.453125" customWidth="1"/>
    <col min="28" max="28" width="10.7265625" style="1" customWidth="1"/>
    <col min="29" max="29" width="41.54296875" style="211" customWidth="1"/>
    <col min="30" max="30" width="34.7265625" customWidth="1"/>
    <col min="31" max="31" width="18.453125" customWidth="1"/>
    <col min="32" max="32" width="17.08984375" bestFit="1" customWidth="1"/>
    <col min="33" max="33" width="15.26953125" customWidth="1"/>
    <col min="34" max="34" width="17.453125" customWidth="1"/>
    <col min="35" max="35" width="10.7265625" style="1" customWidth="1"/>
    <col min="36" max="36" width="41.54296875" style="211" customWidth="1"/>
    <col min="37" max="37" width="34.7265625" customWidth="1"/>
    <col min="38" max="38" width="18.453125" customWidth="1"/>
    <col min="39" max="39" width="17.08984375" bestFit="1" customWidth="1"/>
    <col min="40" max="40" width="13.453125" customWidth="1"/>
    <col min="41" max="41" width="17.453125" customWidth="1"/>
    <col min="42" max="42" width="10.7265625" style="457" customWidth="1"/>
    <col min="43" max="43" width="41.54296875" style="211" customWidth="1"/>
    <col min="44" max="44" width="34.7265625" customWidth="1"/>
    <col min="45" max="45" width="18.453125" customWidth="1"/>
    <col min="46" max="46" width="17.08984375" bestFit="1" customWidth="1"/>
    <col min="47" max="47" width="13.453125" customWidth="1"/>
    <col min="48" max="48" width="17.453125" customWidth="1"/>
    <col min="49" max="49" width="10.7265625" style="457" customWidth="1"/>
    <col min="50" max="50" width="41.54296875" style="211" customWidth="1"/>
    <col min="51" max="51" width="34.7265625" customWidth="1"/>
    <col min="52" max="52" width="18.453125" customWidth="1"/>
    <col min="53" max="53" width="17.08984375" bestFit="1" customWidth="1"/>
    <col min="54" max="54" width="13.453125" customWidth="1"/>
    <col min="55" max="55" width="17.453125" customWidth="1"/>
    <col min="56" max="56" width="10.7265625" style="457" customWidth="1"/>
    <col min="57" max="57" width="41.54296875" style="211" customWidth="1"/>
    <col min="58" max="58" width="34.7265625" customWidth="1"/>
    <col min="59" max="59" width="18.453125" customWidth="1"/>
    <col min="60" max="60" width="17.08984375" bestFit="1" customWidth="1"/>
    <col min="61" max="61" width="13.453125" customWidth="1"/>
    <col min="62" max="62" width="17.453125" customWidth="1"/>
    <col min="63" max="63" width="10.7265625" style="1" customWidth="1"/>
    <col min="64" max="64" width="41.54296875" style="211" customWidth="1"/>
    <col min="65" max="65" width="34.7265625" customWidth="1"/>
    <col min="66" max="66" width="18.453125" customWidth="1"/>
    <col min="67" max="67" width="17.08984375" bestFit="1" customWidth="1"/>
    <col min="68" max="68" width="15.54296875" customWidth="1"/>
    <col min="69" max="69" width="17.453125" customWidth="1"/>
    <col min="70" max="70" width="10.7265625" style="1" customWidth="1"/>
    <col min="71" max="71" width="41.54296875" style="211" customWidth="1"/>
    <col min="72" max="72" width="34.7265625" customWidth="1"/>
    <col min="73" max="73" width="18.453125" customWidth="1"/>
    <col min="74" max="74" width="17.08984375" bestFit="1" customWidth="1"/>
    <col min="75" max="75" width="15" customWidth="1"/>
    <col min="76" max="76" width="17.453125" customWidth="1"/>
    <col min="77" max="77" width="12.26953125" style="1" customWidth="1"/>
    <col min="78" max="78" width="41.54296875" style="211" customWidth="1"/>
    <col min="79" max="79" width="34.7265625" customWidth="1"/>
    <col min="80" max="80" width="18.453125" customWidth="1"/>
    <col min="81" max="81" width="17.08984375" bestFit="1" customWidth="1"/>
    <col min="82" max="82" width="13.453125" customWidth="1"/>
    <col min="83" max="83" width="17.453125" customWidth="1"/>
    <col min="84" max="84" width="10.7265625" style="1" customWidth="1"/>
    <col min="85" max="85" width="41.54296875" style="211" customWidth="1"/>
    <col min="86" max="86" width="34.7265625" customWidth="1"/>
    <col min="87" max="87" width="18.453125" customWidth="1"/>
    <col min="88" max="88" width="17.08984375" bestFit="1" customWidth="1"/>
    <col min="89" max="89" width="13.453125" customWidth="1"/>
    <col min="90" max="90" width="17.453125" customWidth="1"/>
    <col min="91" max="91" width="10.7265625" style="1" customWidth="1"/>
    <col min="92" max="92" width="41.54296875" style="211" customWidth="1"/>
    <col min="93" max="93" width="34.7265625" customWidth="1"/>
    <col min="94" max="94" width="18.453125" customWidth="1"/>
    <col min="95" max="95" width="17.08984375" bestFit="1" customWidth="1"/>
    <col min="96" max="96" width="14" customWidth="1"/>
    <col min="97" max="97" width="17.453125" customWidth="1"/>
    <col min="98" max="98" width="10.7265625" style="1" customWidth="1"/>
    <col min="99" max="99" width="41.54296875" style="211" customWidth="1"/>
    <col min="100" max="100" width="34.7265625" customWidth="1"/>
    <col min="101" max="101" width="18.453125" customWidth="1"/>
    <col min="102" max="102" width="17.08984375" bestFit="1" customWidth="1"/>
    <col min="103" max="103" width="16.54296875" customWidth="1"/>
    <col min="104" max="104" width="21.453125" customWidth="1"/>
    <col min="105" max="105" width="10.7265625" style="18" customWidth="1"/>
  </cols>
  <sheetData>
    <row r="1" spans="1:105" s="13" customFormat="1" ht="42" customHeight="1" x14ac:dyDescent="0.8">
      <c r="A1" s="1441" t="str">
        <f>'Normes plantation'!$A$1</f>
        <v>Arbokost 2023</v>
      </c>
      <c r="B1" s="746" t="str">
        <f>'Données normes'!B7</f>
        <v>Pomme de table</v>
      </c>
      <c r="C1" s="978"/>
      <c r="D1" s="979"/>
      <c r="E1" s="980"/>
      <c r="F1" s="981"/>
      <c r="G1" s="982"/>
      <c r="H1" s="820"/>
      <c r="I1" s="820"/>
      <c r="J1" s="820"/>
      <c r="K1" s="820"/>
      <c r="L1" s="820"/>
      <c r="M1" s="820"/>
      <c r="N1" s="820"/>
      <c r="O1" s="803"/>
      <c r="P1" s="746"/>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c r="AW1" s="820"/>
      <c r="AX1" s="820"/>
      <c r="AY1" s="820"/>
      <c r="AZ1" s="820"/>
      <c r="BA1" s="820"/>
      <c r="BB1" s="820"/>
      <c r="BC1" s="820"/>
      <c r="BD1" s="820"/>
      <c r="BE1" s="820"/>
      <c r="BF1" s="820"/>
      <c r="BG1" s="820"/>
      <c r="BH1" s="820"/>
      <c r="BI1" s="820"/>
      <c r="BJ1" s="820"/>
      <c r="BK1" s="820"/>
      <c r="BL1" s="820"/>
      <c r="BM1" s="820"/>
      <c r="BN1" s="820"/>
      <c r="BO1" s="820"/>
      <c r="BP1" s="820"/>
      <c r="BQ1" s="820"/>
      <c r="BR1" s="820"/>
      <c r="BS1" s="820"/>
      <c r="BT1" s="820"/>
      <c r="BU1" s="820"/>
      <c r="BV1" s="820"/>
      <c r="BW1" s="820"/>
      <c r="BX1" s="820"/>
      <c r="BY1" s="820"/>
      <c r="BZ1" s="820"/>
      <c r="CA1" s="820"/>
      <c r="CB1" s="820"/>
      <c r="CC1" s="820"/>
      <c r="CD1" s="820"/>
      <c r="CE1" s="820"/>
      <c r="CF1" s="820"/>
      <c r="CG1" s="820"/>
      <c r="CH1" s="820"/>
      <c r="CI1" s="820"/>
      <c r="CJ1" s="820"/>
      <c r="CK1" s="820"/>
      <c r="CL1" s="820"/>
      <c r="CM1" s="820"/>
      <c r="CN1" s="820"/>
      <c r="CO1" s="820"/>
      <c r="CP1" s="820"/>
      <c r="CQ1" s="820"/>
      <c r="CR1" s="820"/>
      <c r="CS1" s="820"/>
      <c r="CT1" s="820"/>
      <c r="CU1" s="820"/>
      <c r="CV1" s="820"/>
      <c r="CW1" s="820"/>
      <c r="CX1" s="820"/>
      <c r="CY1" s="820"/>
      <c r="CZ1" s="820"/>
      <c r="DA1" s="820"/>
    </row>
    <row r="2" spans="1:105" s="13" customFormat="1" ht="12.75" customHeight="1" x14ac:dyDescent="0.8">
      <c r="A2" s="994"/>
      <c r="B2" s="994"/>
      <c r="C2" s="978"/>
      <c r="D2" s="979"/>
      <c r="E2" s="980"/>
      <c r="F2" s="981"/>
      <c r="G2" s="982"/>
      <c r="H2" s="820"/>
      <c r="I2" s="820"/>
      <c r="J2" s="820"/>
      <c r="K2" s="820"/>
      <c r="L2" s="820"/>
      <c r="M2" s="820"/>
      <c r="N2" s="820"/>
      <c r="O2" s="803"/>
      <c r="P2" s="820"/>
      <c r="Q2" s="820"/>
      <c r="R2" s="820"/>
      <c r="S2" s="820"/>
      <c r="T2" s="820"/>
      <c r="U2" s="820"/>
      <c r="V2" s="820"/>
      <c r="W2" s="820"/>
      <c r="X2" s="820"/>
      <c r="Y2" s="820"/>
      <c r="Z2" s="820"/>
      <c r="AA2" s="820"/>
      <c r="AB2" s="820"/>
      <c r="AC2" s="820"/>
      <c r="AD2" s="820"/>
      <c r="AE2" s="820"/>
      <c r="AF2" s="820"/>
      <c r="AG2" s="820"/>
      <c r="AH2" s="820"/>
      <c r="AI2" s="820"/>
      <c r="AJ2" s="820"/>
      <c r="AK2" s="820"/>
      <c r="AL2" s="820"/>
      <c r="AM2" s="820"/>
      <c r="AN2" s="820"/>
      <c r="AO2" s="820"/>
      <c r="AP2" s="820"/>
      <c r="AQ2" s="820"/>
      <c r="AR2" s="820"/>
      <c r="AS2" s="820"/>
      <c r="AT2" s="820"/>
      <c r="AU2" s="820"/>
      <c r="AV2" s="820"/>
      <c r="AW2" s="820"/>
      <c r="AX2" s="820"/>
      <c r="AY2" s="820"/>
      <c r="AZ2" s="820"/>
      <c r="BA2" s="820"/>
      <c r="BB2" s="820"/>
      <c r="BC2" s="820"/>
      <c r="BD2" s="820"/>
      <c r="BE2" s="820"/>
      <c r="BF2" s="820"/>
      <c r="BG2" s="820"/>
      <c r="BH2" s="820"/>
      <c r="BI2" s="820"/>
      <c r="BJ2" s="820"/>
      <c r="BK2" s="820"/>
      <c r="BL2" s="820"/>
      <c r="BM2" s="820"/>
      <c r="BN2" s="820"/>
      <c r="BO2" s="820"/>
      <c r="BP2" s="820"/>
      <c r="BQ2" s="820"/>
      <c r="BR2" s="820"/>
      <c r="BS2" s="820"/>
      <c r="BT2" s="820"/>
      <c r="BU2" s="820"/>
      <c r="BV2" s="820"/>
      <c r="BW2" s="820"/>
      <c r="BX2" s="820"/>
      <c r="BY2" s="820"/>
      <c r="BZ2" s="820"/>
      <c r="CA2" s="820"/>
      <c r="CB2" s="820"/>
      <c r="CC2" s="820"/>
      <c r="CD2" s="820"/>
      <c r="CE2" s="820"/>
      <c r="CF2" s="820"/>
      <c r="CG2" s="820"/>
      <c r="CH2" s="820"/>
      <c r="CI2" s="820"/>
      <c r="CJ2" s="820"/>
      <c r="CK2" s="820"/>
      <c r="CL2" s="820"/>
      <c r="CM2" s="820"/>
      <c r="CN2" s="820"/>
      <c r="CO2" s="820"/>
      <c r="CP2" s="820"/>
      <c r="CQ2" s="820"/>
      <c r="CR2" s="820"/>
      <c r="CS2" s="820"/>
      <c r="CT2" s="820"/>
      <c r="CU2" s="820"/>
      <c r="CV2" s="820"/>
      <c r="CW2" s="820"/>
      <c r="CX2" s="820"/>
      <c r="CY2" s="820"/>
      <c r="CZ2" s="820"/>
      <c r="DA2" s="820"/>
    </row>
    <row r="3" spans="1:105" s="13" customFormat="1" ht="18" customHeight="1" x14ac:dyDescent="0.8">
      <c r="A3" s="994"/>
      <c r="B3" s="994"/>
      <c r="C3" s="978"/>
      <c r="D3" s="979"/>
      <c r="E3" s="980"/>
      <c r="F3" s="981"/>
      <c r="G3" s="982"/>
      <c r="H3" s="820"/>
      <c r="I3" s="820"/>
      <c r="J3" s="820"/>
      <c r="K3" s="820"/>
      <c r="L3" s="820"/>
      <c r="M3" s="820"/>
      <c r="N3" s="820"/>
      <c r="O3" s="803"/>
      <c r="P3" s="820"/>
      <c r="Q3" s="820"/>
      <c r="R3" s="820"/>
      <c r="S3" s="820"/>
      <c r="T3" s="820"/>
      <c r="U3" s="820"/>
      <c r="V3" s="820"/>
      <c r="W3" s="820"/>
      <c r="X3" s="820"/>
      <c r="Y3" s="820"/>
      <c r="Z3" s="820"/>
      <c r="AA3" s="820"/>
      <c r="AB3" s="820"/>
      <c r="AC3" s="820"/>
      <c r="AD3" s="820"/>
      <c r="AE3" s="820"/>
      <c r="AF3" s="820"/>
      <c r="AG3" s="820"/>
      <c r="AH3" s="820"/>
      <c r="AI3" s="820"/>
      <c r="AJ3" s="820"/>
      <c r="AK3" s="820"/>
      <c r="AL3" s="820"/>
      <c r="AM3" s="820"/>
      <c r="AN3" s="820"/>
      <c r="AO3" s="820"/>
      <c r="AP3" s="820"/>
      <c r="AQ3" s="820"/>
      <c r="AR3" s="820"/>
      <c r="AS3" s="820"/>
      <c r="AT3" s="820"/>
      <c r="AU3" s="820"/>
      <c r="AV3" s="820"/>
      <c r="AW3" s="820"/>
      <c r="AX3" s="820"/>
      <c r="AY3" s="820"/>
      <c r="AZ3" s="820"/>
      <c r="BA3" s="820"/>
      <c r="BB3" s="820"/>
      <c r="BC3" s="820"/>
      <c r="BD3" s="820"/>
      <c r="BE3" s="820"/>
      <c r="BF3" s="820"/>
      <c r="BG3" s="820"/>
      <c r="BH3" s="820"/>
      <c r="BI3" s="820"/>
      <c r="BJ3" s="820"/>
      <c r="BK3" s="820"/>
      <c r="BL3" s="820"/>
      <c r="BM3" s="820"/>
      <c r="BN3" s="820"/>
      <c r="BO3" s="820"/>
      <c r="BP3" s="820"/>
      <c r="BQ3" s="820"/>
      <c r="BR3" s="820"/>
      <c r="BS3" s="820"/>
      <c r="BT3" s="820"/>
      <c r="BU3" s="820"/>
      <c r="BV3" s="820"/>
      <c r="BW3" s="820"/>
      <c r="BX3" s="820"/>
      <c r="BY3" s="820"/>
      <c r="BZ3" s="820"/>
      <c r="CA3" s="820"/>
      <c r="CB3" s="820"/>
      <c r="CC3" s="820"/>
      <c r="CD3" s="820"/>
      <c r="CE3" s="820"/>
      <c r="CF3" s="820"/>
      <c r="CG3" s="820"/>
      <c r="CH3" s="820"/>
      <c r="CI3" s="820"/>
      <c r="CJ3" s="820"/>
      <c r="CK3" s="820"/>
      <c r="CL3" s="820"/>
      <c r="CM3" s="820"/>
      <c r="CN3" s="820"/>
      <c r="CO3" s="820"/>
      <c r="CP3" s="820"/>
      <c r="CQ3" s="820"/>
      <c r="CR3" s="820"/>
      <c r="CS3" s="820"/>
      <c r="CT3" s="820"/>
      <c r="CU3" s="820"/>
      <c r="CV3" s="820"/>
      <c r="CW3" s="820"/>
      <c r="CX3" s="820"/>
      <c r="CY3" s="820"/>
      <c r="CZ3" s="820"/>
      <c r="DA3" s="820"/>
    </row>
    <row r="4" spans="1:105" s="13" customFormat="1" ht="13" x14ac:dyDescent="0.3">
      <c r="A4" s="891"/>
      <c r="B4" s="983"/>
      <c r="C4" s="821"/>
      <c r="D4" s="821"/>
      <c r="E4" s="984"/>
      <c r="F4" s="985"/>
      <c r="G4" s="821"/>
      <c r="H4" s="821"/>
      <c r="I4" s="821"/>
      <c r="J4" s="820"/>
      <c r="K4" s="820"/>
      <c r="L4" s="820"/>
      <c r="M4" s="820"/>
      <c r="N4" s="820"/>
      <c r="O4" s="821"/>
      <c r="P4" s="821"/>
      <c r="Q4" s="820"/>
      <c r="R4" s="820"/>
      <c r="S4" s="820"/>
      <c r="T4" s="820"/>
      <c r="U4" s="820"/>
      <c r="V4" s="821"/>
      <c r="W4" s="821"/>
      <c r="X4" s="820"/>
      <c r="Y4" s="820"/>
      <c r="Z4" s="820"/>
      <c r="AA4" s="820"/>
      <c r="AB4" s="820"/>
      <c r="AC4" s="821"/>
      <c r="AD4" s="821"/>
      <c r="AE4" s="820"/>
      <c r="AF4" s="820"/>
      <c r="AG4" s="820"/>
      <c r="AH4" s="820"/>
      <c r="AI4" s="820"/>
      <c r="AJ4" s="821"/>
      <c r="AK4" s="821"/>
      <c r="AL4" s="820"/>
      <c r="AM4" s="820"/>
      <c r="AN4" s="820"/>
      <c r="AO4" s="820"/>
      <c r="AP4" s="820"/>
      <c r="AQ4" s="821"/>
      <c r="AR4" s="821"/>
      <c r="AS4" s="820"/>
      <c r="AT4" s="820"/>
      <c r="AU4" s="820"/>
      <c r="AV4" s="820"/>
      <c r="AW4" s="820"/>
      <c r="AX4" s="821"/>
      <c r="AY4" s="821"/>
      <c r="AZ4" s="820"/>
      <c r="BA4" s="820"/>
      <c r="BB4" s="820"/>
      <c r="BC4" s="820"/>
      <c r="BD4" s="820"/>
      <c r="BE4" s="821"/>
      <c r="BF4" s="821"/>
      <c r="BG4" s="820"/>
      <c r="BH4" s="820"/>
      <c r="BI4" s="820"/>
      <c r="BJ4" s="820"/>
      <c r="BK4" s="820"/>
      <c r="BL4" s="821"/>
      <c r="BM4" s="821"/>
      <c r="BN4" s="820"/>
      <c r="BO4" s="820"/>
      <c r="BP4" s="820"/>
      <c r="BQ4" s="820"/>
      <c r="BR4" s="820"/>
      <c r="BS4" s="821"/>
      <c r="BT4" s="821"/>
      <c r="BU4" s="820"/>
      <c r="BV4" s="820"/>
      <c r="BW4" s="820"/>
      <c r="BX4" s="820"/>
      <c r="BY4" s="820"/>
      <c r="BZ4" s="821"/>
      <c r="CA4" s="821"/>
      <c r="CB4" s="820"/>
      <c r="CC4" s="820"/>
      <c r="CD4" s="820"/>
      <c r="CE4" s="820"/>
      <c r="CF4" s="820"/>
      <c r="CG4" s="821"/>
      <c r="CH4" s="821"/>
      <c r="CI4" s="820"/>
      <c r="CJ4" s="820"/>
      <c r="CK4" s="820"/>
      <c r="CL4" s="820"/>
      <c r="CM4" s="820"/>
      <c r="CN4" s="821"/>
      <c r="CO4" s="821"/>
      <c r="CP4" s="820"/>
      <c r="CQ4" s="820"/>
      <c r="CR4" s="820"/>
      <c r="CS4" s="820"/>
      <c r="CT4" s="820"/>
      <c r="CU4" s="821"/>
      <c r="CV4" s="821"/>
      <c r="CW4" s="820"/>
      <c r="CX4" s="820"/>
      <c r="CY4" s="820"/>
      <c r="CZ4" s="820"/>
      <c r="DA4" s="820"/>
    </row>
    <row r="5" spans="1:105" s="771" customFormat="1" ht="20" x14ac:dyDescent="0.4">
      <c r="A5" s="744" t="s">
        <v>370</v>
      </c>
      <c r="B5" s="746"/>
      <c r="C5" s="743"/>
      <c r="D5" s="744"/>
      <c r="E5" s="995" t="s">
        <v>342</v>
      </c>
      <c r="F5" s="996"/>
      <c r="G5" s="745"/>
      <c r="H5" s="744" t="s">
        <v>370</v>
      </c>
      <c r="I5" s="746"/>
      <c r="J5" s="743"/>
      <c r="K5" s="744"/>
      <c r="L5" s="745"/>
      <c r="M5" s="744"/>
      <c r="N5" s="746"/>
      <c r="O5" s="744" t="s">
        <v>370</v>
      </c>
      <c r="P5" s="746"/>
      <c r="Q5" s="743"/>
      <c r="R5" s="744"/>
      <c r="S5" s="745"/>
      <c r="T5" s="744"/>
      <c r="U5" s="746"/>
      <c r="V5" s="744" t="s">
        <v>370</v>
      </c>
      <c r="W5" s="746"/>
      <c r="X5" s="743"/>
      <c r="Y5" s="744"/>
      <c r="Z5" s="745"/>
      <c r="AA5" s="744"/>
      <c r="AB5" s="746"/>
      <c r="AC5" s="744" t="s">
        <v>370</v>
      </c>
      <c r="AD5" s="746"/>
      <c r="AE5" s="743"/>
      <c r="AF5" s="744"/>
      <c r="AG5" s="745"/>
      <c r="AH5" s="744"/>
      <c r="AI5" s="746"/>
      <c r="AJ5" s="744" t="s">
        <v>370</v>
      </c>
      <c r="AK5" s="746"/>
      <c r="AL5" s="743"/>
      <c r="AM5" s="744"/>
      <c r="AN5" s="745"/>
      <c r="AO5" s="744"/>
      <c r="AP5" s="746"/>
      <c r="AQ5" s="744" t="s">
        <v>370</v>
      </c>
      <c r="AR5" s="746"/>
      <c r="AS5" s="743"/>
      <c r="AT5" s="744"/>
      <c r="AU5" s="745"/>
      <c r="AV5" s="744"/>
      <c r="AW5" s="746"/>
      <c r="AX5" s="744" t="s">
        <v>370</v>
      </c>
      <c r="AY5" s="746"/>
      <c r="AZ5" s="743"/>
      <c r="BA5" s="744"/>
      <c r="BB5" s="745"/>
      <c r="BC5" s="744"/>
      <c r="BD5" s="746"/>
      <c r="BE5" s="744" t="s">
        <v>370</v>
      </c>
      <c r="BF5" s="746"/>
      <c r="BG5" s="743"/>
      <c r="BH5" s="744"/>
      <c r="BI5" s="745"/>
      <c r="BJ5" s="744"/>
      <c r="BK5" s="746"/>
      <c r="BL5" s="744" t="s">
        <v>370</v>
      </c>
      <c r="BM5" s="746"/>
      <c r="BN5" s="743"/>
      <c r="BO5" s="744"/>
      <c r="BP5" s="745"/>
      <c r="BQ5" s="744"/>
      <c r="BR5" s="746"/>
      <c r="BS5" s="744" t="s">
        <v>370</v>
      </c>
      <c r="BT5" s="746"/>
      <c r="BU5" s="743"/>
      <c r="BV5" s="744"/>
      <c r="BW5" s="745"/>
      <c r="BX5" s="744"/>
      <c r="BY5" s="746"/>
      <c r="BZ5" s="744" t="s">
        <v>370</v>
      </c>
      <c r="CA5" s="746"/>
      <c r="CB5" s="743"/>
      <c r="CC5" s="744"/>
      <c r="CD5" s="745"/>
      <c r="CE5" s="744"/>
      <c r="CF5" s="746"/>
      <c r="CG5" s="744" t="s">
        <v>370</v>
      </c>
      <c r="CH5" s="746"/>
      <c r="CI5" s="743"/>
      <c r="CJ5" s="744"/>
      <c r="CK5" s="745"/>
      <c r="CL5" s="744"/>
      <c r="CM5" s="746"/>
      <c r="CN5" s="744" t="s">
        <v>370</v>
      </c>
      <c r="CO5" s="746"/>
      <c r="CP5" s="743"/>
      <c r="CQ5" s="744"/>
      <c r="CR5" s="745"/>
      <c r="CS5" s="744"/>
      <c r="CT5" s="746"/>
      <c r="CU5" s="744" t="s">
        <v>370</v>
      </c>
      <c r="CV5" s="746"/>
      <c r="CW5" s="743"/>
      <c r="CX5" s="744"/>
      <c r="CY5" s="745"/>
      <c r="CZ5" s="744"/>
      <c r="DA5" s="746"/>
    </row>
    <row r="6" spans="1:105" s="17" customFormat="1" ht="29.25" customHeight="1" x14ac:dyDescent="0.4">
      <c r="A6" s="986" t="s">
        <v>408</v>
      </c>
      <c r="B6" s="1052">
        <f>'Données normes'!B24</f>
        <v>2000</v>
      </c>
      <c r="C6" s="1506"/>
      <c r="D6" s="1507"/>
      <c r="E6" s="1507"/>
      <c r="F6" s="1507"/>
      <c r="G6" s="1507"/>
      <c r="H6" s="986" t="s">
        <v>394</v>
      </c>
      <c r="I6" s="1052">
        <f>'Données normes'!B24</f>
        <v>2000</v>
      </c>
      <c r="J6" s="1506"/>
      <c r="K6" s="1507"/>
      <c r="L6" s="1507"/>
      <c r="M6" s="1507"/>
      <c r="N6" s="1507"/>
      <c r="O6" s="986" t="s">
        <v>395</v>
      </c>
      <c r="P6" s="1052">
        <f>'Données normes'!B24</f>
        <v>2000</v>
      </c>
      <c r="Q6" s="1506"/>
      <c r="R6" s="1507"/>
      <c r="S6" s="1507"/>
      <c r="T6" s="1507"/>
      <c r="U6" s="1507"/>
      <c r="V6" s="986" t="s">
        <v>396</v>
      </c>
      <c r="W6" s="1052">
        <f>'Données normes'!B24</f>
        <v>2000</v>
      </c>
      <c r="X6" s="1506"/>
      <c r="Y6" s="1507"/>
      <c r="Z6" s="1507"/>
      <c r="AA6" s="1507"/>
      <c r="AB6" s="1507"/>
      <c r="AC6" s="986" t="s">
        <v>397</v>
      </c>
      <c r="AD6" s="1052">
        <f>'Données normes'!B24</f>
        <v>2000</v>
      </c>
      <c r="AE6" s="1506"/>
      <c r="AF6" s="1506"/>
      <c r="AG6" s="1506"/>
      <c r="AH6" s="1506"/>
      <c r="AI6" s="1506"/>
      <c r="AJ6" s="986" t="s">
        <v>398</v>
      </c>
      <c r="AK6" s="1052">
        <f>'Données normes'!B24</f>
        <v>2000</v>
      </c>
      <c r="AL6" s="1506"/>
      <c r="AM6" s="1506"/>
      <c r="AN6" s="1506"/>
      <c r="AO6" s="1506"/>
      <c r="AP6" s="1506"/>
      <c r="AQ6" s="986" t="s">
        <v>399</v>
      </c>
      <c r="AR6" s="1052">
        <f>'Données normes'!B24</f>
        <v>2000</v>
      </c>
      <c r="AS6" s="1506"/>
      <c r="AT6" s="1506"/>
      <c r="AU6" s="1506"/>
      <c r="AV6" s="1506"/>
      <c r="AW6" s="1506"/>
      <c r="AX6" s="986" t="s">
        <v>400</v>
      </c>
      <c r="AY6" s="1052">
        <f>'Données normes'!B24</f>
        <v>2000</v>
      </c>
      <c r="AZ6" s="1506"/>
      <c r="BA6" s="1506"/>
      <c r="BB6" s="1506"/>
      <c r="BC6" s="1506"/>
      <c r="BD6" s="1506"/>
      <c r="BE6" s="986" t="s">
        <v>401</v>
      </c>
      <c r="BF6" s="1052">
        <f>'Données normes'!B24</f>
        <v>2000</v>
      </c>
      <c r="BG6" s="1506"/>
      <c r="BH6" s="1506"/>
      <c r="BI6" s="1506"/>
      <c r="BJ6" s="1506"/>
      <c r="BK6" s="1506"/>
      <c r="BL6" s="986" t="s">
        <v>402</v>
      </c>
      <c r="BM6" s="1052">
        <f>'Données normes'!B24</f>
        <v>2000</v>
      </c>
      <c r="BN6" s="1506"/>
      <c r="BO6" s="1506"/>
      <c r="BP6" s="1506"/>
      <c r="BQ6" s="1506"/>
      <c r="BR6" s="1506"/>
      <c r="BS6" s="986" t="s">
        <v>403</v>
      </c>
      <c r="BT6" s="1052">
        <f>'Données normes'!B24</f>
        <v>2000</v>
      </c>
      <c r="BU6" s="1506"/>
      <c r="BV6" s="1506"/>
      <c r="BW6" s="1506"/>
      <c r="BX6" s="1506"/>
      <c r="BY6" s="1506"/>
      <c r="BZ6" s="986" t="s">
        <v>404</v>
      </c>
      <c r="CA6" s="1052">
        <f>'Données normes'!B24</f>
        <v>2000</v>
      </c>
      <c r="CB6" s="1506"/>
      <c r="CC6" s="1506"/>
      <c r="CD6" s="1506"/>
      <c r="CE6" s="1506"/>
      <c r="CF6" s="1506"/>
      <c r="CG6" s="986" t="s">
        <v>405</v>
      </c>
      <c r="CH6" s="1052">
        <f>'Données normes'!B24</f>
        <v>2000</v>
      </c>
      <c r="CI6" s="1506"/>
      <c r="CJ6" s="1506"/>
      <c r="CK6" s="1506"/>
      <c r="CL6" s="1506"/>
      <c r="CM6" s="1506"/>
      <c r="CN6" s="986" t="s">
        <v>406</v>
      </c>
      <c r="CO6" s="1052">
        <f>'Données normes'!B24</f>
        <v>2000</v>
      </c>
      <c r="CP6" s="1506"/>
      <c r="CQ6" s="1506"/>
      <c r="CR6" s="1506"/>
      <c r="CS6" s="1506"/>
      <c r="CT6" s="1506"/>
      <c r="CU6" s="986" t="s">
        <v>407</v>
      </c>
      <c r="CV6" s="1052">
        <f>'Données normes'!B24</f>
        <v>2000</v>
      </c>
      <c r="CW6" s="1506"/>
      <c r="CX6" s="1506"/>
      <c r="CY6" s="1506"/>
      <c r="CZ6" s="1506"/>
      <c r="DA6" s="1506"/>
    </row>
    <row r="7" spans="1:105" s="3" customFormat="1" ht="31" x14ac:dyDescent="0.35">
      <c r="A7" s="151" t="s">
        <v>371</v>
      </c>
      <c r="B7" s="747"/>
      <c r="C7" s="1505" t="s">
        <v>367</v>
      </c>
      <c r="D7" s="1505"/>
      <c r="E7" s="1049" t="s">
        <v>368</v>
      </c>
      <c r="F7" s="1050" t="s">
        <v>422</v>
      </c>
      <c r="G7" s="1504" t="s">
        <v>393</v>
      </c>
      <c r="H7" s="151" t="s">
        <v>371</v>
      </c>
      <c r="I7" s="747"/>
      <c r="J7" s="1505" t="s">
        <v>367</v>
      </c>
      <c r="K7" s="1505"/>
      <c r="L7" s="1049" t="s">
        <v>368</v>
      </c>
      <c r="M7" s="1050" t="s">
        <v>422</v>
      </c>
      <c r="N7" s="1504" t="s">
        <v>393</v>
      </c>
      <c r="O7" s="151" t="s">
        <v>371</v>
      </c>
      <c r="P7" s="747"/>
      <c r="Q7" s="1505" t="s">
        <v>367</v>
      </c>
      <c r="R7" s="1505"/>
      <c r="S7" s="1049" t="s">
        <v>368</v>
      </c>
      <c r="T7" s="1050" t="s">
        <v>422</v>
      </c>
      <c r="U7" s="1504" t="s">
        <v>393</v>
      </c>
      <c r="V7" s="151" t="s">
        <v>371</v>
      </c>
      <c r="W7" s="747"/>
      <c r="X7" s="1505" t="s">
        <v>367</v>
      </c>
      <c r="Y7" s="1505"/>
      <c r="Z7" s="1049" t="s">
        <v>368</v>
      </c>
      <c r="AA7" s="1050" t="s">
        <v>422</v>
      </c>
      <c r="AB7" s="1504" t="s">
        <v>393</v>
      </c>
      <c r="AC7" s="151" t="s">
        <v>371</v>
      </c>
      <c r="AD7" s="747"/>
      <c r="AE7" s="1505" t="s">
        <v>367</v>
      </c>
      <c r="AF7" s="1505"/>
      <c r="AG7" s="1049" t="s">
        <v>368</v>
      </c>
      <c r="AH7" s="1050" t="s">
        <v>422</v>
      </c>
      <c r="AI7" s="1504" t="s">
        <v>393</v>
      </c>
      <c r="AJ7" s="151" t="s">
        <v>371</v>
      </c>
      <c r="AK7" s="747"/>
      <c r="AL7" s="1505" t="s">
        <v>367</v>
      </c>
      <c r="AM7" s="1505"/>
      <c r="AN7" s="1049" t="s">
        <v>368</v>
      </c>
      <c r="AO7" s="1050" t="s">
        <v>422</v>
      </c>
      <c r="AP7" s="1504" t="s">
        <v>393</v>
      </c>
      <c r="AQ7" s="151" t="s">
        <v>371</v>
      </c>
      <c r="AR7" s="747"/>
      <c r="AS7" s="1505" t="s">
        <v>367</v>
      </c>
      <c r="AT7" s="1505"/>
      <c r="AU7" s="1049" t="s">
        <v>368</v>
      </c>
      <c r="AV7" s="1050" t="s">
        <v>422</v>
      </c>
      <c r="AW7" s="1504" t="s">
        <v>393</v>
      </c>
      <c r="AX7" s="151" t="s">
        <v>371</v>
      </c>
      <c r="AY7" s="747"/>
      <c r="AZ7" s="1505" t="s">
        <v>367</v>
      </c>
      <c r="BA7" s="1505"/>
      <c r="BB7" s="1049" t="s">
        <v>368</v>
      </c>
      <c r="BC7" s="1050" t="s">
        <v>422</v>
      </c>
      <c r="BD7" s="1504" t="s">
        <v>393</v>
      </c>
      <c r="BE7" s="151" t="s">
        <v>371</v>
      </c>
      <c r="BF7" s="747"/>
      <c r="BG7" s="1505" t="s">
        <v>367</v>
      </c>
      <c r="BH7" s="1505"/>
      <c r="BI7" s="1049" t="s">
        <v>368</v>
      </c>
      <c r="BJ7" s="1050" t="s">
        <v>422</v>
      </c>
      <c r="BK7" s="1504" t="s">
        <v>393</v>
      </c>
      <c r="BL7" s="151" t="s">
        <v>371</v>
      </c>
      <c r="BM7" s="747"/>
      <c r="BN7" s="1505" t="s">
        <v>367</v>
      </c>
      <c r="BO7" s="1505"/>
      <c r="BP7" s="1049" t="s">
        <v>368</v>
      </c>
      <c r="BQ7" s="1050" t="s">
        <v>422</v>
      </c>
      <c r="BR7" s="1504" t="s">
        <v>393</v>
      </c>
      <c r="BS7" s="151" t="s">
        <v>371</v>
      </c>
      <c r="BT7" s="747"/>
      <c r="BU7" s="1505" t="s">
        <v>367</v>
      </c>
      <c r="BV7" s="1505"/>
      <c r="BW7" s="1049" t="s">
        <v>368</v>
      </c>
      <c r="BX7" s="1050" t="s">
        <v>422</v>
      </c>
      <c r="BY7" s="1504" t="s">
        <v>393</v>
      </c>
      <c r="BZ7" s="151" t="s">
        <v>371</v>
      </c>
      <c r="CA7" s="747"/>
      <c r="CB7" s="1505" t="s">
        <v>367</v>
      </c>
      <c r="CC7" s="1505"/>
      <c r="CD7" s="1049" t="s">
        <v>368</v>
      </c>
      <c r="CE7" s="1050" t="s">
        <v>422</v>
      </c>
      <c r="CF7" s="1504" t="s">
        <v>393</v>
      </c>
      <c r="CG7" s="151" t="s">
        <v>371</v>
      </c>
      <c r="CH7" s="747"/>
      <c r="CI7" s="1505" t="s">
        <v>367</v>
      </c>
      <c r="CJ7" s="1505"/>
      <c r="CK7" s="1049" t="s">
        <v>368</v>
      </c>
      <c r="CL7" s="1050" t="s">
        <v>422</v>
      </c>
      <c r="CM7" s="1504" t="s">
        <v>393</v>
      </c>
      <c r="CN7" s="151" t="s">
        <v>371</v>
      </c>
      <c r="CO7" s="747"/>
      <c r="CP7" s="1505" t="s">
        <v>367</v>
      </c>
      <c r="CQ7" s="1505"/>
      <c r="CR7" s="1049" t="s">
        <v>368</v>
      </c>
      <c r="CS7" s="1050" t="s">
        <v>422</v>
      </c>
      <c r="CT7" s="1504" t="s">
        <v>393</v>
      </c>
      <c r="CU7" s="151" t="s">
        <v>371</v>
      </c>
      <c r="CV7" s="747"/>
      <c r="CW7" s="1505" t="s">
        <v>367</v>
      </c>
      <c r="CX7" s="1505"/>
      <c r="CY7" s="1049" t="s">
        <v>368</v>
      </c>
      <c r="CZ7" s="1050" t="s">
        <v>422</v>
      </c>
      <c r="DA7" s="1504" t="s">
        <v>393</v>
      </c>
    </row>
    <row r="8" spans="1:105" s="12" customFormat="1" ht="12.75" customHeight="1" x14ac:dyDescent="0.3">
      <c r="B8" s="39"/>
      <c r="C8" s="186" t="s">
        <v>369</v>
      </c>
      <c r="D8" s="186" t="s">
        <v>55</v>
      </c>
      <c r="E8" s="219" t="s">
        <v>64</v>
      </c>
      <c r="F8" s="740" t="s">
        <v>53</v>
      </c>
      <c r="G8" s="1520"/>
      <c r="I8" s="39"/>
      <c r="J8" s="186" t="s">
        <v>369</v>
      </c>
      <c r="K8" s="186" t="s">
        <v>55</v>
      </c>
      <c r="L8" s="219" t="s">
        <v>64</v>
      </c>
      <c r="M8" s="740" t="s">
        <v>53</v>
      </c>
      <c r="N8" s="1520"/>
      <c r="P8" s="39"/>
      <c r="Q8" s="186" t="s">
        <v>369</v>
      </c>
      <c r="R8" s="186" t="s">
        <v>55</v>
      </c>
      <c r="S8" s="219" t="s">
        <v>64</v>
      </c>
      <c r="T8" s="740" t="s">
        <v>53</v>
      </c>
      <c r="U8" s="1520"/>
      <c r="W8" s="39"/>
      <c r="X8" s="186" t="s">
        <v>369</v>
      </c>
      <c r="Y8" s="186" t="s">
        <v>55</v>
      </c>
      <c r="Z8" s="219" t="s">
        <v>64</v>
      </c>
      <c r="AA8" s="740" t="s">
        <v>53</v>
      </c>
      <c r="AB8" s="1520"/>
      <c r="AD8" s="39"/>
      <c r="AE8" s="186" t="s">
        <v>369</v>
      </c>
      <c r="AF8" s="186" t="s">
        <v>55</v>
      </c>
      <c r="AG8" s="219" t="s">
        <v>64</v>
      </c>
      <c r="AH8" s="740" t="s">
        <v>53</v>
      </c>
      <c r="AI8" s="1520"/>
      <c r="AK8" s="39"/>
      <c r="AL8" s="186" t="s">
        <v>369</v>
      </c>
      <c r="AM8" s="186" t="s">
        <v>55</v>
      </c>
      <c r="AN8" s="219" t="s">
        <v>64</v>
      </c>
      <c r="AO8" s="740" t="s">
        <v>53</v>
      </c>
      <c r="AP8" s="1520"/>
      <c r="AR8" s="39"/>
      <c r="AS8" s="186" t="s">
        <v>369</v>
      </c>
      <c r="AT8" s="186" t="s">
        <v>55</v>
      </c>
      <c r="AU8" s="219" t="s">
        <v>64</v>
      </c>
      <c r="AV8" s="740" t="s">
        <v>53</v>
      </c>
      <c r="AW8" s="1520"/>
      <c r="AY8" s="39"/>
      <c r="AZ8" s="186" t="s">
        <v>369</v>
      </c>
      <c r="BA8" s="186" t="s">
        <v>55</v>
      </c>
      <c r="BB8" s="219" t="s">
        <v>64</v>
      </c>
      <c r="BC8" s="740" t="s">
        <v>53</v>
      </c>
      <c r="BD8" s="1520"/>
      <c r="BF8" s="39"/>
      <c r="BG8" s="186" t="s">
        <v>369</v>
      </c>
      <c r="BH8" s="186" t="s">
        <v>55</v>
      </c>
      <c r="BI8" s="219" t="s">
        <v>64</v>
      </c>
      <c r="BJ8" s="740" t="s">
        <v>53</v>
      </c>
      <c r="BK8" s="1520"/>
      <c r="BM8" s="39"/>
      <c r="BN8" s="186" t="s">
        <v>369</v>
      </c>
      <c r="BO8" s="186" t="s">
        <v>55</v>
      </c>
      <c r="BP8" s="219" t="s">
        <v>64</v>
      </c>
      <c r="BQ8" s="740" t="s">
        <v>53</v>
      </c>
      <c r="BR8" s="1520"/>
      <c r="BT8" s="39"/>
      <c r="BU8" s="186" t="s">
        <v>369</v>
      </c>
      <c r="BV8" s="186" t="s">
        <v>55</v>
      </c>
      <c r="BW8" s="219" t="s">
        <v>64</v>
      </c>
      <c r="BX8" s="740" t="s">
        <v>53</v>
      </c>
      <c r="BY8" s="1520"/>
      <c r="CA8" s="39"/>
      <c r="CB8" s="186" t="s">
        <v>369</v>
      </c>
      <c r="CC8" s="186" t="s">
        <v>55</v>
      </c>
      <c r="CD8" s="219" t="s">
        <v>64</v>
      </c>
      <c r="CE8" s="740" t="s">
        <v>53</v>
      </c>
      <c r="CF8" s="1520"/>
      <c r="CH8" s="39"/>
      <c r="CI8" s="186" t="s">
        <v>369</v>
      </c>
      <c r="CJ8" s="186" t="s">
        <v>55</v>
      </c>
      <c r="CK8" s="219" t="s">
        <v>64</v>
      </c>
      <c r="CL8" s="740" t="s">
        <v>53</v>
      </c>
      <c r="CM8" s="1520"/>
      <c r="CO8" s="39"/>
      <c r="CP8" s="186" t="s">
        <v>369</v>
      </c>
      <c r="CQ8" s="186" t="s">
        <v>55</v>
      </c>
      <c r="CR8" s="219" t="s">
        <v>64</v>
      </c>
      <c r="CS8" s="740" t="s">
        <v>53</v>
      </c>
      <c r="CT8" s="1520"/>
      <c r="CV8" s="39"/>
      <c r="CW8" s="186" t="s">
        <v>369</v>
      </c>
      <c r="CX8" s="186" t="s">
        <v>55</v>
      </c>
      <c r="CY8" s="219" t="s">
        <v>64</v>
      </c>
      <c r="CZ8" s="740" t="s">
        <v>53</v>
      </c>
      <c r="DA8" s="1520"/>
    </row>
    <row r="9" spans="1:105" s="84" customFormat="1" ht="15.75" customHeight="1" x14ac:dyDescent="0.3">
      <c r="A9" s="72"/>
      <c r="B9" s="84" t="str">
        <f>'Données normes'!$B$47</f>
        <v>Catégorie I</v>
      </c>
      <c r="C9" s="739">
        <f>D9/B6</f>
        <v>0</v>
      </c>
      <c r="D9" s="216">
        <f>G9*D12</f>
        <v>0</v>
      </c>
      <c r="E9" s="213">
        <f>'Données normes'!B48</f>
        <v>1.1200000000000001</v>
      </c>
      <c r="F9" s="148">
        <f>D9*E9</f>
        <v>0</v>
      </c>
      <c r="G9" s="725">
        <f>'Données normes'!B71</f>
        <v>0.7</v>
      </c>
      <c r="H9" s="72"/>
      <c r="I9" s="84" t="str">
        <f>'Données normes'!$B$47</f>
        <v>Catégorie I</v>
      </c>
      <c r="J9" s="739">
        <f>K9/I6</f>
        <v>1.75</v>
      </c>
      <c r="K9" s="216">
        <f>N9*K12</f>
        <v>3500</v>
      </c>
      <c r="L9" s="213">
        <f>'Données normes'!B49</f>
        <v>1.1200000000000001</v>
      </c>
      <c r="M9" s="148">
        <f>K9*L9</f>
        <v>3920.0000000000005</v>
      </c>
      <c r="N9" s="725">
        <f>'Données normes'!B72</f>
        <v>0.7</v>
      </c>
      <c r="O9" s="72"/>
      <c r="P9" s="84" t="str">
        <f>'Données normes'!$B$47</f>
        <v>Catégorie I</v>
      </c>
      <c r="Q9" s="739">
        <f>R9/P6</f>
        <v>6.3</v>
      </c>
      <c r="R9" s="216">
        <f>U9*R12</f>
        <v>12600</v>
      </c>
      <c r="S9" s="213">
        <f>'Données normes'!B50</f>
        <v>1.1200000000000001</v>
      </c>
      <c r="T9" s="148">
        <f>R9*S9</f>
        <v>14112.000000000002</v>
      </c>
      <c r="U9" s="725">
        <f>'Données normes'!B73</f>
        <v>0.7</v>
      </c>
      <c r="V9" s="72"/>
      <c r="W9" s="84" t="str">
        <f>'Données normes'!$B$47</f>
        <v>Catégorie I</v>
      </c>
      <c r="X9" s="739">
        <f>Y9/W6</f>
        <v>8.75</v>
      </c>
      <c r="Y9" s="216">
        <f>AB9*Y12</f>
        <v>17500</v>
      </c>
      <c r="Z9" s="213">
        <f>'Données normes'!B51</f>
        <v>1.1200000000000001</v>
      </c>
      <c r="AA9" s="148">
        <f>Y9*Z9</f>
        <v>19600.000000000004</v>
      </c>
      <c r="AB9" s="725">
        <f>'Données normes'!B74</f>
        <v>0.7</v>
      </c>
      <c r="AC9" s="72"/>
      <c r="AD9" s="84" t="str">
        <f>'Données normes'!$B$47</f>
        <v>Catégorie I</v>
      </c>
      <c r="AE9" s="739">
        <f>AF9/AD6</f>
        <v>12.25</v>
      </c>
      <c r="AF9" s="216">
        <f>AI9*AF12</f>
        <v>24500</v>
      </c>
      <c r="AG9" s="213">
        <f>'Données normes'!B52</f>
        <v>1.1200000000000001</v>
      </c>
      <c r="AH9" s="148">
        <f>AF9*AG9</f>
        <v>27440.000000000004</v>
      </c>
      <c r="AI9" s="725">
        <f>'Données normes'!B75</f>
        <v>0.7</v>
      </c>
      <c r="AJ9" s="72"/>
      <c r="AK9" s="84" t="str">
        <f>'Données normes'!$B$47</f>
        <v>Catégorie I</v>
      </c>
      <c r="AL9" s="739">
        <f>AM9/AK6</f>
        <v>15.749999999999998</v>
      </c>
      <c r="AM9" s="216">
        <f>AP9*AM12</f>
        <v>31499.999999999996</v>
      </c>
      <c r="AN9" s="213">
        <f>'Données normes'!B53</f>
        <v>1.1200000000000001</v>
      </c>
      <c r="AO9" s="148">
        <f>AM9*AN9</f>
        <v>35280</v>
      </c>
      <c r="AP9" s="725">
        <f>'Données normes'!B75</f>
        <v>0.7</v>
      </c>
      <c r="AQ9" s="72"/>
      <c r="AR9" s="84" t="str">
        <f>'Données normes'!$B$47</f>
        <v>Catégorie I</v>
      </c>
      <c r="AS9" s="739">
        <f>AT9/AR6</f>
        <v>15.749999999999998</v>
      </c>
      <c r="AT9" s="216">
        <f>AW9*AT12</f>
        <v>31499.999999999996</v>
      </c>
      <c r="AU9" s="213">
        <f>'Données normes'!B54</f>
        <v>1.1200000000000001</v>
      </c>
      <c r="AV9" s="148">
        <f>AT9*AU9</f>
        <v>35280</v>
      </c>
      <c r="AW9" s="725">
        <f>'Données normes'!B77</f>
        <v>0.7</v>
      </c>
      <c r="AX9" s="72"/>
      <c r="AY9" s="84" t="str">
        <f>'Données normes'!$B$47</f>
        <v>Catégorie I</v>
      </c>
      <c r="AZ9" s="739">
        <f>BA9/AY6</f>
        <v>15.749999999999998</v>
      </c>
      <c r="BA9" s="216">
        <f>BD9*BA12</f>
        <v>31499.999999999996</v>
      </c>
      <c r="BB9" s="213">
        <f>'Données normes'!B55</f>
        <v>1.1200000000000001</v>
      </c>
      <c r="BC9" s="148">
        <f>BA9*BB9</f>
        <v>35280</v>
      </c>
      <c r="BD9" s="725">
        <f>'Données normes'!B78</f>
        <v>0.7</v>
      </c>
      <c r="BE9" s="72"/>
      <c r="BF9" s="84" t="str">
        <f>'Données normes'!$B$47</f>
        <v>Catégorie I</v>
      </c>
      <c r="BG9" s="739">
        <f>BH9/B6</f>
        <v>15.749999999999998</v>
      </c>
      <c r="BH9" s="216">
        <f>BK9*BH12</f>
        <v>31499.999999999996</v>
      </c>
      <c r="BI9" s="213">
        <f>'Données normes'!B56</f>
        <v>1.1200000000000001</v>
      </c>
      <c r="BJ9" s="148">
        <f>BH9*BI9</f>
        <v>35280</v>
      </c>
      <c r="BK9" s="725">
        <f>'Données normes'!B79</f>
        <v>0.7</v>
      </c>
      <c r="BL9" s="72"/>
      <c r="BM9" s="84" t="str">
        <f>'Données normes'!$B$47</f>
        <v>Catégorie I</v>
      </c>
      <c r="BN9" s="739">
        <f>BO9/B6</f>
        <v>14.625</v>
      </c>
      <c r="BO9" s="216">
        <f>BR9*BO12</f>
        <v>29250</v>
      </c>
      <c r="BP9" s="213">
        <f>'Données normes'!B57</f>
        <v>1.1200000000000001</v>
      </c>
      <c r="BQ9" s="148">
        <f>BO9*BP9</f>
        <v>32760.000000000004</v>
      </c>
      <c r="BR9" s="725">
        <f>'Données normes'!B80</f>
        <v>0.65</v>
      </c>
      <c r="BS9" s="72"/>
      <c r="BT9" s="84" t="str">
        <f>'Données normes'!$B$47</f>
        <v>Catégorie I</v>
      </c>
      <c r="BU9" s="739">
        <f>BV9/B6</f>
        <v>14.625</v>
      </c>
      <c r="BV9" s="216">
        <f>BY9*BV12</f>
        <v>29250</v>
      </c>
      <c r="BW9" s="213">
        <f>'Données normes'!B58</f>
        <v>1.1200000000000001</v>
      </c>
      <c r="BX9" s="148">
        <f>BV9*BW9</f>
        <v>32760.000000000004</v>
      </c>
      <c r="BY9" s="725">
        <f>'Données normes'!B81</f>
        <v>0.65</v>
      </c>
      <c r="BZ9" s="72"/>
      <c r="CA9" s="84" t="str">
        <f>'Données normes'!$B$47</f>
        <v>Catégorie I</v>
      </c>
      <c r="CB9" s="739">
        <f>CC9/B6</f>
        <v>14.625</v>
      </c>
      <c r="CC9" s="216">
        <f>CF9*CC12</f>
        <v>29250</v>
      </c>
      <c r="CD9" s="213">
        <f>'Données normes'!B59</f>
        <v>1.1200000000000001</v>
      </c>
      <c r="CE9" s="148">
        <f>CC9*CD9</f>
        <v>32760.000000000004</v>
      </c>
      <c r="CF9" s="725">
        <f>'Données normes'!B82</f>
        <v>0.65</v>
      </c>
      <c r="CG9" s="72"/>
      <c r="CH9" s="84" t="str">
        <f>'Données normes'!$B$47</f>
        <v>Catégorie I</v>
      </c>
      <c r="CI9" s="739">
        <f>CJ9/B6</f>
        <v>13.5</v>
      </c>
      <c r="CJ9" s="216">
        <f>CM9*CJ12</f>
        <v>27000</v>
      </c>
      <c r="CK9" s="213">
        <f>'Données normes'!B60</f>
        <v>1.1200000000000001</v>
      </c>
      <c r="CL9" s="148">
        <f>CJ9*CK9</f>
        <v>30240.000000000004</v>
      </c>
      <c r="CM9" s="725">
        <f>'Données normes'!B83</f>
        <v>0.6</v>
      </c>
      <c r="CN9" s="72"/>
      <c r="CO9" s="84" t="str">
        <f>'Données normes'!$B$47</f>
        <v>Catégorie I</v>
      </c>
      <c r="CP9" s="739">
        <f>CQ9/B6</f>
        <v>13.5</v>
      </c>
      <c r="CQ9" s="216">
        <f>CT9*CQ12</f>
        <v>27000</v>
      </c>
      <c r="CR9" s="213">
        <f>'Données normes'!B61</f>
        <v>1.1200000000000001</v>
      </c>
      <c r="CS9" s="148">
        <f>CQ9*CR9</f>
        <v>30240.000000000004</v>
      </c>
      <c r="CT9" s="725">
        <f>'Données normes'!B84</f>
        <v>0.6</v>
      </c>
      <c r="CU9" s="72"/>
      <c r="CV9" s="84" t="str">
        <f>'Données normes'!$B$47</f>
        <v>Catégorie I</v>
      </c>
      <c r="CW9" s="739">
        <f>CX9/B6</f>
        <v>13.5</v>
      </c>
      <c r="CX9" s="216">
        <f>DA9*CX12</f>
        <v>27000</v>
      </c>
      <c r="CY9" s="213">
        <f>'Données normes'!B62</f>
        <v>1.1200000000000001</v>
      </c>
      <c r="CZ9" s="148">
        <f>CX9*CY9</f>
        <v>30240.000000000004</v>
      </c>
      <c r="DA9" s="725">
        <f>'Données normes'!B85</f>
        <v>0.6</v>
      </c>
    </row>
    <row r="10" spans="1:105" s="84" customFormat="1" ht="13.65" customHeight="1" x14ac:dyDescent="0.3">
      <c r="B10" s="84" t="str">
        <f>'Données normes'!$C$47</f>
        <v>Catégorie II</v>
      </c>
      <c r="C10" s="739">
        <f>D10/B6</f>
        <v>0</v>
      </c>
      <c r="D10" s="216">
        <f>G10*D12</f>
        <v>0</v>
      </c>
      <c r="E10" s="213">
        <f>'Données normes'!C48</f>
        <v>0.45</v>
      </c>
      <c r="F10" s="148">
        <f>D10*E10</f>
        <v>0</v>
      </c>
      <c r="G10" s="725">
        <f>'Données normes'!C71</f>
        <v>0.2</v>
      </c>
      <c r="I10" s="84" t="str">
        <f>'Données normes'!$C$47</f>
        <v>Catégorie II</v>
      </c>
      <c r="J10" s="739">
        <f>K10/I6</f>
        <v>0.5</v>
      </c>
      <c r="K10" s="216">
        <f>N10*K12</f>
        <v>1000</v>
      </c>
      <c r="L10" s="213">
        <f>'Données normes'!C49</f>
        <v>0.45</v>
      </c>
      <c r="M10" s="148">
        <f>K10*L10</f>
        <v>450</v>
      </c>
      <c r="N10" s="725">
        <f>'Données normes'!C72</f>
        <v>0.2</v>
      </c>
      <c r="P10" s="84" t="str">
        <f>'Données normes'!$C$47</f>
        <v>Catégorie II</v>
      </c>
      <c r="Q10" s="739">
        <f>R10/P6</f>
        <v>1.8</v>
      </c>
      <c r="R10" s="216">
        <f>U10*R12</f>
        <v>3600</v>
      </c>
      <c r="S10" s="213">
        <f>'Données normes'!C50</f>
        <v>0.45</v>
      </c>
      <c r="T10" s="148">
        <f>R10*S10</f>
        <v>1620</v>
      </c>
      <c r="U10" s="725">
        <f>'Données normes'!C73</f>
        <v>0.2</v>
      </c>
      <c r="W10" s="84" t="str">
        <f>'Données normes'!$C$47</f>
        <v>Catégorie II</v>
      </c>
      <c r="X10" s="739">
        <f>Y10/W6</f>
        <v>2.5</v>
      </c>
      <c r="Y10" s="216">
        <f>AB10*Y12</f>
        <v>5000</v>
      </c>
      <c r="Z10" s="213">
        <f>'Données normes'!C51</f>
        <v>0.45</v>
      </c>
      <c r="AA10" s="148">
        <f>Y10*Z10</f>
        <v>2250</v>
      </c>
      <c r="AB10" s="725">
        <f>'Données normes'!C74</f>
        <v>0.2</v>
      </c>
      <c r="AD10" s="84" t="str">
        <f>'Données normes'!$C$47</f>
        <v>Catégorie II</v>
      </c>
      <c r="AE10" s="739">
        <f>AF10/AD6</f>
        <v>3.5</v>
      </c>
      <c r="AF10" s="216">
        <f>AI10*AF12</f>
        <v>7000</v>
      </c>
      <c r="AG10" s="213">
        <f>'Données normes'!C52</f>
        <v>0.45</v>
      </c>
      <c r="AH10" s="148">
        <f>AF10*AG10</f>
        <v>3150</v>
      </c>
      <c r="AI10" s="725">
        <f>'Données normes'!C75</f>
        <v>0.2</v>
      </c>
      <c r="AK10" s="84" t="str">
        <f>'Données normes'!$C$47</f>
        <v>Catégorie II</v>
      </c>
      <c r="AL10" s="739">
        <f>AM10/AK6</f>
        <v>4.5</v>
      </c>
      <c r="AM10" s="216">
        <f>AP10*AM12</f>
        <v>9000</v>
      </c>
      <c r="AN10" s="213">
        <f>'Données normes'!C53</f>
        <v>0.45</v>
      </c>
      <c r="AO10" s="148">
        <f>AM10*AN10</f>
        <v>4050</v>
      </c>
      <c r="AP10" s="725">
        <f>'Données normes'!C75</f>
        <v>0.2</v>
      </c>
      <c r="AR10" s="84" t="str">
        <f>'Données normes'!$C$47</f>
        <v>Catégorie II</v>
      </c>
      <c r="AS10" s="739">
        <f>AT10/AR6</f>
        <v>4.5</v>
      </c>
      <c r="AT10" s="216">
        <f>AW10*AT12</f>
        <v>9000</v>
      </c>
      <c r="AU10" s="213">
        <f>'Données normes'!C54</f>
        <v>0.45</v>
      </c>
      <c r="AV10" s="148">
        <f>AT10*AU10</f>
        <v>4050</v>
      </c>
      <c r="AW10" s="725">
        <f>'Données normes'!C77</f>
        <v>0.2</v>
      </c>
      <c r="AY10" s="84" t="str">
        <f>'Données normes'!$C$47</f>
        <v>Catégorie II</v>
      </c>
      <c r="AZ10" s="739">
        <f>BA10/AY6</f>
        <v>4.5</v>
      </c>
      <c r="BA10" s="216">
        <f>BD10*BA12</f>
        <v>9000</v>
      </c>
      <c r="BB10" s="213">
        <f>'Données normes'!C55</f>
        <v>0.45</v>
      </c>
      <c r="BC10" s="148">
        <f>BA10*BB10</f>
        <v>4050</v>
      </c>
      <c r="BD10" s="725">
        <f>'Données normes'!C78</f>
        <v>0.2</v>
      </c>
      <c r="BF10" s="84" t="str">
        <f>'Données normes'!$C$47</f>
        <v>Catégorie II</v>
      </c>
      <c r="BG10" s="739">
        <f>BH10/B6</f>
        <v>4.5</v>
      </c>
      <c r="BH10" s="216">
        <f>BK10*BH12</f>
        <v>9000</v>
      </c>
      <c r="BI10" s="213">
        <f>'Données normes'!C56</f>
        <v>0.45</v>
      </c>
      <c r="BJ10" s="148">
        <f>BH10*BI10</f>
        <v>4050</v>
      </c>
      <c r="BK10" s="725">
        <f>'Données normes'!C79</f>
        <v>0.2</v>
      </c>
      <c r="BM10" s="84" t="str">
        <f>'Données normes'!$C$47</f>
        <v>Catégorie II</v>
      </c>
      <c r="BN10" s="739">
        <f>BO10/B6</f>
        <v>5.625</v>
      </c>
      <c r="BO10" s="216">
        <f>BR10*BO12</f>
        <v>11250</v>
      </c>
      <c r="BP10" s="213">
        <f>'Données normes'!C57</f>
        <v>0.45</v>
      </c>
      <c r="BQ10" s="148">
        <f>BO10*BP10</f>
        <v>5062.5</v>
      </c>
      <c r="BR10" s="725">
        <f>'Données normes'!C80</f>
        <v>0.25</v>
      </c>
      <c r="BT10" s="84" t="str">
        <f>'Données normes'!$C$47</f>
        <v>Catégorie II</v>
      </c>
      <c r="BU10" s="739">
        <f>BV10/B6</f>
        <v>5.625</v>
      </c>
      <c r="BV10" s="216">
        <f>BY10*BV12</f>
        <v>11250</v>
      </c>
      <c r="BW10" s="213">
        <f>'Données normes'!C57</f>
        <v>0.45</v>
      </c>
      <c r="BX10" s="148">
        <f>BV10*BW10</f>
        <v>5062.5</v>
      </c>
      <c r="BY10" s="725">
        <f>'Données normes'!C81</f>
        <v>0.25</v>
      </c>
      <c r="CA10" s="84" t="str">
        <f>'Données normes'!$C$47</f>
        <v>Catégorie II</v>
      </c>
      <c r="CB10" s="739">
        <f>CC10/B6</f>
        <v>5.625</v>
      </c>
      <c r="CC10" s="216">
        <f>CF10*CC12</f>
        <v>11250</v>
      </c>
      <c r="CD10" s="213">
        <f>'Données normes'!C59</f>
        <v>0.45</v>
      </c>
      <c r="CE10" s="148">
        <f>CC10*CD10</f>
        <v>5062.5</v>
      </c>
      <c r="CF10" s="725">
        <f>'Données normes'!C82</f>
        <v>0.25</v>
      </c>
      <c r="CH10" s="84" t="str">
        <f>'Données normes'!$C$47</f>
        <v>Catégorie II</v>
      </c>
      <c r="CI10" s="739">
        <f>CJ10/B6</f>
        <v>6.75</v>
      </c>
      <c r="CJ10" s="216">
        <f>CM10*CJ12</f>
        <v>13500</v>
      </c>
      <c r="CK10" s="213">
        <f>'Données normes'!C60</f>
        <v>0.45</v>
      </c>
      <c r="CL10" s="148">
        <f>CJ10*CK10</f>
        <v>6075</v>
      </c>
      <c r="CM10" s="725">
        <f>'Données normes'!C83</f>
        <v>0.3</v>
      </c>
      <c r="CO10" s="84" t="str">
        <f>'Données normes'!$C$47</f>
        <v>Catégorie II</v>
      </c>
      <c r="CP10" s="739">
        <f>CQ10/B6</f>
        <v>6.75</v>
      </c>
      <c r="CQ10" s="216">
        <f>CT10*CQ12</f>
        <v>13500</v>
      </c>
      <c r="CR10" s="213">
        <f>'Données normes'!C61</f>
        <v>0.45</v>
      </c>
      <c r="CS10" s="148">
        <f>CQ10*CR10</f>
        <v>6075</v>
      </c>
      <c r="CT10" s="725">
        <f>'Données normes'!C84</f>
        <v>0.3</v>
      </c>
      <c r="CV10" s="84" t="str">
        <f>'Données normes'!$C$47</f>
        <v>Catégorie II</v>
      </c>
      <c r="CW10" s="739">
        <f>CX10/B6</f>
        <v>6.75</v>
      </c>
      <c r="CX10" s="216">
        <f>DA10*CX12</f>
        <v>13500</v>
      </c>
      <c r="CY10" s="213">
        <f>'Données normes'!C62</f>
        <v>0.45</v>
      </c>
      <c r="CZ10" s="148">
        <f>CX10*CY10</f>
        <v>6075</v>
      </c>
      <c r="DA10" s="725">
        <f>'Données normes'!C85</f>
        <v>0.3</v>
      </c>
    </row>
    <row r="11" spans="1:105" s="84" customFormat="1" ht="13.65" customHeight="1" thickBot="1" x14ac:dyDescent="0.35">
      <c r="B11" s="84" t="str">
        <f>'Données normes'!$D$47</f>
        <v>Cidre</v>
      </c>
      <c r="C11" s="741"/>
      <c r="D11" s="742">
        <f>D12*G11</f>
        <v>0</v>
      </c>
      <c r="E11" s="672">
        <f>'Données normes'!D48</f>
        <v>0.23</v>
      </c>
      <c r="F11" s="582">
        <f>D11*E11</f>
        <v>0</v>
      </c>
      <c r="G11" s="725">
        <f>'Données normes'!F71</f>
        <v>0.1</v>
      </c>
      <c r="I11" s="84" t="str">
        <f>'Données normes'!$D$47</f>
        <v>Cidre</v>
      </c>
      <c r="J11" s="741">
        <f>K11/$B$6</f>
        <v>0.25</v>
      </c>
      <c r="K11" s="742">
        <f>K12*N11</f>
        <v>500</v>
      </c>
      <c r="L11" s="672">
        <f>'Données normes'!D49</f>
        <v>0.23</v>
      </c>
      <c r="M11" s="582">
        <f>K11*L11</f>
        <v>115</v>
      </c>
      <c r="N11" s="725">
        <f>'Données normes'!F72</f>
        <v>0.1</v>
      </c>
      <c r="P11" s="84" t="str">
        <f>'Données normes'!$D$47</f>
        <v>Cidre</v>
      </c>
      <c r="Q11" s="741">
        <f>R11/$B$6</f>
        <v>0.9</v>
      </c>
      <c r="R11" s="742">
        <f>R12*U11</f>
        <v>1800</v>
      </c>
      <c r="S11" s="672">
        <f>'Données normes'!D50</f>
        <v>0.23</v>
      </c>
      <c r="T11" s="582">
        <f>R11*S11</f>
        <v>414</v>
      </c>
      <c r="U11" s="725">
        <f>'Données normes'!F73</f>
        <v>0.1</v>
      </c>
      <c r="W11" s="84" t="str">
        <f>'Données normes'!$D$47</f>
        <v>Cidre</v>
      </c>
      <c r="X11" s="741">
        <f>Y11/$B$6</f>
        <v>1.25</v>
      </c>
      <c r="Y11" s="742">
        <f>Y12*AB11</f>
        <v>2500</v>
      </c>
      <c r="Z11" s="672">
        <f>'Données normes'!D51</f>
        <v>0.23</v>
      </c>
      <c r="AA11" s="582">
        <f>Y11*Z11</f>
        <v>575</v>
      </c>
      <c r="AB11" s="725">
        <f>'Données normes'!F74</f>
        <v>0.1</v>
      </c>
      <c r="AD11" s="84" t="str">
        <f>'Données normes'!$D$47</f>
        <v>Cidre</v>
      </c>
      <c r="AE11" s="741">
        <f>AF11/$B$6</f>
        <v>1.75</v>
      </c>
      <c r="AF11" s="742">
        <f>AF12*AI11</f>
        <v>3500</v>
      </c>
      <c r="AG11" s="672">
        <f>'Données normes'!D52</f>
        <v>0.23</v>
      </c>
      <c r="AH11" s="582">
        <f>AF11*AG11</f>
        <v>805</v>
      </c>
      <c r="AI11" s="725">
        <f>'Données normes'!F75</f>
        <v>0.1</v>
      </c>
      <c r="AK11" s="84" t="str">
        <f>'Données normes'!$D$47</f>
        <v>Cidre</v>
      </c>
      <c r="AL11" s="741">
        <f>AM11/$B$6</f>
        <v>2.25</v>
      </c>
      <c r="AM11" s="742">
        <f>AM12*AP11</f>
        <v>4500</v>
      </c>
      <c r="AN11" s="672">
        <f>'Données normes'!D53</f>
        <v>0.23</v>
      </c>
      <c r="AO11" s="582">
        <f>AM11*AN11</f>
        <v>1035</v>
      </c>
      <c r="AP11" s="725">
        <f>'Données normes'!F76</f>
        <v>0.1</v>
      </c>
      <c r="AR11" s="84" t="str">
        <f>'Données normes'!$D$47</f>
        <v>Cidre</v>
      </c>
      <c r="AS11" s="741">
        <f>AT11/$B$6</f>
        <v>2.25</v>
      </c>
      <c r="AT11" s="742">
        <f>AT12*AW11</f>
        <v>4500</v>
      </c>
      <c r="AU11" s="672">
        <f>'Données normes'!D54</f>
        <v>0.23</v>
      </c>
      <c r="AV11" s="582">
        <f>AT11*AU11</f>
        <v>1035</v>
      </c>
      <c r="AW11" s="725">
        <f>'Données normes'!F77</f>
        <v>0.1</v>
      </c>
      <c r="AY11" s="84" t="str">
        <f>'Données normes'!$D$47</f>
        <v>Cidre</v>
      </c>
      <c r="AZ11" s="741">
        <f>BA11/$B$6</f>
        <v>2.25</v>
      </c>
      <c r="BA11" s="742">
        <f>BA12*BD11</f>
        <v>4500</v>
      </c>
      <c r="BB11" s="672">
        <f>'Données normes'!D55</f>
        <v>0.23</v>
      </c>
      <c r="BC11" s="582">
        <f>BA11*BB11</f>
        <v>1035</v>
      </c>
      <c r="BD11" s="725">
        <f>'Données normes'!F78</f>
        <v>0.1</v>
      </c>
      <c r="BF11" s="84" t="str">
        <f>'Données normes'!$D$47</f>
        <v>Cidre</v>
      </c>
      <c r="BG11" s="741">
        <f>BH11/$B$6</f>
        <v>2.25</v>
      </c>
      <c r="BH11" s="742">
        <f>BH12*BK11</f>
        <v>4500</v>
      </c>
      <c r="BI11" s="672">
        <f>'Données normes'!D56</f>
        <v>0.23</v>
      </c>
      <c r="BJ11" s="582">
        <f>BH11*BI11</f>
        <v>1035</v>
      </c>
      <c r="BK11" s="725">
        <f>'Données normes'!F79</f>
        <v>0.1</v>
      </c>
      <c r="BM11" s="84" t="str">
        <f>'Données normes'!$D$47</f>
        <v>Cidre</v>
      </c>
      <c r="BN11" s="741">
        <f>BO11/$B$6</f>
        <v>2.25</v>
      </c>
      <c r="BO11" s="742">
        <f>BO12*BR11</f>
        <v>4500</v>
      </c>
      <c r="BP11" s="672">
        <f>'Données normes'!D57</f>
        <v>0.23</v>
      </c>
      <c r="BQ11" s="582">
        <f>BO11*BP11</f>
        <v>1035</v>
      </c>
      <c r="BR11" s="725">
        <f>'Données normes'!F80</f>
        <v>0.1</v>
      </c>
      <c r="BT11" s="84" t="str">
        <f>'Données normes'!$D$47</f>
        <v>Cidre</v>
      </c>
      <c r="BU11" s="741">
        <f>BV11/$B$6</f>
        <v>2.25</v>
      </c>
      <c r="BV11" s="742">
        <f>BV12*BY11</f>
        <v>4500</v>
      </c>
      <c r="BW11" s="672">
        <f>'Données normes'!D58</f>
        <v>0.23</v>
      </c>
      <c r="BX11" s="582">
        <f>BV11*BW11</f>
        <v>1035</v>
      </c>
      <c r="BY11" s="725">
        <f>'Données normes'!F81</f>
        <v>0.1</v>
      </c>
      <c r="CA11" s="84" t="str">
        <f>'Données normes'!$D$47</f>
        <v>Cidre</v>
      </c>
      <c r="CB11" s="741">
        <f>CC11/$B$6</f>
        <v>2.25</v>
      </c>
      <c r="CC11" s="742">
        <f>CC12*CF11</f>
        <v>4500</v>
      </c>
      <c r="CD11" s="672">
        <f>'Données normes'!D59</f>
        <v>0.23</v>
      </c>
      <c r="CE11" s="582">
        <f>CC11*CD11</f>
        <v>1035</v>
      </c>
      <c r="CF11" s="725">
        <f>'Données normes'!F82</f>
        <v>0.1</v>
      </c>
      <c r="CH11" s="84" t="str">
        <f>'Données normes'!$D$47</f>
        <v>Cidre</v>
      </c>
      <c r="CI11" s="741">
        <f>CJ11/$B$6</f>
        <v>2.25</v>
      </c>
      <c r="CJ11" s="742">
        <f>CJ12*CM11</f>
        <v>4500</v>
      </c>
      <c r="CK11" s="672">
        <f>'Données normes'!D60</f>
        <v>0.23</v>
      </c>
      <c r="CL11" s="582">
        <f>CJ11*CK11</f>
        <v>1035</v>
      </c>
      <c r="CM11" s="725">
        <f>'Données normes'!F83</f>
        <v>0.1</v>
      </c>
      <c r="CO11" s="84" t="str">
        <f>'Données normes'!$D$47</f>
        <v>Cidre</v>
      </c>
      <c r="CP11" s="741">
        <f>CQ11/$B$6</f>
        <v>2.25</v>
      </c>
      <c r="CQ11" s="742">
        <f>CQ12*CT11</f>
        <v>4500</v>
      </c>
      <c r="CR11" s="672">
        <f>'Données normes'!D61</f>
        <v>0.23</v>
      </c>
      <c r="CS11" s="582">
        <f>CQ11*CR11</f>
        <v>1035</v>
      </c>
      <c r="CT11" s="725">
        <f>'Données normes'!F84</f>
        <v>0.1</v>
      </c>
      <c r="CV11" s="84" t="str">
        <f>'Données normes'!$D$47</f>
        <v>Cidre</v>
      </c>
      <c r="CW11" s="741">
        <f>CX11/$B$6</f>
        <v>2.25</v>
      </c>
      <c r="CX11" s="742">
        <f>CX12*DA11</f>
        <v>4500</v>
      </c>
      <c r="CY11" s="672">
        <f>'Données normes'!D62</f>
        <v>0.23</v>
      </c>
      <c r="CZ11" s="582">
        <f>CX11*CY11</f>
        <v>1035</v>
      </c>
      <c r="DA11" s="725">
        <f>'Données normes'!F85</f>
        <v>0.1</v>
      </c>
    </row>
    <row r="12" spans="1:105" s="84" customFormat="1" ht="13" x14ac:dyDescent="0.3">
      <c r="B12" s="144"/>
      <c r="C12" s="306">
        <f>SUM(C9:C11)</f>
        <v>0</v>
      </c>
      <c r="D12" s="307">
        <f>'Données normes'!E48</f>
        <v>0</v>
      </c>
      <c r="E12" s="289">
        <v>0</v>
      </c>
      <c r="F12" s="82">
        <f>SUM(F9:F11)</f>
        <v>0</v>
      </c>
      <c r="G12" s="725">
        <f>SUM(G9:G11)</f>
        <v>0.99999999999999989</v>
      </c>
      <c r="I12" s="144"/>
      <c r="J12" s="306">
        <f>SUM(J9:J11)</f>
        <v>2.5</v>
      </c>
      <c r="K12" s="307">
        <f>'Données normes'!E49</f>
        <v>5000</v>
      </c>
      <c r="L12" s="289">
        <f>M12/K12</f>
        <v>0.89700000000000002</v>
      </c>
      <c r="M12" s="82">
        <f>SUM(M9:M11)</f>
        <v>4485</v>
      </c>
      <c r="N12" s="725">
        <f>SUM(N9:N11)</f>
        <v>0.99999999999999989</v>
      </c>
      <c r="P12" s="144"/>
      <c r="Q12" s="306">
        <f>SUM(Q9:Q11)</f>
        <v>9</v>
      </c>
      <c r="R12" s="307">
        <f>'Données normes'!E50</f>
        <v>18000</v>
      </c>
      <c r="S12" s="289">
        <f>T12/R12</f>
        <v>0.89700000000000013</v>
      </c>
      <c r="T12" s="82">
        <f>SUM(T9:T11)</f>
        <v>16146.000000000002</v>
      </c>
      <c r="U12" s="725">
        <f>SUM(U9:U11)</f>
        <v>0.99999999999999989</v>
      </c>
      <c r="W12" s="144"/>
      <c r="X12" s="306">
        <f>SUM(X9:X11)</f>
        <v>12.5</v>
      </c>
      <c r="Y12" s="307">
        <f>'Données normes'!E51</f>
        <v>25000</v>
      </c>
      <c r="Z12" s="289">
        <f>AA12/Y12</f>
        <v>0.89700000000000013</v>
      </c>
      <c r="AA12" s="82">
        <f>SUM(AA9:AA11)</f>
        <v>22425.000000000004</v>
      </c>
      <c r="AB12" s="725">
        <f>SUM(AB9:AB11)</f>
        <v>0.99999999999999989</v>
      </c>
      <c r="AD12" s="144"/>
      <c r="AE12" s="306">
        <f>SUM(AE9:AE11)</f>
        <v>17.5</v>
      </c>
      <c r="AF12" s="307">
        <f>'Données normes'!E52</f>
        <v>35000</v>
      </c>
      <c r="AG12" s="289">
        <f>AH12/AF12</f>
        <v>0.89700000000000013</v>
      </c>
      <c r="AH12" s="82">
        <f>SUM(AH9:AH11)</f>
        <v>31395.000000000004</v>
      </c>
      <c r="AI12" s="725">
        <f>SUM(AI9:AI11)</f>
        <v>0.99999999999999989</v>
      </c>
      <c r="AK12" s="144"/>
      <c r="AL12" s="306">
        <f>SUM(AL9:AL11)</f>
        <v>22.5</v>
      </c>
      <c r="AM12" s="307">
        <f>'Données normes'!E53</f>
        <v>45000</v>
      </c>
      <c r="AN12" s="289">
        <f>AO12/AM12</f>
        <v>0.89700000000000002</v>
      </c>
      <c r="AO12" s="82">
        <f>SUM(AO9:AO11)</f>
        <v>40365</v>
      </c>
      <c r="AP12" s="725">
        <f>SUM(AP9:AP11)</f>
        <v>0.99999999999999989</v>
      </c>
      <c r="AR12" s="144"/>
      <c r="AS12" s="306">
        <f>SUM(AS9:AS11)</f>
        <v>22.5</v>
      </c>
      <c r="AT12" s="307">
        <f>'Données normes'!E54</f>
        <v>45000</v>
      </c>
      <c r="AU12" s="289">
        <f>AV12/AT12</f>
        <v>0.89700000000000002</v>
      </c>
      <c r="AV12" s="82">
        <f>SUM(AV9:AV11)</f>
        <v>40365</v>
      </c>
      <c r="AW12" s="725">
        <f>SUM(AW9:AW11)</f>
        <v>0.99999999999999989</v>
      </c>
      <c r="AY12" s="144"/>
      <c r="AZ12" s="306">
        <f>SUM(AZ9:AZ11)</f>
        <v>22.5</v>
      </c>
      <c r="BA12" s="307">
        <f>'Données normes'!E55</f>
        <v>45000</v>
      </c>
      <c r="BB12" s="289">
        <f>BC12/BA12</f>
        <v>0.89700000000000002</v>
      </c>
      <c r="BC12" s="82">
        <f>SUM(BC9:BC11)</f>
        <v>40365</v>
      </c>
      <c r="BD12" s="725">
        <f>SUM(BD9:BD11)</f>
        <v>0.99999999999999989</v>
      </c>
      <c r="BF12" s="144"/>
      <c r="BG12" s="306">
        <f>SUM(BG9:BG11)</f>
        <v>22.5</v>
      </c>
      <c r="BH12" s="307">
        <f>'Données normes'!E56</f>
        <v>45000</v>
      </c>
      <c r="BI12" s="289">
        <f>BJ12/BH12</f>
        <v>0.89700000000000002</v>
      </c>
      <c r="BJ12" s="82">
        <f>SUM(BJ9:BJ11)</f>
        <v>40365</v>
      </c>
      <c r="BK12" s="725">
        <f>SUM(BK9:BK11)</f>
        <v>0.99999999999999989</v>
      </c>
      <c r="BM12" s="144"/>
      <c r="BN12" s="306">
        <f>SUM(BN9:BN11)</f>
        <v>22.5</v>
      </c>
      <c r="BO12" s="307">
        <f>'Données normes'!E57</f>
        <v>45000</v>
      </c>
      <c r="BP12" s="289">
        <f>BQ12/BO12</f>
        <v>0.86350000000000005</v>
      </c>
      <c r="BQ12" s="82">
        <f>SUM(BQ9:BQ11)</f>
        <v>38857.5</v>
      </c>
      <c r="BR12" s="725">
        <f>SUM(BR9:BR11)</f>
        <v>1</v>
      </c>
      <c r="BT12" s="144"/>
      <c r="BU12" s="306">
        <f>SUM(BU9:BU11)</f>
        <v>22.5</v>
      </c>
      <c r="BV12" s="307">
        <f>'Données normes'!E58</f>
        <v>45000</v>
      </c>
      <c r="BW12" s="289">
        <f>BX12/BV12</f>
        <v>0.86350000000000005</v>
      </c>
      <c r="BX12" s="82">
        <f>SUM(BX9:BX11)</f>
        <v>38857.5</v>
      </c>
      <c r="BY12" s="725">
        <f>SUM(BY9:BY11)</f>
        <v>1</v>
      </c>
      <c r="CA12" s="144"/>
      <c r="CB12" s="306">
        <f>SUM(CB9:CB11)</f>
        <v>22.5</v>
      </c>
      <c r="CC12" s="307">
        <f>'Données normes'!E59</f>
        <v>45000</v>
      </c>
      <c r="CD12" s="289">
        <f>CE12/CC12</f>
        <v>0.86350000000000005</v>
      </c>
      <c r="CE12" s="82">
        <f>SUM(CE9:CE11)</f>
        <v>38857.5</v>
      </c>
      <c r="CF12" s="725">
        <f>SUM(CF9:CF11)</f>
        <v>1</v>
      </c>
      <c r="CH12" s="144"/>
      <c r="CI12" s="306">
        <f>SUM(CI9:CI11)</f>
        <v>22.5</v>
      </c>
      <c r="CJ12" s="307">
        <f>'Données normes'!E60</f>
        <v>45000</v>
      </c>
      <c r="CK12" s="289">
        <f>CL12/CJ12</f>
        <v>0.83</v>
      </c>
      <c r="CL12" s="82">
        <f>SUM(CL9:CL11)</f>
        <v>37350</v>
      </c>
      <c r="CM12" s="725">
        <f>SUM(CM9:CM11)</f>
        <v>0.99999999999999989</v>
      </c>
      <c r="CO12" s="144"/>
      <c r="CP12" s="306">
        <f>SUM(CP9:CP11)</f>
        <v>22.5</v>
      </c>
      <c r="CQ12" s="307">
        <f>'Données normes'!E61</f>
        <v>45000</v>
      </c>
      <c r="CR12" s="289">
        <f>CS12/CQ12</f>
        <v>0.83</v>
      </c>
      <c r="CS12" s="82">
        <f>SUM(CS9:CS11)</f>
        <v>37350</v>
      </c>
      <c r="CT12" s="725">
        <f>SUM(CT9:CT11)</f>
        <v>0.99999999999999989</v>
      </c>
      <c r="CV12" s="144"/>
      <c r="CW12" s="306">
        <f>SUM(CW9:CW11)</f>
        <v>22.5</v>
      </c>
      <c r="CX12" s="307">
        <f>'Données normes'!E62</f>
        <v>45000</v>
      </c>
      <c r="CY12" s="289">
        <f>CZ12/CX12</f>
        <v>0.83</v>
      </c>
      <c r="CZ12" s="82">
        <f>SUM(CZ9:CZ11)</f>
        <v>37350</v>
      </c>
      <c r="DA12" s="725">
        <f>SUM(DA9:DA11)</f>
        <v>0.99999999999999989</v>
      </c>
    </row>
    <row r="13" spans="1:105" s="84" customFormat="1" ht="13" x14ac:dyDescent="0.3">
      <c r="B13" s="144"/>
      <c r="C13" s="306"/>
      <c r="D13" s="307"/>
      <c r="E13" s="289"/>
      <c r="F13" s="82"/>
      <c r="G13" s="214"/>
      <c r="I13" s="144"/>
      <c r="J13" s="306"/>
      <c r="K13" s="307"/>
      <c r="L13" s="289"/>
      <c r="M13" s="82"/>
      <c r="N13" s="214"/>
      <c r="P13" s="144"/>
      <c r="Q13" s="306"/>
      <c r="R13" s="307"/>
      <c r="S13" s="289"/>
      <c r="T13" s="82"/>
      <c r="U13" s="214"/>
      <c r="W13" s="144"/>
      <c r="X13" s="306"/>
      <c r="Y13" s="307"/>
      <c r="Z13" s="289"/>
      <c r="AA13" s="82"/>
      <c r="AB13" s="214"/>
      <c r="AD13" s="144"/>
      <c r="AE13" s="306"/>
      <c r="AF13" s="307"/>
      <c r="AG13" s="289"/>
      <c r="AH13" s="82"/>
      <c r="AI13" s="214"/>
      <c r="AK13" s="144"/>
      <c r="AL13" s="306"/>
      <c r="AM13" s="307"/>
      <c r="AN13" s="289"/>
      <c r="AO13" s="82"/>
      <c r="AP13" s="214"/>
      <c r="AR13" s="144"/>
      <c r="AS13" s="306"/>
      <c r="AT13" s="307"/>
      <c r="AU13" s="289"/>
      <c r="AV13" s="82"/>
      <c r="AW13" s="214"/>
      <c r="AY13" s="144"/>
      <c r="AZ13" s="306"/>
      <c r="BA13" s="307"/>
      <c r="BB13" s="289"/>
      <c r="BC13" s="82"/>
      <c r="BD13" s="214"/>
      <c r="BF13" s="144"/>
      <c r="BG13" s="306"/>
      <c r="BH13" s="307"/>
      <c r="BI13" s="289"/>
      <c r="BJ13" s="82"/>
      <c r="BK13" s="214"/>
      <c r="BM13" s="144"/>
      <c r="BN13" s="306"/>
      <c r="BO13" s="307"/>
      <c r="BP13" s="289"/>
      <c r="BQ13" s="82"/>
      <c r="BR13" s="214"/>
      <c r="BT13" s="144"/>
      <c r="BU13" s="306"/>
      <c r="BV13" s="307"/>
      <c r="BW13" s="289"/>
      <c r="BX13" s="82"/>
      <c r="BY13" s="214"/>
      <c r="CA13" s="144"/>
      <c r="CB13" s="306"/>
      <c r="CC13" s="307"/>
      <c r="CD13" s="289"/>
      <c r="CE13" s="82"/>
      <c r="CF13" s="214"/>
      <c r="CH13" s="144"/>
      <c r="CI13" s="306"/>
      <c r="CJ13" s="307"/>
      <c r="CK13" s="289"/>
      <c r="CL13" s="82"/>
      <c r="CM13" s="214"/>
      <c r="CO13" s="144"/>
      <c r="CP13" s="306"/>
      <c r="CQ13" s="307"/>
      <c r="CR13" s="289"/>
      <c r="CS13" s="82"/>
      <c r="CT13" s="214"/>
      <c r="CV13" s="144"/>
      <c r="CW13" s="306"/>
      <c r="CX13" s="307"/>
      <c r="CY13" s="289"/>
      <c r="CZ13" s="82"/>
      <c r="DA13" s="214"/>
    </row>
    <row r="14" spans="1:105" s="84" customFormat="1" ht="13" x14ac:dyDescent="0.3">
      <c r="B14" s="84" t="str">
        <f>'Données normes'!$A$39</f>
        <v>Paiements directs PER</v>
      </c>
      <c r="C14" s="306"/>
      <c r="D14" s="307"/>
      <c r="E14" s="289"/>
      <c r="F14" s="148">
        <f>'Données normes'!$C$39</f>
        <v>1100</v>
      </c>
      <c r="G14" s="214"/>
      <c r="I14" s="84" t="str">
        <f>'Données normes'!$A$39</f>
        <v>Paiements directs PER</v>
      </c>
      <c r="J14" s="306"/>
      <c r="K14" s="307"/>
      <c r="L14" s="289"/>
      <c r="M14" s="148">
        <f>'Données normes'!$C$39</f>
        <v>1100</v>
      </c>
      <c r="N14" s="214"/>
      <c r="P14" s="84" t="str">
        <f>'Données normes'!$A$39</f>
        <v>Paiements directs PER</v>
      </c>
      <c r="Q14" s="306"/>
      <c r="R14" s="307"/>
      <c r="S14" s="289"/>
      <c r="T14" s="148">
        <f>'Données normes'!$C$39</f>
        <v>1100</v>
      </c>
      <c r="U14" s="214"/>
      <c r="W14" s="84" t="str">
        <f>'Données normes'!$A$39</f>
        <v>Paiements directs PER</v>
      </c>
      <c r="X14" s="306"/>
      <c r="Y14" s="307"/>
      <c r="Z14" s="289"/>
      <c r="AA14" s="148">
        <f>'Données normes'!$C$39</f>
        <v>1100</v>
      </c>
      <c r="AB14" s="214"/>
      <c r="AD14" s="84" t="str">
        <f>'Données normes'!$A$39</f>
        <v>Paiements directs PER</v>
      </c>
      <c r="AE14" s="306"/>
      <c r="AF14" s="307"/>
      <c r="AG14" s="289"/>
      <c r="AH14" s="148">
        <f>'Données normes'!$C$39</f>
        <v>1100</v>
      </c>
      <c r="AI14" s="214"/>
      <c r="AK14" s="84" t="str">
        <f>'Données normes'!$A$39</f>
        <v>Paiements directs PER</v>
      </c>
      <c r="AL14" s="306"/>
      <c r="AM14" s="307"/>
      <c r="AN14" s="289"/>
      <c r="AO14" s="148">
        <f>'Données normes'!$C$39</f>
        <v>1100</v>
      </c>
      <c r="AP14" s="214"/>
      <c r="AR14" s="84" t="str">
        <f>'Données normes'!$A$39</f>
        <v>Paiements directs PER</v>
      </c>
      <c r="AS14" s="306"/>
      <c r="AT14" s="307"/>
      <c r="AU14" s="289"/>
      <c r="AV14" s="148">
        <f>'Données normes'!$C$39</f>
        <v>1100</v>
      </c>
      <c r="AW14" s="214"/>
      <c r="AY14" s="84" t="str">
        <f>'Données normes'!$A$39</f>
        <v>Paiements directs PER</v>
      </c>
      <c r="AZ14" s="306"/>
      <c r="BA14" s="307"/>
      <c r="BB14" s="289"/>
      <c r="BC14" s="148">
        <f>'Données normes'!$C$39</f>
        <v>1100</v>
      </c>
      <c r="BD14" s="214"/>
      <c r="BF14" s="84" t="str">
        <f>'Données normes'!$A$39</f>
        <v>Paiements directs PER</v>
      </c>
      <c r="BG14" s="306"/>
      <c r="BH14" s="307"/>
      <c r="BI14" s="289"/>
      <c r="BJ14" s="148">
        <f>'Données normes'!$C$39</f>
        <v>1100</v>
      </c>
      <c r="BK14" s="214"/>
      <c r="BM14" s="84" t="str">
        <f>'Données normes'!$A$39</f>
        <v>Paiements directs PER</v>
      </c>
      <c r="BN14" s="306"/>
      <c r="BO14" s="307"/>
      <c r="BP14" s="289"/>
      <c r="BQ14" s="148">
        <f>'Données normes'!$C$39</f>
        <v>1100</v>
      </c>
      <c r="BR14" s="214"/>
      <c r="BT14" s="84" t="str">
        <f>'Données normes'!$A$39</f>
        <v>Paiements directs PER</v>
      </c>
      <c r="BU14" s="306"/>
      <c r="BV14" s="307"/>
      <c r="BW14" s="289"/>
      <c r="BX14" s="148">
        <f>'Données normes'!$C$39</f>
        <v>1100</v>
      </c>
      <c r="BY14" s="214"/>
      <c r="CA14" s="84" t="str">
        <f>'Données normes'!$A$39</f>
        <v>Paiements directs PER</v>
      </c>
      <c r="CB14" s="306"/>
      <c r="CC14" s="307"/>
      <c r="CD14" s="289"/>
      <c r="CE14" s="148">
        <f>'Données normes'!$C$39</f>
        <v>1100</v>
      </c>
      <c r="CF14" s="214"/>
      <c r="CH14" s="84" t="str">
        <f>'Données normes'!$A$39</f>
        <v>Paiements directs PER</v>
      </c>
      <c r="CI14" s="306"/>
      <c r="CJ14" s="307"/>
      <c r="CK14" s="289"/>
      <c r="CL14" s="148">
        <f>'Données normes'!$C$39</f>
        <v>1100</v>
      </c>
      <c r="CM14" s="214"/>
      <c r="CO14" s="84" t="str">
        <f>'Données normes'!$A$39</f>
        <v>Paiements directs PER</v>
      </c>
      <c r="CP14" s="306"/>
      <c r="CQ14" s="307"/>
      <c r="CR14" s="289"/>
      <c r="CS14" s="148">
        <f>'Données normes'!$C$39</f>
        <v>1100</v>
      </c>
      <c r="CT14" s="214"/>
      <c r="CV14" s="84" t="str">
        <f>'Données normes'!$A$39</f>
        <v>Paiements directs PER</v>
      </c>
      <c r="CW14" s="306"/>
      <c r="CX14" s="307"/>
      <c r="CY14" s="289"/>
      <c r="CZ14" s="148">
        <f>'Données normes'!$C$39</f>
        <v>1100</v>
      </c>
      <c r="DA14" s="214"/>
    </row>
    <row r="15" spans="1:105" s="310" customFormat="1" ht="23.25" customHeight="1" x14ac:dyDescent="0.4">
      <c r="A15" s="737" t="s">
        <v>367</v>
      </c>
      <c r="B15" s="738"/>
      <c r="C15" s="738"/>
      <c r="D15" s="738"/>
      <c r="E15" s="738"/>
      <c r="F15" s="590">
        <f>SUM(F12:F14)</f>
        <v>1100</v>
      </c>
      <c r="G15" s="685"/>
      <c r="H15" s="737" t="s">
        <v>367</v>
      </c>
      <c r="I15" s="738"/>
      <c r="J15" s="738"/>
      <c r="K15" s="738"/>
      <c r="L15" s="738"/>
      <c r="M15" s="590">
        <f>SUM(M12:M14)</f>
        <v>5585</v>
      </c>
      <c r="N15" s="685"/>
      <c r="O15" s="737" t="s">
        <v>367</v>
      </c>
      <c r="P15" s="738"/>
      <c r="Q15" s="738"/>
      <c r="R15" s="738"/>
      <c r="S15" s="738"/>
      <c r="T15" s="590">
        <f>SUM(T12:T14)</f>
        <v>17246</v>
      </c>
      <c r="U15" s="685"/>
      <c r="V15" s="737" t="s">
        <v>367</v>
      </c>
      <c r="W15" s="738"/>
      <c r="X15" s="738"/>
      <c r="Y15" s="738"/>
      <c r="Z15" s="738"/>
      <c r="AA15" s="590">
        <f>SUM(AA12:AA14)</f>
        <v>23525.000000000004</v>
      </c>
      <c r="AB15" s="685"/>
      <c r="AC15" s="737" t="s">
        <v>367</v>
      </c>
      <c r="AD15" s="738"/>
      <c r="AE15" s="738"/>
      <c r="AF15" s="738"/>
      <c r="AG15" s="738"/>
      <c r="AH15" s="590">
        <f>SUM(AH12:AH14)</f>
        <v>32495.000000000004</v>
      </c>
      <c r="AI15" s="685"/>
      <c r="AJ15" s="737" t="s">
        <v>367</v>
      </c>
      <c r="AK15" s="738"/>
      <c r="AL15" s="738"/>
      <c r="AM15" s="738"/>
      <c r="AN15" s="738"/>
      <c r="AO15" s="590">
        <f>SUM(AO12:AO14)</f>
        <v>41465</v>
      </c>
      <c r="AP15" s="685"/>
      <c r="AQ15" s="737" t="s">
        <v>367</v>
      </c>
      <c r="AR15" s="738"/>
      <c r="AS15" s="738"/>
      <c r="AT15" s="738"/>
      <c r="AU15" s="738"/>
      <c r="AV15" s="590">
        <f>SUM(AV12:AV14)</f>
        <v>41465</v>
      </c>
      <c r="AW15" s="685"/>
      <c r="AX15" s="737" t="s">
        <v>367</v>
      </c>
      <c r="AY15" s="738"/>
      <c r="AZ15" s="738"/>
      <c r="BA15" s="738"/>
      <c r="BB15" s="738"/>
      <c r="BC15" s="590">
        <f>SUM(BC12:BC14)</f>
        <v>41465</v>
      </c>
      <c r="BD15" s="685"/>
      <c r="BE15" s="737" t="s">
        <v>367</v>
      </c>
      <c r="BF15" s="738"/>
      <c r="BG15" s="738"/>
      <c r="BH15" s="738"/>
      <c r="BI15" s="738"/>
      <c r="BJ15" s="590">
        <f>SUM(BJ12:BJ14)</f>
        <v>41465</v>
      </c>
      <c r="BK15" s="685"/>
      <c r="BL15" s="737" t="s">
        <v>367</v>
      </c>
      <c r="BM15" s="738"/>
      <c r="BN15" s="738"/>
      <c r="BO15" s="738"/>
      <c r="BP15" s="738"/>
      <c r="BQ15" s="590">
        <f>SUM(BQ12:BQ14)</f>
        <v>39957.5</v>
      </c>
      <c r="BR15" s="685"/>
      <c r="BS15" s="737" t="s">
        <v>367</v>
      </c>
      <c r="BT15" s="738"/>
      <c r="BU15" s="738"/>
      <c r="BV15" s="738"/>
      <c r="BW15" s="738"/>
      <c r="BX15" s="590">
        <f>SUM(BX12:BX14)</f>
        <v>39957.5</v>
      </c>
      <c r="BY15" s="685"/>
      <c r="BZ15" s="737" t="s">
        <v>367</v>
      </c>
      <c r="CA15" s="738"/>
      <c r="CB15" s="738"/>
      <c r="CC15" s="738"/>
      <c r="CD15" s="738"/>
      <c r="CE15" s="590">
        <f>SUM(CE12:CE14)</f>
        <v>39957.5</v>
      </c>
      <c r="CF15" s="685"/>
      <c r="CG15" s="737" t="s">
        <v>367</v>
      </c>
      <c r="CH15" s="738"/>
      <c r="CI15" s="738"/>
      <c r="CJ15" s="738"/>
      <c r="CK15" s="738"/>
      <c r="CL15" s="590">
        <f>SUM(CL12:CL14)</f>
        <v>38450</v>
      </c>
      <c r="CM15" s="685"/>
      <c r="CN15" s="737" t="s">
        <v>367</v>
      </c>
      <c r="CO15" s="738"/>
      <c r="CP15" s="738"/>
      <c r="CQ15" s="738"/>
      <c r="CR15" s="738"/>
      <c r="CS15" s="590">
        <f>SUM(CS12:CS14)</f>
        <v>38450</v>
      </c>
      <c r="CT15" s="685"/>
      <c r="CU15" s="737" t="s">
        <v>367</v>
      </c>
      <c r="CV15" s="738"/>
      <c r="CW15" s="738"/>
      <c r="CX15" s="738"/>
      <c r="CY15" s="738"/>
      <c r="CZ15" s="590">
        <f>SUM(CZ12:CZ14)</f>
        <v>38450</v>
      </c>
      <c r="DA15" s="685"/>
    </row>
    <row r="16" spans="1:105" s="15" customFormat="1" ht="12.5" x14ac:dyDescent="0.25">
      <c r="A16" s="39"/>
      <c r="B16" s="4"/>
      <c r="C16" s="26" t="s">
        <v>244</v>
      </c>
      <c r="D16" s="26" t="s">
        <v>55</v>
      </c>
      <c r="E16" s="27" t="s">
        <v>240</v>
      </c>
      <c r="F16" s="31" t="s">
        <v>343</v>
      </c>
      <c r="G16" s="732" t="s">
        <v>56</v>
      </c>
      <c r="H16" s="39"/>
      <c r="I16" s="4"/>
      <c r="J16" s="26" t="s">
        <v>244</v>
      </c>
      <c r="K16" s="26" t="s">
        <v>55</v>
      </c>
      <c r="L16" s="27" t="s">
        <v>240</v>
      </c>
      <c r="M16" s="31" t="s">
        <v>343</v>
      </c>
      <c r="N16" s="732" t="s">
        <v>56</v>
      </c>
      <c r="O16" s="39"/>
      <c r="P16" s="4"/>
      <c r="Q16" s="26" t="s">
        <v>244</v>
      </c>
      <c r="R16" s="26" t="s">
        <v>55</v>
      </c>
      <c r="S16" s="27" t="s">
        <v>240</v>
      </c>
      <c r="T16" s="31" t="s">
        <v>343</v>
      </c>
      <c r="U16" s="732" t="s">
        <v>56</v>
      </c>
      <c r="V16" s="39"/>
      <c r="W16" s="4"/>
      <c r="X16" s="26" t="s">
        <v>244</v>
      </c>
      <c r="Y16" s="26" t="s">
        <v>55</v>
      </c>
      <c r="Z16" s="27" t="s">
        <v>240</v>
      </c>
      <c r="AA16" s="31" t="s">
        <v>343</v>
      </c>
      <c r="AB16" s="732" t="s">
        <v>56</v>
      </c>
      <c r="AC16" s="39"/>
      <c r="AD16" s="4"/>
      <c r="AE16" s="26" t="s">
        <v>244</v>
      </c>
      <c r="AF16" s="26" t="s">
        <v>55</v>
      </c>
      <c r="AG16" s="27" t="s">
        <v>240</v>
      </c>
      <c r="AH16" s="31" t="s">
        <v>343</v>
      </c>
      <c r="AI16" s="732" t="s">
        <v>56</v>
      </c>
      <c r="AJ16" s="39"/>
      <c r="AK16" s="4"/>
      <c r="AL16" s="26" t="s">
        <v>244</v>
      </c>
      <c r="AM16" s="26" t="s">
        <v>55</v>
      </c>
      <c r="AN16" s="27" t="s">
        <v>240</v>
      </c>
      <c r="AO16" s="31" t="s">
        <v>343</v>
      </c>
      <c r="AP16" s="732" t="s">
        <v>56</v>
      </c>
      <c r="AQ16" s="39"/>
      <c r="AR16" s="4"/>
      <c r="AS16" s="26" t="s">
        <v>244</v>
      </c>
      <c r="AT16" s="26" t="s">
        <v>55</v>
      </c>
      <c r="AU16" s="27" t="s">
        <v>240</v>
      </c>
      <c r="AV16" s="31" t="s">
        <v>343</v>
      </c>
      <c r="AW16" s="732" t="s">
        <v>56</v>
      </c>
      <c r="AX16" s="39"/>
      <c r="AY16" s="4"/>
      <c r="AZ16" s="26" t="s">
        <v>244</v>
      </c>
      <c r="BA16" s="26" t="s">
        <v>55</v>
      </c>
      <c r="BB16" s="27" t="s">
        <v>240</v>
      </c>
      <c r="BC16" s="31" t="s">
        <v>343</v>
      </c>
      <c r="BD16" s="732" t="s">
        <v>56</v>
      </c>
      <c r="BE16" s="39"/>
      <c r="BF16" s="4"/>
      <c r="BG16" s="26" t="s">
        <v>244</v>
      </c>
      <c r="BH16" s="26" t="s">
        <v>55</v>
      </c>
      <c r="BI16" s="27" t="s">
        <v>240</v>
      </c>
      <c r="BJ16" s="31" t="s">
        <v>343</v>
      </c>
      <c r="BK16" s="732" t="s">
        <v>56</v>
      </c>
      <c r="BL16" s="39"/>
      <c r="BM16" s="4"/>
      <c r="BN16" s="26" t="s">
        <v>244</v>
      </c>
      <c r="BO16" s="26" t="s">
        <v>55</v>
      </c>
      <c r="BP16" s="27" t="s">
        <v>240</v>
      </c>
      <c r="BQ16" s="31" t="s">
        <v>343</v>
      </c>
      <c r="BR16" s="732" t="s">
        <v>56</v>
      </c>
      <c r="BS16" s="39"/>
      <c r="BT16" s="4"/>
      <c r="BU16" s="26" t="s">
        <v>244</v>
      </c>
      <c r="BV16" s="26" t="s">
        <v>55</v>
      </c>
      <c r="BW16" s="27" t="s">
        <v>240</v>
      </c>
      <c r="BX16" s="31" t="s">
        <v>343</v>
      </c>
      <c r="BY16" s="732" t="s">
        <v>56</v>
      </c>
      <c r="BZ16" s="39"/>
      <c r="CA16" s="4"/>
      <c r="CB16" s="26" t="s">
        <v>244</v>
      </c>
      <c r="CC16" s="26" t="s">
        <v>55</v>
      </c>
      <c r="CD16" s="27" t="s">
        <v>240</v>
      </c>
      <c r="CE16" s="31" t="s">
        <v>343</v>
      </c>
      <c r="CF16" s="732" t="s">
        <v>56</v>
      </c>
      <c r="CG16" s="39"/>
      <c r="CH16" s="4"/>
      <c r="CI16" s="26" t="s">
        <v>244</v>
      </c>
      <c r="CJ16" s="26" t="s">
        <v>55</v>
      </c>
      <c r="CK16" s="27" t="s">
        <v>240</v>
      </c>
      <c r="CL16" s="31" t="s">
        <v>343</v>
      </c>
      <c r="CM16" s="732" t="s">
        <v>56</v>
      </c>
      <c r="CN16" s="39"/>
      <c r="CO16" s="4"/>
      <c r="CP16" s="26" t="s">
        <v>244</v>
      </c>
      <c r="CQ16" s="26" t="s">
        <v>55</v>
      </c>
      <c r="CR16" s="27" t="s">
        <v>240</v>
      </c>
      <c r="CS16" s="31" t="s">
        <v>343</v>
      </c>
      <c r="CT16" s="732" t="s">
        <v>56</v>
      </c>
      <c r="CU16" s="39"/>
      <c r="CV16" s="4"/>
      <c r="CW16" s="26" t="s">
        <v>244</v>
      </c>
      <c r="CX16" s="26" t="s">
        <v>55</v>
      </c>
      <c r="CY16" s="27" t="s">
        <v>240</v>
      </c>
      <c r="CZ16" s="31" t="s">
        <v>343</v>
      </c>
      <c r="DA16" s="732" t="s">
        <v>56</v>
      </c>
    </row>
    <row r="17" spans="1:105" s="39" customFormat="1" ht="13" x14ac:dyDescent="0.3">
      <c r="A17" s="38" t="s">
        <v>353</v>
      </c>
      <c r="C17" s="40"/>
      <c r="D17" s="40"/>
      <c r="E17" s="622"/>
      <c r="F17" s="465"/>
      <c r="G17" s="732"/>
      <c r="H17" s="38" t="s">
        <v>353</v>
      </c>
      <c r="J17" s="40"/>
      <c r="K17" s="40"/>
      <c r="L17" s="622"/>
      <c r="M17" s="465"/>
      <c r="N17" s="732"/>
      <c r="O17" s="38" t="s">
        <v>353</v>
      </c>
      <c r="Q17" s="40"/>
      <c r="R17" s="40"/>
      <c r="S17" s="622"/>
      <c r="T17" s="465"/>
      <c r="U17" s="732"/>
      <c r="V17" s="38" t="s">
        <v>353</v>
      </c>
      <c r="X17" s="40"/>
      <c r="Y17" s="40"/>
      <c r="Z17" s="622"/>
      <c r="AA17" s="465"/>
      <c r="AB17" s="732"/>
      <c r="AC17" s="38" t="s">
        <v>353</v>
      </c>
      <c r="AE17" s="40"/>
      <c r="AF17" s="40"/>
      <c r="AG17" s="622"/>
      <c r="AH17" s="465"/>
      <c r="AI17" s="732"/>
      <c r="AJ17" s="38" t="s">
        <v>353</v>
      </c>
      <c r="AL17" s="40"/>
      <c r="AM17" s="40"/>
      <c r="AN17" s="622"/>
      <c r="AO17" s="465"/>
      <c r="AP17" s="732"/>
      <c r="AQ17" s="38" t="s">
        <v>353</v>
      </c>
      <c r="AS17" s="40"/>
      <c r="AT17" s="40"/>
      <c r="AU17" s="622"/>
      <c r="AV17" s="465"/>
      <c r="AW17" s="732"/>
      <c r="AX17" s="38" t="s">
        <v>353</v>
      </c>
      <c r="AZ17" s="40"/>
      <c r="BA17" s="40"/>
      <c r="BB17" s="622"/>
      <c r="BC17" s="465"/>
      <c r="BD17" s="732"/>
      <c r="BE17" s="38" t="s">
        <v>353</v>
      </c>
      <c r="BG17" s="40"/>
      <c r="BH17" s="40"/>
      <c r="BI17" s="622"/>
      <c r="BJ17" s="465"/>
      <c r="BK17" s="732"/>
      <c r="BL17" s="38" t="s">
        <v>353</v>
      </c>
      <c r="BN17" s="40"/>
      <c r="BO17" s="40"/>
      <c r="BP17" s="622"/>
      <c r="BQ17" s="465"/>
      <c r="BR17" s="732"/>
      <c r="BS17" s="38" t="s">
        <v>353</v>
      </c>
      <c r="BU17" s="40"/>
      <c r="BV17" s="40"/>
      <c r="BW17" s="622"/>
      <c r="BX17" s="465"/>
      <c r="BY17" s="732"/>
      <c r="BZ17" s="38" t="s">
        <v>353</v>
      </c>
      <c r="CB17" s="40"/>
      <c r="CC17" s="40"/>
      <c r="CD17" s="622"/>
      <c r="CE17" s="465"/>
      <c r="CF17" s="732"/>
      <c r="CG17" s="38" t="s">
        <v>353</v>
      </c>
      <c r="CI17" s="40"/>
      <c r="CJ17" s="40"/>
      <c r="CK17" s="622"/>
      <c r="CL17" s="465"/>
      <c r="CM17" s="732"/>
      <c r="CN17" s="38" t="s">
        <v>353</v>
      </c>
      <c r="CP17" s="40"/>
      <c r="CQ17" s="40"/>
      <c r="CR17" s="622"/>
      <c r="CS17" s="465"/>
      <c r="CT17" s="732"/>
      <c r="CU17" s="38" t="s">
        <v>353</v>
      </c>
      <c r="CW17" s="40"/>
      <c r="CX17" s="40"/>
      <c r="CY17" s="622"/>
      <c r="CZ17" s="465"/>
      <c r="DA17" s="732"/>
    </row>
    <row r="18" spans="1:105" s="13" customFormat="1" ht="13" x14ac:dyDescent="0.3">
      <c r="A18" s="38"/>
      <c r="B18" s="28" t="str">
        <f>'Données normes'!B100</f>
        <v>Nitrate d'ammoniaque</v>
      </c>
      <c r="C18" s="748">
        <f>'Données normes'!B106</f>
        <v>0</v>
      </c>
      <c r="D18" s="104">
        <f>'Données normes'!B105</f>
        <v>50</v>
      </c>
      <c r="E18" s="105">
        <f>'Données normes'!B101</f>
        <v>0.42</v>
      </c>
      <c r="F18" s="29">
        <f>D18*E18*C18</f>
        <v>0</v>
      </c>
      <c r="G18" s="733">
        <f>F18/$F$76</f>
        <v>0</v>
      </c>
      <c r="H18" s="38"/>
      <c r="I18" s="28" t="str">
        <f>'Données normes'!B100</f>
        <v>Nitrate d'ammoniaque</v>
      </c>
      <c r="J18" s="748">
        <f>'Données normes'!B108</f>
        <v>1</v>
      </c>
      <c r="K18" s="104">
        <f>'Données normes'!B107</f>
        <v>100</v>
      </c>
      <c r="L18" s="105">
        <f>'Données normes'!B101</f>
        <v>0.42</v>
      </c>
      <c r="M18" s="29">
        <f>K18*L18</f>
        <v>42</v>
      </c>
      <c r="N18" s="733">
        <f>M18/$M$76</f>
        <v>3.0203176194538071E-3</v>
      </c>
      <c r="O18" s="38"/>
      <c r="P18" s="28" t="str">
        <f>'Données normes'!B100</f>
        <v>Nitrate d'ammoniaque</v>
      </c>
      <c r="Q18" s="748">
        <f>'Données normes'!B110</f>
        <v>1</v>
      </c>
      <c r="R18" s="104">
        <f>'Données normes'!B109</f>
        <v>150</v>
      </c>
      <c r="S18" s="105">
        <f>'Données normes'!B101</f>
        <v>0.42</v>
      </c>
      <c r="T18" s="29">
        <f>R18*S18</f>
        <v>63</v>
      </c>
      <c r="U18" s="733">
        <f>T18/$T$76</f>
        <v>2.4012634234918295E-3</v>
      </c>
      <c r="V18" s="38"/>
      <c r="W18" s="28" t="str">
        <f>'Données normes'!B100</f>
        <v>Nitrate d'ammoniaque</v>
      </c>
      <c r="X18" s="748">
        <f>'Données normes'!B112</f>
        <v>1</v>
      </c>
      <c r="Y18" s="104">
        <f>'Données normes'!B111</f>
        <v>200</v>
      </c>
      <c r="Z18" s="105">
        <f>'Données normes'!B101</f>
        <v>0.42</v>
      </c>
      <c r="AA18" s="29">
        <f>Y18*Z18</f>
        <v>84</v>
      </c>
      <c r="AB18" s="733">
        <f>AA18/$AA$76</f>
        <v>2.9449102269518386E-3</v>
      </c>
      <c r="AC18" s="38"/>
      <c r="AD18" s="28" t="str">
        <f>'Données normes'!B100</f>
        <v>Nitrate d'ammoniaque</v>
      </c>
      <c r="AE18" s="748">
        <f>'Données normes'!B112</f>
        <v>1</v>
      </c>
      <c r="AF18" s="104">
        <f>'Données normes'!B111</f>
        <v>200</v>
      </c>
      <c r="AG18" s="105">
        <f>'Données normes'!B101</f>
        <v>0.42</v>
      </c>
      <c r="AH18" s="29">
        <f>AF18*AG18</f>
        <v>84</v>
      </c>
      <c r="AI18" s="733">
        <f>AH18/$AH$76</f>
        <v>2.6952709628544676E-3</v>
      </c>
      <c r="AJ18" s="38"/>
      <c r="AK18" s="28" t="str">
        <f>'Données normes'!B100</f>
        <v>Nitrate d'ammoniaque</v>
      </c>
      <c r="AL18" s="748">
        <f>'Données normes'!B112</f>
        <v>1</v>
      </c>
      <c r="AM18" s="104">
        <f>'Données normes'!B111</f>
        <v>200</v>
      </c>
      <c r="AN18" s="105">
        <f>'Données normes'!B101</f>
        <v>0.42</v>
      </c>
      <c r="AO18" s="29">
        <f>AM18*AN18</f>
        <v>84</v>
      </c>
      <c r="AP18" s="733">
        <f>AO18/$AO$76</f>
        <v>2.4916437769481178E-3</v>
      </c>
      <c r="AQ18" s="38"/>
      <c r="AR18" s="28" t="str">
        <f>'Données normes'!B100</f>
        <v>Nitrate d'ammoniaque</v>
      </c>
      <c r="AS18" s="748">
        <f>'Données normes'!B112</f>
        <v>1</v>
      </c>
      <c r="AT18" s="104">
        <f>'Données normes'!B111</f>
        <v>200</v>
      </c>
      <c r="AU18" s="105">
        <f>'Données normes'!B101</f>
        <v>0.42</v>
      </c>
      <c r="AV18" s="29">
        <f>AT18*AU18</f>
        <v>84</v>
      </c>
      <c r="AW18" s="733">
        <f>AV18/$AV$76</f>
        <v>2.5002679194772201E-3</v>
      </c>
      <c r="AX18" s="38"/>
      <c r="AY18" s="28" t="str">
        <f>'Données normes'!B100</f>
        <v>Nitrate d'ammoniaque</v>
      </c>
      <c r="AZ18" s="748">
        <f>'Données normes'!B112</f>
        <v>1</v>
      </c>
      <c r="BA18" s="104">
        <f>'Données normes'!B111</f>
        <v>200</v>
      </c>
      <c r="BB18" s="105">
        <f>'Données normes'!B101</f>
        <v>0.42</v>
      </c>
      <c r="BC18" s="29">
        <f>BA18*BB18</f>
        <v>84</v>
      </c>
      <c r="BD18" s="733">
        <f>BC18/$BC$76</f>
        <v>2.5090826895644556E-3</v>
      </c>
      <c r="BE18" s="38"/>
      <c r="BF18" s="28" t="str">
        <f>'Données normes'!B100</f>
        <v>Nitrate d'ammoniaque</v>
      </c>
      <c r="BG18" s="748">
        <f>'Données normes'!B112</f>
        <v>1</v>
      </c>
      <c r="BH18" s="104">
        <f>'Données normes'!B111</f>
        <v>200</v>
      </c>
      <c r="BI18" s="105">
        <f>'Données normes'!B101</f>
        <v>0.42</v>
      </c>
      <c r="BJ18" s="29">
        <f>BH18*BI18</f>
        <v>84</v>
      </c>
      <c r="BK18" s="733">
        <f>BJ18/$BJ$76</f>
        <v>2.5180934683818696E-3</v>
      </c>
      <c r="BL18" s="38"/>
      <c r="BM18" s="28" t="str">
        <f>'Données normes'!B100</f>
        <v>Nitrate d'ammoniaque</v>
      </c>
      <c r="BN18" s="748">
        <f>'Données normes'!B112</f>
        <v>1</v>
      </c>
      <c r="BO18" s="104">
        <f>'Données normes'!B111</f>
        <v>200</v>
      </c>
      <c r="BP18" s="105">
        <f>'Données normes'!B101</f>
        <v>0.42</v>
      </c>
      <c r="BQ18" s="29">
        <f>BO18*BP18</f>
        <v>84</v>
      </c>
      <c r="BR18" s="733">
        <f>BQ18/$BQ$76</f>
        <v>2.5273058346719601E-3</v>
      </c>
      <c r="BS18" s="38"/>
      <c r="BT18" s="28" t="str">
        <f>'Données normes'!B100</f>
        <v>Nitrate d'ammoniaque</v>
      </c>
      <c r="BU18" s="748">
        <f>'Données normes'!B112</f>
        <v>1</v>
      </c>
      <c r="BV18" s="104">
        <f>'Données normes'!B111</f>
        <v>200</v>
      </c>
      <c r="BW18" s="105">
        <f>'Données normes'!B101</f>
        <v>0.42</v>
      </c>
      <c r="BX18" s="29">
        <f>BV18*BW18</f>
        <v>84</v>
      </c>
      <c r="BY18" s="733">
        <f>BX18/$BX$76</f>
        <v>2.5349944833011066E-3</v>
      </c>
      <c r="BZ18" s="38"/>
      <c r="CA18" s="28" t="str">
        <f>'Données normes'!B100</f>
        <v>Nitrate d'ammoniaque</v>
      </c>
      <c r="CB18" s="748">
        <f>'Données normes'!B112</f>
        <v>1</v>
      </c>
      <c r="CC18" s="104">
        <f>'Données normes'!B111</f>
        <v>200</v>
      </c>
      <c r="CD18" s="105">
        <f>'Données normes'!B101</f>
        <v>0.42</v>
      </c>
      <c r="CE18" s="29">
        <f>CC18*CD18</f>
        <v>84</v>
      </c>
      <c r="CF18" s="733">
        <f>CE18/$CE$76</f>
        <v>2.5428464489733044E-3</v>
      </c>
      <c r="CG18" s="38"/>
      <c r="CH18" s="28" t="str">
        <f>'Données normes'!B100</f>
        <v>Nitrate d'ammoniaque</v>
      </c>
      <c r="CI18" s="748">
        <f>'Données normes'!B112</f>
        <v>1</v>
      </c>
      <c r="CJ18" s="104">
        <f>'Données normes'!B111</f>
        <v>200</v>
      </c>
      <c r="CK18" s="105">
        <f>'Données normes'!B101</f>
        <v>0.42</v>
      </c>
      <c r="CL18" s="29">
        <f>CJ18*CK18</f>
        <v>84</v>
      </c>
      <c r="CM18" s="733">
        <f>CL18/$CL$76</f>
        <v>2.5508660927332214E-3</v>
      </c>
      <c r="CN18" s="38"/>
      <c r="CO18" s="28" t="str">
        <f>'Données normes'!B100</f>
        <v>Nitrate d'ammoniaque</v>
      </c>
      <c r="CP18" s="748">
        <f>'Données normes'!B112</f>
        <v>1</v>
      </c>
      <c r="CQ18" s="104">
        <f>'Données normes'!B111</f>
        <v>200</v>
      </c>
      <c r="CR18" s="105">
        <f>'Données normes'!B101</f>
        <v>0.42</v>
      </c>
      <c r="CS18" s="29">
        <f>CQ18*CR18</f>
        <v>84</v>
      </c>
      <c r="CT18" s="733">
        <f>CS18/$CS$76</f>
        <v>2.5572962320225719E-3</v>
      </c>
      <c r="CU18" s="38"/>
      <c r="CV18" s="28" t="str">
        <f>'Données normes'!B100</f>
        <v>Nitrate d'ammoniaque</v>
      </c>
      <c r="CW18" s="748">
        <f>'Données normes'!B112</f>
        <v>1</v>
      </c>
      <c r="CX18" s="104">
        <f>'Données normes'!B111</f>
        <v>200</v>
      </c>
      <c r="CY18" s="105">
        <f>'Données normes'!B101</f>
        <v>0.42</v>
      </c>
      <c r="CZ18" s="29">
        <f>CX18*CY18</f>
        <v>84</v>
      </c>
      <c r="DA18" s="733">
        <f>CZ18/$CZ$76</f>
        <v>2.1394106316086586E-3</v>
      </c>
    </row>
    <row r="19" spans="1:105" ht="13.5" thickBot="1" x14ac:dyDescent="0.35">
      <c r="A19" s="17"/>
      <c r="B19" s="28" t="str">
        <f>'Données normes'!C100</f>
        <v>Engrais mixte</v>
      </c>
      <c r="C19" s="736">
        <f>'Données normes'!C106</f>
        <v>0</v>
      </c>
      <c r="D19" s="104">
        <f>'Données normes'!C105</f>
        <v>50</v>
      </c>
      <c r="E19" s="105">
        <f>'Données normes'!C101</f>
        <v>0.85</v>
      </c>
      <c r="F19" s="758">
        <f>D19*E19*C19</f>
        <v>0</v>
      </c>
      <c r="G19" s="733">
        <f>F19/$F$76</f>
        <v>0</v>
      </c>
      <c r="H19" s="17"/>
      <c r="I19" s="28" t="str">
        <f>'Données normes'!C100</f>
        <v>Engrais mixte</v>
      </c>
      <c r="J19" s="736">
        <f>'Données normes'!C108</f>
        <v>0</v>
      </c>
      <c r="K19" s="104">
        <f>'Données normes'!C107</f>
        <v>125</v>
      </c>
      <c r="L19" s="105">
        <f>'Données normes'!C101</f>
        <v>0.85</v>
      </c>
      <c r="M19" s="758">
        <f>K19*L19</f>
        <v>106.25</v>
      </c>
      <c r="N19" s="733">
        <f>M19/$M$76</f>
        <v>7.6406844539754042E-3</v>
      </c>
      <c r="O19" s="17"/>
      <c r="P19" s="28" t="str">
        <f>'Données normes'!C100</f>
        <v>Engrais mixte</v>
      </c>
      <c r="Q19" s="736">
        <f>'Données normes'!C110</f>
        <v>1</v>
      </c>
      <c r="R19" s="104">
        <f>'Données normes'!C109</f>
        <v>200</v>
      </c>
      <c r="S19" s="105">
        <f>'Données normes'!C101</f>
        <v>0.85</v>
      </c>
      <c r="T19" s="758">
        <f>R19*S19</f>
        <v>170</v>
      </c>
      <c r="U19" s="733">
        <f>T19/$T$76</f>
        <v>6.4795997141843019E-3</v>
      </c>
      <c r="V19" s="17"/>
      <c r="W19" s="28" t="str">
        <f>'Données normes'!C100</f>
        <v>Engrais mixte</v>
      </c>
      <c r="X19" s="736">
        <f>'Données normes'!C112</f>
        <v>1</v>
      </c>
      <c r="Y19" s="104">
        <f>'Données normes'!C111</f>
        <v>250</v>
      </c>
      <c r="Z19" s="105">
        <f>'Données normes'!C101</f>
        <v>0.85</v>
      </c>
      <c r="AA19" s="758">
        <f>Y19*Z19</f>
        <v>212.5</v>
      </c>
      <c r="AB19" s="733">
        <f>AA19/$AA$76</f>
        <v>7.449921705086497E-3</v>
      </c>
      <c r="AC19" s="17"/>
      <c r="AD19" s="28" t="str">
        <f>'Données normes'!C100</f>
        <v>Engrais mixte</v>
      </c>
      <c r="AE19" s="736">
        <f>'Données normes'!C112</f>
        <v>1</v>
      </c>
      <c r="AF19" s="104">
        <f>'Données normes'!C111</f>
        <v>250</v>
      </c>
      <c r="AG19" s="105">
        <f>'Données normes'!C101</f>
        <v>0.85</v>
      </c>
      <c r="AH19" s="758">
        <f>AF19*AG19</f>
        <v>212.5</v>
      </c>
      <c r="AI19" s="733">
        <f>AH19/$AH$76</f>
        <v>6.8183938048401709E-3</v>
      </c>
      <c r="AJ19" s="17"/>
      <c r="AK19" s="28" t="str">
        <f>'Données normes'!C100</f>
        <v>Engrais mixte</v>
      </c>
      <c r="AL19" s="736">
        <f>'Données normes'!C112</f>
        <v>1</v>
      </c>
      <c r="AM19" s="104">
        <f>'Données normes'!C111</f>
        <v>250</v>
      </c>
      <c r="AN19" s="105">
        <f>'Données normes'!C101</f>
        <v>0.85</v>
      </c>
      <c r="AO19" s="758">
        <f>AM19*AN19</f>
        <v>212.5</v>
      </c>
      <c r="AP19" s="733">
        <f>AO19/$AO$76</f>
        <v>6.3032655071604167E-3</v>
      </c>
      <c r="AQ19" s="17"/>
      <c r="AR19" s="28" t="str">
        <f>'Données normes'!C100</f>
        <v>Engrais mixte</v>
      </c>
      <c r="AS19" s="736">
        <f>'Données normes'!C112</f>
        <v>1</v>
      </c>
      <c r="AT19" s="104">
        <f>'Données normes'!C111</f>
        <v>250</v>
      </c>
      <c r="AU19" s="105">
        <f>'Données normes'!C101</f>
        <v>0.85</v>
      </c>
      <c r="AV19" s="758">
        <f>AT19*AU19</f>
        <v>212.5</v>
      </c>
      <c r="AW19" s="733">
        <f>AV19/$AV$76</f>
        <v>6.3250825343917775E-3</v>
      </c>
      <c r="AX19" s="17"/>
      <c r="AY19" s="28" t="str">
        <f>'Données normes'!C100</f>
        <v>Engrais mixte</v>
      </c>
      <c r="AZ19" s="736">
        <f>'Données normes'!C112</f>
        <v>1</v>
      </c>
      <c r="BA19" s="104">
        <f>'Données normes'!C111</f>
        <v>250</v>
      </c>
      <c r="BB19" s="105">
        <f>'Données normes'!C101</f>
        <v>0.85</v>
      </c>
      <c r="BC19" s="758">
        <f>BA19*BB19</f>
        <v>212.5</v>
      </c>
      <c r="BD19" s="733">
        <f>BC19/$BC$76</f>
        <v>6.3473818039576999E-3</v>
      </c>
      <c r="BE19" s="17"/>
      <c r="BF19" s="28" t="str">
        <f>'Données normes'!C100</f>
        <v>Engrais mixte</v>
      </c>
      <c r="BG19" s="736">
        <f>'Données normes'!C112</f>
        <v>1</v>
      </c>
      <c r="BH19" s="104">
        <f>'Données normes'!C111</f>
        <v>250</v>
      </c>
      <c r="BI19" s="105">
        <f>'Données normes'!C101</f>
        <v>0.85</v>
      </c>
      <c r="BJ19" s="758">
        <f>BH19*BI19</f>
        <v>212.5</v>
      </c>
      <c r="BK19" s="733">
        <f>BJ19/$BJ$76</f>
        <v>6.3701769289422295E-3</v>
      </c>
      <c r="BL19" s="17"/>
      <c r="BM19" s="28" t="str">
        <f>'Données normes'!C100</f>
        <v>Engrais mixte</v>
      </c>
      <c r="BN19" s="736">
        <f>'Données normes'!C112</f>
        <v>1</v>
      </c>
      <c r="BO19" s="104">
        <f>'Données normes'!C111</f>
        <v>250</v>
      </c>
      <c r="BP19" s="105">
        <f>'Données normes'!C101</f>
        <v>0.85</v>
      </c>
      <c r="BQ19" s="758">
        <f>BO19*BP19</f>
        <v>212.5</v>
      </c>
      <c r="BR19" s="733">
        <f>BQ19/$BQ$76</f>
        <v>6.3934820222356133E-3</v>
      </c>
      <c r="BS19" s="17"/>
      <c r="BT19" s="28" t="str">
        <f>'Données normes'!C100</f>
        <v>Engrais mixte</v>
      </c>
      <c r="BU19" s="736">
        <f>'Données normes'!C112</f>
        <v>1</v>
      </c>
      <c r="BV19" s="104">
        <f>'Données normes'!C111</f>
        <v>250</v>
      </c>
      <c r="BW19" s="105">
        <f>'Données normes'!C101</f>
        <v>0.85</v>
      </c>
      <c r="BX19" s="758">
        <f>BV19*BW19</f>
        <v>212.5</v>
      </c>
      <c r="BY19" s="733">
        <f>BX19/$BX$76</f>
        <v>6.412932472636728E-3</v>
      </c>
      <c r="BZ19" s="17"/>
      <c r="CA19" s="28" t="str">
        <f>'Données normes'!C100</f>
        <v>Engrais mixte</v>
      </c>
      <c r="CB19" s="736">
        <f>'Données normes'!C112</f>
        <v>1</v>
      </c>
      <c r="CC19" s="104">
        <f>'Données normes'!C111</f>
        <v>250</v>
      </c>
      <c r="CD19" s="105">
        <f>'Données normes'!C101</f>
        <v>0.85</v>
      </c>
      <c r="CE19" s="758">
        <f>CC19*CD19</f>
        <v>212.5</v>
      </c>
      <c r="CF19" s="733">
        <f>CE19/$CE$76</f>
        <v>6.4327960762717521E-3</v>
      </c>
      <c r="CG19" s="17"/>
      <c r="CH19" s="28" t="str">
        <f>'Données normes'!C100</f>
        <v>Engrais mixte</v>
      </c>
      <c r="CI19" s="736">
        <f>'Données normes'!C112</f>
        <v>1</v>
      </c>
      <c r="CJ19" s="104">
        <f>'Données normes'!C111</f>
        <v>250</v>
      </c>
      <c r="CK19" s="105">
        <f>'Données normes'!C101</f>
        <v>0.85</v>
      </c>
      <c r="CL19" s="758">
        <f>CJ19*CK19</f>
        <v>212.5</v>
      </c>
      <c r="CM19" s="733">
        <f>CL19/$CL$76</f>
        <v>6.4530838655453525E-3</v>
      </c>
      <c r="CN19" s="17"/>
      <c r="CO19" s="28" t="str">
        <f>'Données normes'!C100</f>
        <v>Engrais mixte</v>
      </c>
      <c r="CP19" s="736">
        <f>'Données normes'!C112</f>
        <v>1</v>
      </c>
      <c r="CQ19" s="104">
        <f>'Données normes'!C111</f>
        <v>250</v>
      </c>
      <c r="CR19" s="105">
        <f>'Données normes'!C101</f>
        <v>0.85</v>
      </c>
      <c r="CS19" s="758">
        <f>CQ19*CR19</f>
        <v>212.5</v>
      </c>
      <c r="CT19" s="733">
        <f>CS19/$CS$76</f>
        <v>6.4693505869618632E-3</v>
      </c>
      <c r="CU19" s="17"/>
      <c r="CV19" s="28" t="str">
        <f>'Données normes'!C100</f>
        <v>Engrais mixte</v>
      </c>
      <c r="CW19" s="736">
        <f>'Données normes'!C112</f>
        <v>1</v>
      </c>
      <c r="CX19" s="104">
        <f>'Données normes'!C111</f>
        <v>250</v>
      </c>
      <c r="CY19" s="105">
        <f>'Données normes'!C101</f>
        <v>0.85</v>
      </c>
      <c r="CZ19" s="758">
        <f>CX19*CY19</f>
        <v>212.5</v>
      </c>
      <c r="DA19" s="733">
        <f>CZ19/$CZ$76</f>
        <v>5.4121995144861892E-3</v>
      </c>
    </row>
    <row r="20" spans="1:105" s="1" customFormat="1" ht="13" x14ac:dyDescent="0.3">
      <c r="A20" s="38"/>
      <c r="B20" s="39"/>
      <c r="C20" s="41">
        <f>SUM(C18:C19)</f>
        <v>0</v>
      </c>
      <c r="D20" s="41"/>
      <c r="E20" s="42"/>
      <c r="F20" s="80">
        <f>SUM(F18:F19)</f>
        <v>0</v>
      </c>
      <c r="G20" s="730">
        <f>F20/$F$76</f>
        <v>0</v>
      </c>
      <c r="H20" s="38"/>
      <c r="I20" s="39"/>
      <c r="J20" s="41">
        <f>SUM(J18:J19)</f>
        <v>1</v>
      </c>
      <c r="K20" s="41"/>
      <c r="L20" s="42"/>
      <c r="M20" s="80">
        <f>SUM(M18:M19)</f>
        <v>148.25</v>
      </c>
      <c r="N20" s="730">
        <f>M20/$M$76</f>
        <v>1.0661002073429212E-2</v>
      </c>
      <c r="O20" s="38"/>
      <c r="P20" s="39"/>
      <c r="Q20" s="41">
        <f>SUM(Q18:Q19)</f>
        <v>2</v>
      </c>
      <c r="R20" s="41"/>
      <c r="S20" s="42"/>
      <c r="T20" s="80">
        <f>SUM(T18:T19)</f>
        <v>233</v>
      </c>
      <c r="U20" s="730">
        <f>T20/$T$76</f>
        <v>8.8808631376761302E-3</v>
      </c>
      <c r="V20" s="38"/>
      <c r="W20" s="39"/>
      <c r="X20" s="41">
        <f>SUM(X18:X19)</f>
        <v>2</v>
      </c>
      <c r="Y20" s="41"/>
      <c r="Z20" s="42"/>
      <c r="AA20" s="80">
        <f>SUM(AA18:AA19)</f>
        <v>296.5</v>
      </c>
      <c r="AB20" s="730">
        <f>AA20/$AA$76</f>
        <v>1.0394831932038336E-2</v>
      </c>
      <c r="AC20" s="38"/>
      <c r="AD20" s="39"/>
      <c r="AE20" s="41">
        <f>SUM(AE18:AE19)</f>
        <v>2</v>
      </c>
      <c r="AF20" s="41"/>
      <c r="AG20" s="42"/>
      <c r="AH20" s="80">
        <f>SUM(AH18:AH19)</f>
        <v>296.5</v>
      </c>
      <c r="AI20" s="730">
        <f>AH20/$AH$76</f>
        <v>9.5136647676946386E-3</v>
      </c>
      <c r="AJ20" s="38"/>
      <c r="AK20" s="39"/>
      <c r="AL20" s="41">
        <f>SUM(AL18:AL19)</f>
        <v>2</v>
      </c>
      <c r="AM20" s="41"/>
      <c r="AN20" s="42"/>
      <c r="AO20" s="80">
        <f>SUM(AO18:AO19)</f>
        <v>296.5</v>
      </c>
      <c r="AP20" s="730">
        <f>AO20/$AO$76</f>
        <v>8.7949092841085336E-3</v>
      </c>
      <c r="AQ20" s="38"/>
      <c r="AR20" s="39"/>
      <c r="AS20" s="41">
        <f>SUM(AS18:AS19)</f>
        <v>2</v>
      </c>
      <c r="AT20" s="41"/>
      <c r="AU20" s="42"/>
      <c r="AV20" s="80">
        <f>SUM(AV18:AV19)</f>
        <v>296.5</v>
      </c>
      <c r="AW20" s="730">
        <f>AV20/$AV$76</f>
        <v>8.8253504538689971E-3</v>
      </c>
      <c r="AX20" s="38"/>
      <c r="AY20" s="39"/>
      <c r="AZ20" s="41">
        <f>SUM(AZ18:AZ19)</f>
        <v>2</v>
      </c>
      <c r="BA20" s="41"/>
      <c r="BB20" s="42"/>
      <c r="BC20" s="80">
        <f>SUM(BC18:BC19)</f>
        <v>296.5</v>
      </c>
      <c r="BD20" s="730">
        <f>BC20/$BC$76</f>
        <v>8.8564644935221551E-3</v>
      </c>
      <c r="BE20" s="38"/>
      <c r="BF20" s="39"/>
      <c r="BG20" s="41">
        <f>SUM(BG18:BG19)</f>
        <v>2</v>
      </c>
      <c r="BH20" s="41"/>
      <c r="BI20" s="42"/>
      <c r="BJ20" s="80">
        <f>SUM(BJ18:BJ19)</f>
        <v>296.5</v>
      </c>
      <c r="BK20" s="730">
        <f>BJ20/$BJ$76</f>
        <v>8.8882703973240992E-3</v>
      </c>
      <c r="BL20" s="38"/>
      <c r="BM20" s="39"/>
      <c r="BN20" s="41">
        <f>SUM(BN18:BN19)</f>
        <v>2</v>
      </c>
      <c r="BO20" s="41"/>
      <c r="BP20" s="42"/>
      <c r="BQ20" s="80">
        <f>SUM(BQ18:BQ19)</f>
        <v>296.5</v>
      </c>
      <c r="BR20" s="730">
        <f>BQ20/$BQ$76</f>
        <v>8.9207878569075721E-3</v>
      </c>
      <c r="BS20" s="38"/>
      <c r="BT20" s="39"/>
      <c r="BU20" s="41">
        <f>SUM(BU18:BU19)</f>
        <v>2</v>
      </c>
      <c r="BV20" s="41"/>
      <c r="BW20" s="42"/>
      <c r="BX20" s="80">
        <f>SUM(BX18:BX19)</f>
        <v>296.5</v>
      </c>
      <c r="BY20" s="730">
        <f>BX20/$BX$76</f>
        <v>8.9479269559378342E-3</v>
      </c>
      <c r="BZ20" s="38"/>
      <c r="CA20" s="39"/>
      <c r="CB20" s="41">
        <f>SUM(CB18:CB19)</f>
        <v>2</v>
      </c>
      <c r="CC20" s="41"/>
      <c r="CD20" s="42"/>
      <c r="CE20" s="80">
        <f>SUM(CE18:CE19)</f>
        <v>296.5</v>
      </c>
      <c r="CF20" s="730">
        <f>CE20/$CE$76</f>
        <v>8.9756425252450565E-3</v>
      </c>
      <c r="CG20" s="38"/>
      <c r="CH20" s="39"/>
      <c r="CI20" s="41">
        <f>SUM(CI18:CI19)</f>
        <v>2</v>
      </c>
      <c r="CJ20" s="41"/>
      <c r="CK20" s="42"/>
      <c r="CL20" s="80">
        <f>SUM(CL18:CL19)</f>
        <v>296.5</v>
      </c>
      <c r="CM20" s="730">
        <f>CL20/$CL$76</f>
        <v>9.0039499582785735E-3</v>
      </c>
      <c r="CN20" s="38"/>
      <c r="CO20" s="39"/>
      <c r="CP20" s="41">
        <f>SUM(CP18:CP19)</f>
        <v>2</v>
      </c>
      <c r="CQ20" s="41"/>
      <c r="CR20" s="42"/>
      <c r="CS20" s="80">
        <f>SUM(CS18:CS19)</f>
        <v>296.5</v>
      </c>
      <c r="CT20" s="730">
        <f>CS20/$CS$76</f>
        <v>9.0266468189844351E-3</v>
      </c>
      <c r="CU20" s="38"/>
      <c r="CV20" s="39"/>
      <c r="CW20" s="41">
        <f>SUM(CW18:CW19)</f>
        <v>2</v>
      </c>
      <c r="CX20" s="41"/>
      <c r="CY20" s="42"/>
      <c r="CZ20" s="80">
        <f>SUM(CZ18:CZ19)</f>
        <v>296.5</v>
      </c>
      <c r="DA20" s="730">
        <f>CZ20/$CZ$76</f>
        <v>7.5516101460948483E-3</v>
      </c>
    </row>
    <row r="21" spans="1:105" ht="13" x14ac:dyDescent="0.3">
      <c r="A21" s="17"/>
      <c r="B21" s="28"/>
      <c r="C21" s="11"/>
      <c r="D21" s="11"/>
      <c r="E21" s="105"/>
      <c r="F21" s="109"/>
      <c r="G21" s="733"/>
      <c r="H21" s="17"/>
      <c r="I21" s="28"/>
      <c r="J21" s="11"/>
      <c r="K21" s="11"/>
      <c r="L21" s="105"/>
      <c r="M21" s="109"/>
      <c r="N21" s="733"/>
      <c r="O21" s="17"/>
      <c r="P21" s="28"/>
      <c r="Q21" s="11"/>
      <c r="R21" s="11"/>
      <c r="S21" s="105"/>
      <c r="T21" s="109"/>
      <c r="U21" s="733"/>
      <c r="V21" s="17"/>
      <c r="W21" s="28"/>
      <c r="X21" s="11"/>
      <c r="Y21" s="11"/>
      <c r="Z21" s="105"/>
      <c r="AA21" s="109"/>
      <c r="AB21" s="733"/>
      <c r="AC21" s="17"/>
      <c r="AD21" s="28"/>
      <c r="AE21" s="11"/>
      <c r="AF21" s="11"/>
      <c r="AG21" s="105"/>
      <c r="AH21" s="109"/>
      <c r="AI21" s="733"/>
      <c r="AJ21" s="17"/>
      <c r="AK21" s="28"/>
      <c r="AL21" s="11"/>
      <c r="AM21" s="11"/>
      <c r="AN21" s="105"/>
      <c r="AO21" s="109"/>
      <c r="AP21" s="733"/>
      <c r="AQ21" s="17"/>
      <c r="AR21" s="28"/>
      <c r="AS21" s="11"/>
      <c r="AT21" s="11"/>
      <c r="AU21" s="105"/>
      <c r="AV21" s="109"/>
      <c r="AW21" s="733"/>
      <c r="AX21" s="17"/>
      <c r="AY21" s="28"/>
      <c r="AZ21" s="11"/>
      <c r="BA21" s="11"/>
      <c r="BB21" s="105"/>
      <c r="BC21" s="109"/>
      <c r="BD21" s="733"/>
      <c r="BE21" s="17"/>
      <c r="BF21" s="28"/>
      <c r="BG21" s="11"/>
      <c r="BH21" s="11"/>
      <c r="BI21" s="105"/>
      <c r="BJ21" s="109"/>
      <c r="BK21" s="733"/>
      <c r="BL21" s="17"/>
      <c r="BM21" s="28"/>
      <c r="BN21" s="11"/>
      <c r="BO21" s="11"/>
      <c r="BP21" s="105"/>
      <c r="BQ21" s="109"/>
      <c r="BR21" s="733"/>
      <c r="BS21" s="17"/>
      <c r="BT21" s="28"/>
      <c r="BU21" s="11"/>
      <c r="BV21" s="11"/>
      <c r="BW21" s="105"/>
      <c r="BX21" s="109"/>
      <c r="BY21" s="733"/>
      <c r="BZ21" s="17"/>
      <c r="CA21" s="28"/>
      <c r="CB21" s="11"/>
      <c r="CC21" s="11"/>
      <c r="CD21" s="105"/>
      <c r="CE21" s="109"/>
      <c r="CF21" s="733"/>
      <c r="CG21" s="17"/>
      <c r="CH21" s="28"/>
      <c r="CI21" s="11"/>
      <c r="CJ21" s="11"/>
      <c r="CK21" s="105"/>
      <c r="CL21" s="109"/>
      <c r="CM21" s="733"/>
      <c r="CN21" s="17"/>
      <c r="CO21" s="28"/>
      <c r="CP21" s="11"/>
      <c r="CQ21" s="11"/>
      <c r="CR21" s="105"/>
      <c r="CS21" s="109"/>
      <c r="CT21" s="733"/>
      <c r="CU21" s="17"/>
      <c r="CV21" s="28"/>
      <c r="CW21" s="11"/>
      <c r="CX21" s="11"/>
      <c r="CY21" s="105"/>
      <c r="CZ21" s="109"/>
      <c r="DA21" s="733"/>
    </row>
    <row r="22" spans="1:105" ht="13" x14ac:dyDescent="0.3">
      <c r="A22" s="17" t="s">
        <v>471</v>
      </c>
      <c r="B22" s="28"/>
      <c r="C22" s="11"/>
      <c r="D22" s="11"/>
      <c r="E22" s="105"/>
      <c r="F22" s="109"/>
      <c r="G22" s="734"/>
      <c r="H22" s="17" t="s">
        <v>471</v>
      </c>
      <c r="I22" s="28"/>
      <c r="J22" s="11"/>
      <c r="K22" s="11"/>
      <c r="L22" s="105"/>
      <c r="M22" s="109"/>
      <c r="N22" s="734"/>
      <c r="O22" s="17" t="s">
        <v>471</v>
      </c>
      <c r="P22" s="28"/>
      <c r="Q22" s="11"/>
      <c r="R22" s="11"/>
      <c r="S22" s="105"/>
      <c r="T22" s="109"/>
      <c r="U22" s="734"/>
      <c r="V22" s="17" t="s">
        <v>471</v>
      </c>
      <c r="W22" s="28"/>
      <c r="X22" s="11"/>
      <c r="Y22" s="11"/>
      <c r="Z22" s="105"/>
      <c r="AA22" s="109"/>
      <c r="AB22" s="734"/>
      <c r="AC22" s="17" t="s">
        <v>471</v>
      </c>
      <c r="AD22" s="28"/>
      <c r="AE22" s="11"/>
      <c r="AF22" s="11"/>
      <c r="AG22" s="105"/>
      <c r="AH22" s="109"/>
      <c r="AI22" s="734"/>
      <c r="AJ22" s="17" t="s">
        <v>471</v>
      </c>
      <c r="AK22" s="28"/>
      <c r="AL22" s="11"/>
      <c r="AM22" s="11"/>
      <c r="AN22" s="105"/>
      <c r="AO22" s="109"/>
      <c r="AP22" s="734"/>
      <c r="AQ22" s="17" t="s">
        <v>471</v>
      </c>
      <c r="AR22" s="28"/>
      <c r="AS22" s="11"/>
      <c r="AT22" s="11"/>
      <c r="AU22" s="105"/>
      <c r="AV22" s="109"/>
      <c r="AW22" s="734"/>
      <c r="AX22" s="17" t="s">
        <v>471</v>
      </c>
      <c r="AY22" s="28"/>
      <c r="AZ22" s="11"/>
      <c r="BA22" s="11"/>
      <c r="BB22" s="105"/>
      <c r="BC22" s="109"/>
      <c r="BD22" s="734"/>
      <c r="BE22" s="17" t="s">
        <v>471</v>
      </c>
      <c r="BF22" s="28"/>
      <c r="BG22" s="11"/>
      <c r="BH22" s="11"/>
      <c r="BI22" s="105"/>
      <c r="BJ22" s="109"/>
      <c r="BK22" s="734"/>
      <c r="BL22" s="17" t="s">
        <v>471</v>
      </c>
      <c r="BM22" s="28"/>
      <c r="BN22" s="11"/>
      <c r="BO22" s="11"/>
      <c r="BP22" s="105"/>
      <c r="BQ22" s="109"/>
      <c r="BR22" s="734"/>
      <c r="BS22" s="17" t="s">
        <v>471</v>
      </c>
      <c r="BT22" s="28"/>
      <c r="BU22" s="11"/>
      <c r="BV22" s="11"/>
      <c r="BW22" s="105"/>
      <c r="BX22" s="109"/>
      <c r="BY22" s="734"/>
      <c r="BZ22" s="17" t="s">
        <v>471</v>
      </c>
      <c r="CA22" s="28"/>
      <c r="CB22" s="11"/>
      <c r="CC22" s="11"/>
      <c r="CD22" s="105"/>
      <c r="CE22" s="109"/>
      <c r="CF22" s="734"/>
      <c r="CG22" s="17" t="s">
        <v>471</v>
      </c>
      <c r="CH22" s="28"/>
      <c r="CI22" s="11"/>
      <c r="CJ22" s="11"/>
      <c r="CK22" s="105"/>
      <c r="CL22" s="109"/>
      <c r="CM22" s="734"/>
      <c r="CN22" s="17" t="s">
        <v>471</v>
      </c>
      <c r="CO22" s="28"/>
      <c r="CP22" s="11"/>
      <c r="CQ22" s="11"/>
      <c r="CR22" s="105"/>
      <c r="CS22" s="109"/>
      <c r="CT22" s="734"/>
      <c r="CU22" s="17" t="s">
        <v>471</v>
      </c>
      <c r="CV22" s="28"/>
      <c r="CW22" s="11"/>
      <c r="CX22" s="11"/>
      <c r="CY22" s="105"/>
      <c r="CZ22" s="109"/>
      <c r="DA22" s="734"/>
    </row>
    <row r="23" spans="1:105" ht="12" customHeight="1" x14ac:dyDescent="0.25">
      <c r="A23" s="198" t="str">
        <f>'Données normes'!$A$117</f>
        <v>Fongicides</v>
      </c>
      <c r="F23" s="29">
        <f>'Données normes'!B117</f>
        <v>1209</v>
      </c>
      <c r="G23" s="734"/>
      <c r="H23" s="198" t="str">
        <f>'Données normes'!$A$117</f>
        <v>Fongicides</v>
      </c>
      <c r="I23" s="15"/>
      <c r="J23" s="10"/>
      <c r="K23" s="10"/>
      <c r="L23" s="23"/>
      <c r="M23" s="29">
        <f>'Données normes'!C117</f>
        <v>1209</v>
      </c>
      <c r="N23" s="734"/>
      <c r="O23" s="198" t="str">
        <f>'Données normes'!$A$117</f>
        <v>Fongicides</v>
      </c>
      <c r="P23" s="15"/>
      <c r="Q23" s="10"/>
      <c r="R23" s="10"/>
      <c r="S23" s="23"/>
      <c r="T23" s="29">
        <f>'Données normes'!$D$117</f>
        <v>2844</v>
      </c>
      <c r="U23" s="734">
        <f t="shared" ref="U23:U28" si="0">T23/$T$76</f>
        <v>0.10839989168905972</v>
      </c>
      <c r="V23" s="198" t="str">
        <f>'Données normes'!$A$117</f>
        <v>Fongicides</v>
      </c>
      <c r="W23" s="15"/>
      <c r="X23" s="10"/>
      <c r="Y23" s="10"/>
      <c r="Z23" s="23"/>
      <c r="AA23" s="29">
        <f>'Données normes'!$D$117</f>
        <v>2844</v>
      </c>
      <c r="AB23" s="734">
        <f t="shared" ref="AB23:AB28" si="1">AA23/$AA$76</f>
        <v>9.9706246255369405E-2</v>
      </c>
      <c r="AC23" s="198" t="str">
        <f>'Données normes'!$A$117</f>
        <v>Fongicides</v>
      </c>
      <c r="AD23" s="15"/>
      <c r="AE23" s="10"/>
      <c r="AF23" s="10"/>
      <c r="AG23" s="23"/>
      <c r="AH23" s="29">
        <f>'Données normes'!$D$117</f>
        <v>2844</v>
      </c>
      <c r="AI23" s="734">
        <f t="shared" ref="AI23:AI28" si="2">AH23/$AH$76</f>
        <v>9.125417402807269E-2</v>
      </c>
      <c r="AJ23" s="198" t="str">
        <f>'Données normes'!$A$117</f>
        <v>Fongicides</v>
      </c>
      <c r="AK23" s="15"/>
      <c r="AL23" s="10"/>
      <c r="AM23" s="10"/>
      <c r="AN23" s="23"/>
      <c r="AO23" s="29">
        <f>'Données normes'!$D$117</f>
        <v>2844</v>
      </c>
      <c r="AP23" s="734">
        <f t="shared" ref="AP23:AP28" si="3">AO23/$AO$76</f>
        <v>8.4359939305243409E-2</v>
      </c>
      <c r="AQ23" s="198" t="str">
        <f>'Données normes'!$A$117</f>
        <v>Fongicides</v>
      </c>
      <c r="AR23" s="15"/>
      <c r="AS23" s="10"/>
      <c r="AT23" s="10"/>
      <c r="AU23" s="23"/>
      <c r="AV23" s="29">
        <f>'Données normes'!$D$117</f>
        <v>2844</v>
      </c>
      <c r="AW23" s="734">
        <f t="shared" ref="AW23:AW28" si="4">AV23/$AV$76</f>
        <v>8.4651928130871593E-2</v>
      </c>
      <c r="AX23" s="198" t="str">
        <f>'Données normes'!$A$117</f>
        <v>Fongicides</v>
      </c>
      <c r="AY23" s="15"/>
      <c r="AZ23" s="10"/>
      <c r="BA23" s="10"/>
      <c r="BB23" s="23"/>
      <c r="BC23" s="29">
        <f>'Données normes'!$D$117</f>
        <v>2844</v>
      </c>
      <c r="BD23" s="734">
        <f t="shared" ref="BD23:BD28" si="5">BC23/$BC$76</f>
        <v>8.4950371060967991E-2</v>
      </c>
      <c r="BE23" s="198" t="str">
        <f>'Données normes'!$A$117</f>
        <v>Fongicides</v>
      </c>
      <c r="BF23" s="15"/>
      <c r="BG23" s="10"/>
      <c r="BH23" s="10"/>
      <c r="BI23" s="23"/>
      <c r="BJ23" s="29">
        <f>'Données normes'!$D$117</f>
        <v>2844</v>
      </c>
      <c r="BK23" s="734">
        <f t="shared" ref="BK23:BK28" si="6">BJ23/$BJ$76</f>
        <v>8.5255450286643303E-2</v>
      </c>
      <c r="BL23" s="198" t="str">
        <f>'Données normes'!$A$117</f>
        <v>Fongicides</v>
      </c>
      <c r="BM23" s="15"/>
      <c r="BN23" s="10"/>
      <c r="BO23" s="10"/>
      <c r="BP23" s="23"/>
      <c r="BQ23" s="29">
        <f>'Données normes'!$D$117</f>
        <v>2844</v>
      </c>
      <c r="BR23" s="734">
        <f t="shared" ref="BR23:BR28" si="7">BQ23/$BQ$76</f>
        <v>8.556735468817922E-2</v>
      </c>
      <c r="BS23" s="198" t="str">
        <f>'Données normes'!$A$117</f>
        <v>Fongicides</v>
      </c>
      <c r="BT23" s="15"/>
      <c r="BU23" s="10"/>
      <c r="BV23" s="10"/>
      <c r="BW23" s="23"/>
      <c r="BX23" s="29">
        <f>'Données normes'!$D$117</f>
        <v>2844</v>
      </c>
      <c r="BY23" s="734">
        <f t="shared" ref="BY23:BY28" si="8">BX23/$BX$76</f>
        <v>8.5827670363194608E-2</v>
      </c>
      <c r="BZ23" s="198" t="str">
        <f>'Données normes'!$A$117</f>
        <v>Fongicides</v>
      </c>
      <c r="CA23" s="15"/>
      <c r="CB23" s="10"/>
      <c r="CC23" s="10"/>
      <c r="CD23" s="23"/>
      <c r="CE23" s="29">
        <f>'Données normes'!$D$117</f>
        <v>2844</v>
      </c>
      <c r="CF23" s="734">
        <f t="shared" ref="CF23:CF28" si="9">CE23/$CE$76</f>
        <v>8.6093515486667591E-2</v>
      </c>
      <c r="CG23" s="198" t="str">
        <f>'Données normes'!$A$117</f>
        <v>Fongicides</v>
      </c>
      <c r="CH23" s="15"/>
      <c r="CI23" s="10"/>
      <c r="CJ23" s="10"/>
      <c r="CK23" s="23"/>
      <c r="CL23" s="29">
        <f>'Données normes'!$D$117</f>
        <v>2844</v>
      </c>
      <c r="CM23" s="734">
        <f t="shared" ref="CM23:CM28" si="10">CL23/$CL$76</f>
        <v>8.6365037711110509E-2</v>
      </c>
      <c r="CN23" s="198" t="str">
        <f>'Données normes'!$A$117</f>
        <v>Fongicides</v>
      </c>
      <c r="CO23" s="15"/>
      <c r="CP23" s="10"/>
      <c r="CQ23" s="10"/>
      <c r="CR23" s="23"/>
      <c r="CS23" s="29">
        <f>'Données normes'!$D$117</f>
        <v>2844</v>
      </c>
      <c r="CT23" s="734">
        <f t="shared" ref="CT23:CT28" si="11">CS23/$CS$76</f>
        <v>8.6582743855621355E-2</v>
      </c>
      <c r="CU23" s="198" t="str">
        <f>'Données normes'!$A$117</f>
        <v>Fongicides</v>
      </c>
      <c r="CV23" s="15"/>
      <c r="CW23" s="10"/>
      <c r="CX23" s="10"/>
      <c r="CY23" s="23"/>
      <c r="CZ23" s="29">
        <f>'Données normes'!$D$117</f>
        <v>2844</v>
      </c>
      <c r="DA23" s="734">
        <f t="shared" ref="DA23:DA28" si="12">CZ23/$CZ$76</f>
        <v>7.2434331384464576E-2</v>
      </c>
    </row>
    <row r="24" spans="1:105" ht="12.5" x14ac:dyDescent="0.25">
      <c r="A24" s="198" t="str">
        <f>'Données normes'!$A$118</f>
        <v>Lutte contre le feu bactérien</v>
      </c>
      <c r="B24" s="13"/>
      <c r="C24" s="11"/>
      <c r="D24" s="291"/>
      <c r="E24" s="105"/>
      <c r="F24" s="29">
        <f>'Données normes'!B118</f>
        <v>0</v>
      </c>
      <c r="G24" s="734">
        <f>F24/$F$76</f>
        <v>0</v>
      </c>
      <c r="H24" s="198" t="str">
        <f>'Données normes'!$A$118</f>
        <v>Lutte contre le feu bactérien</v>
      </c>
      <c r="I24" s="13"/>
      <c r="J24" s="11"/>
      <c r="K24" s="291"/>
      <c r="L24" s="105"/>
      <c r="M24" s="29">
        <f>'Données normes'!C118</f>
        <v>0</v>
      </c>
      <c r="N24" s="734">
        <f>M24/$M$76</f>
        <v>0</v>
      </c>
      <c r="O24" s="198" t="str">
        <f>'Données normes'!$A$118</f>
        <v>Lutte contre le feu bactérien</v>
      </c>
      <c r="P24" s="13"/>
      <c r="Q24" s="11"/>
      <c r="R24" s="291"/>
      <c r="S24" s="105"/>
      <c r="T24" s="29">
        <f>'Données normes'!$D$118</f>
        <v>1057</v>
      </c>
      <c r="U24" s="734">
        <f t="shared" si="0"/>
        <v>4.0287864105251807E-2</v>
      </c>
      <c r="V24" s="198" t="str">
        <f>'Données normes'!$A$118</f>
        <v>Lutte contre le feu bactérien</v>
      </c>
      <c r="W24" s="13"/>
      <c r="X24" s="11"/>
      <c r="Y24" s="291"/>
      <c r="Z24" s="105"/>
      <c r="AA24" s="29">
        <f>'Données normes'!$D$118</f>
        <v>1057</v>
      </c>
      <c r="AB24" s="734">
        <f t="shared" si="1"/>
        <v>3.7056787022477305E-2</v>
      </c>
      <c r="AC24" s="198" t="str">
        <f>'Données normes'!$A$118</f>
        <v>Lutte contre le feu bactérien</v>
      </c>
      <c r="AD24" s="13"/>
      <c r="AE24" s="11"/>
      <c r="AF24" s="291"/>
      <c r="AG24" s="105"/>
      <c r="AH24" s="29">
        <f>'Données normes'!$D$118</f>
        <v>1057</v>
      </c>
      <c r="AI24" s="734">
        <f t="shared" si="2"/>
        <v>3.391549294925205E-2</v>
      </c>
      <c r="AJ24" s="198" t="str">
        <f>'Données normes'!$A$118</f>
        <v>Lutte contre le feu bactérien</v>
      </c>
      <c r="AK24" s="13"/>
      <c r="AL24" s="11"/>
      <c r="AM24" s="291"/>
      <c r="AN24" s="105"/>
      <c r="AO24" s="29">
        <f>'Données normes'!$D$118</f>
        <v>1057</v>
      </c>
      <c r="AP24" s="734">
        <f t="shared" si="3"/>
        <v>3.1353184193263814E-2</v>
      </c>
      <c r="AQ24" s="198" t="str">
        <f>'Données normes'!$A$118</f>
        <v>Lutte contre le feu bactérien</v>
      </c>
      <c r="AR24" s="13"/>
      <c r="AS24" s="11"/>
      <c r="AT24" s="291"/>
      <c r="AU24" s="105"/>
      <c r="AV24" s="29">
        <f>'Données normes'!$D$118</f>
        <v>1057</v>
      </c>
      <c r="AW24" s="734">
        <f t="shared" si="4"/>
        <v>3.1461704653421685E-2</v>
      </c>
      <c r="AX24" s="198" t="str">
        <f>'Données normes'!$A$118</f>
        <v>Lutte contre le feu bactérien</v>
      </c>
      <c r="AY24" s="13"/>
      <c r="AZ24" s="11"/>
      <c r="BA24" s="291"/>
      <c r="BB24" s="105"/>
      <c r="BC24" s="29">
        <f>'Données normes'!$D$118</f>
        <v>1057</v>
      </c>
      <c r="BD24" s="734">
        <f t="shared" si="5"/>
        <v>3.1572623843686067E-2</v>
      </c>
      <c r="BE24" s="198" t="str">
        <f>'Données normes'!$A$118</f>
        <v>Lutte contre le feu bactérien</v>
      </c>
      <c r="BF24" s="13"/>
      <c r="BG24" s="11"/>
      <c r="BH24" s="291"/>
      <c r="BI24" s="105"/>
      <c r="BJ24" s="29">
        <f>'Données normes'!$D$118</f>
        <v>1057</v>
      </c>
      <c r="BK24" s="734">
        <f t="shared" si="6"/>
        <v>3.1686009477138524E-2</v>
      </c>
      <c r="BL24" s="198" t="str">
        <f>'Données normes'!$A$118</f>
        <v>Lutte contre le feu bactérien</v>
      </c>
      <c r="BM24" s="13"/>
      <c r="BN24" s="11"/>
      <c r="BO24" s="291"/>
      <c r="BP24" s="105"/>
      <c r="BQ24" s="29">
        <f>'Données normes'!$D$118</f>
        <v>1057</v>
      </c>
      <c r="BR24" s="734">
        <f t="shared" si="7"/>
        <v>3.1801931752955495E-2</v>
      </c>
      <c r="BS24" s="198" t="str">
        <f>'Données normes'!$A$118</f>
        <v>Lutte contre le feu bactérien</v>
      </c>
      <c r="BT24" s="13"/>
      <c r="BU24" s="11"/>
      <c r="BV24" s="291"/>
      <c r="BW24" s="105"/>
      <c r="BX24" s="29">
        <f>'Données normes'!$D$118</f>
        <v>1057</v>
      </c>
      <c r="BY24" s="734">
        <f t="shared" si="8"/>
        <v>3.1898680581538927E-2</v>
      </c>
      <c r="BZ24" s="198" t="str">
        <f>'Données normes'!$A$118</f>
        <v>Lutte contre le feu bactérien</v>
      </c>
      <c r="CA24" s="13"/>
      <c r="CB24" s="11"/>
      <c r="CC24" s="291"/>
      <c r="CD24" s="105"/>
      <c r="CE24" s="29">
        <f>'Données normes'!$D$118</f>
        <v>1057</v>
      </c>
      <c r="CF24" s="734">
        <f t="shared" si="9"/>
        <v>3.1997484482914076E-2</v>
      </c>
      <c r="CG24" s="198" t="str">
        <f>'Données normes'!$A$118</f>
        <v>Lutte contre le feu bactérien</v>
      </c>
      <c r="CH24" s="13"/>
      <c r="CI24" s="11"/>
      <c r="CJ24" s="291"/>
      <c r="CK24" s="105"/>
      <c r="CL24" s="29">
        <f>'Données normes'!$D$118</f>
        <v>1057</v>
      </c>
      <c r="CM24" s="734">
        <f t="shared" si="10"/>
        <v>3.2098398333559708E-2</v>
      </c>
      <c r="CN24" s="198" t="str">
        <f>'Données normes'!$A$118</f>
        <v>Lutte contre le feu bactérien</v>
      </c>
      <c r="CO24" s="13"/>
      <c r="CP24" s="11"/>
      <c r="CQ24" s="291"/>
      <c r="CR24" s="105"/>
      <c r="CS24" s="29">
        <f>'Données normes'!$D$118</f>
        <v>1057</v>
      </c>
      <c r="CT24" s="734">
        <f t="shared" si="11"/>
        <v>3.2179310919617357E-2</v>
      </c>
      <c r="CU24" s="198" t="str">
        <f>'Données normes'!$A$118</f>
        <v>Lutte contre le feu bactérien</v>
      </c>
      <c r="CV24" s="13"/>
      <c r="CW24" s="11"/>
      <c r="CX24" s="291"/>
      <c r="CY24" s="105"/>
      <c r="CZ24" s="29">
        <f>'Données normes'!$D$118</f>
        <v>1057</v>
      </c>
      <c r="DA24" s="734">
        <f t="shared" si="12"/>
        <v>2.6920917114408954E-2</v>
      </c>
    </row>
    <row r="25" spans="1:105" ht="12.5" x14ac:dyDescent="0.25">
      <c r="A25" s="198" t="str">
        <f>'Données normes'!$A$119</f>
        <v>Insecticides</v>
      </c>
      <c r="B25" s="13"/>
      <c r="C25" s="11"/>
      <c r="D25" s="291"/>
      <c r="E25" s="105"/>
      <c r="F25" s="29">
        <f>'Données normes'!B119</f>
        <v>491</v>
      </c>
      <c r="G25" s="734">
        <f>F25/$F$76</f>
        <v>4.1889587777584177E-2</v>
      </c>
      <c r="H25" s="198" t="str">
        <f>'Données normes'!$A$119</f>
        <v>Insecticides</v>
      </c>
      <c r="I25" s="13"/>
      <c r="J25" s="11"/>
      <c r="K25" s="291"/>
      <c r="L25" s="105"/>
      <c r="M25" s="29">
        <f>'Données normes'!C119</f>
        <v>491</v>
      </c>
      <c r="N25" s="734">
        <f>M25/$M$76</f>
        <v>3.530895121790046E-2</v>
      </c>
      <c r="O25" s="198" t="str">
        <f>'Données normes'!$A$119</f>
        <v>Insecticides</v>
      </c>
      <c r="P25" s="13"/>
      <c r="Q25" s="11"/>
      <c r="R25" s="291"/>
      <c r="S25" s="105"/>
      <c r="T25" s="29">
        <f>'Données normes'!$D$119</f>
        <v>1241</v>
      </c>
      <c r="U25" s="734">
        <f t="shared" si="0"/>
        <v>4.7301077913545403E-2</v>
      </c>
      <c r="V25" s="198" t="str">
        <f>'Données normes'!$A$119</f>
        <v>Insecticides</v>
      </c>
      <c r="W25" s="13"/>
      <c r="X25" s="11"/>
      <c r="Y25" s="291"/>
      <c r="Z25" s="105"/>
      <c r="AA25" s="29">
        <f>'Données normes'!$D$119</f>
        <v>1241</v>
      </c>
      <c r="AB25" s="734">
        <f t="shared" si="1"/>
        <v>4.3507542757705145E-2</v>
      </c>
      <c r="AC25" s="198" t="str">
        <f>'Données normes'!$A$119</f>
        <v>Insecticides</v>
      </c>
      <c r="AD25" s="13"/>
      <c r="AE25" s="11"/>
      <c r="AF25" s="291"/>
      <c r="AG25" s="105"/>
      <c r="AH25" s="29">
        <f>'Données normes'!$D$119</f>
        <v>1241</v>
      </c>
      <c r="AI25" s="734">
        <f t="shared" si="2"/>
        <v>3.9819419820266599E-2</v>
      </c>
      <c r="AJ25" s="198" t="str">
        <f>'Données normes'!$A$119</f>
        <v>Insecticides</v>
      </c>
      <c r="AK25" s="13"/>
      <c r="AL25" s="11"/>
      <c r="AM25" s="291"/>
      <c r="AN25" s="105"/>
      <c r="AO25" s="29">
        <f>'Données normes'!$D$119</f>
        <v>1241</v>
      </c>
      <c r="AP25" s="734">
        <f t="shared" si="3"/>
        <v>3.681107056181683E-2</v>
      </c>
      <c r="AQ25" s="198" t="str">
        <f>'Données normes'!$A$119</f>
        <v>Insecticides</v>
      </c>
      <c r="AR25" s="13"/>
      <c r="AS25" s="11"/>
      <c r="AT25" s="291"/>
      <c r="AU25" s="105"/>
      <c r="AV25" s="29">
        <f>'Données normes'!$D$119</f>
        <v>1241</v>
      </c>
      <c r="AW25" s="734">
        <f t="shared" si="4"/>
        <v>3.6938482000847976E-2</v>
      </c>
      <c r="AX25" s="198" t="str">
        <f>'Données normes'!$A$119</f>
        <v>Insecticides</v>
      </c>
      <c r="AY25" s="13"/>
      <c r="AZ25" s="11"/>
      <c r="BA25" s="291"/>
      <c r="BB25" s="105"/>
      <c r="BC25" s="29">
        <f>'Données normes'!$D$119</f>
        <v>1241</v>
      </c>
      <c r="BD25" s="734">
        <f t="shared" si="5"/>
        <v>3.7068709735112969E-2</v>
      </c>
      <c r="BE25" s="198" t="str">
        <f>'Données normes'!$A$119</f>
        <v>Insecticides</v>
      </c>
      <c r="BF25" s="13"/>
      <c r="BG25" s="11"/>
      <c r="BH25" s="291"/>
      <c r="BI25" s="105"/>
      <c r="BJ25" s="29">
        <f>'Données normes'!$D$119</f>
        <v>1241</v>
      </c>
      <c r="BK25" s="734">
        <f t="shared" si="6"/>
        <v>3.7201833265022625E-2</v>
      </c>
      <c r="BL25" s="198" t="str">
        <f>'Données normes'!$A$119</f>
        <v>Insecticides</v>
      </c>
      <c r="BM25" s="13"/>
      <c r="BN25" s="11"/>
      <c r="BO25" s="291"/>
      <c r="BP25" s="105"/>
      <c r="BQ25" s="29">
        <f>'Données normes'!$D$119</f>
        <v>1241</v>
      </c>
      <c r="BR25" s="734">
        <f t="shared" si="7"/>
        <v>3.733793500985598E-2</v>
      </c>
      <c r="BS25" s="198" t="str">
        <f>'Données normes'!$A$119</f>
        <v>Insecticides</v>
      </c>
      <c r="BT25" s="13"/>
      <c r="BU25" s="11"/>
      <c r="BV25" s="291"/>
      <c r="BW25" s="105"/>
      <c r="BX25" s="29">
        <f>'Données normes'!$D$119</f>
        <v>1241</v>
      </c>
      <c r="BY25" s="734">
        <f t="shared" si="8"/>
        <v>3.7451525640198491E-2</v>
      </c>
      <c r="BZ25" s="198" t="str">
        <f>'Données normes'!$A$119</f>
        <v>Insecticides</v>
      </c>
      <c r="CA25" s="13"/>
      <c r="CB25" s="11"/>
      <c r="CC25" s="291"/>
      <c r="CD25" s="105"/>
      <c r="CE25" s="29">
        <f>'Données normes'!$D$119</f>
        <v>1241</v>
      </c>
      <c r="CF25" s="734">
        <f t="shared" si="9"/>
        <v>3.7567529085427029E-2</v>
      </c>
      <c r="CG25" s="198" t="str">
        <f>'Données normes'!$A$119</f>
        <v>Insecticides</v>
      </c>
      <c r="CH25" s="13"/>
      <c r="CI25" s="11"/>
      <c r="CJ25" s="291"/>
      <c r="CK25" s="105"/>
      <c r="CL25" s="29">
        <f>'Données normes'!$D$119</f>
        <v>1241</v>
      </c>
      <c r="CM25" s="734">
        <f t="shared" si="10"/>
        <v>3.7686009774784861E-2</v>
      </c>
      <c r="CN25" s="198" t="str">
        <f>'Données normes'!$A$119</f>
        <v>Insecticides</v>
      </c>
      <c r="CO25" s="13"/>
      <c r="CP25" s="11"/>
      <c r="CQ25" s="291"/>
      <c r="CR25" s="105"/>
      <c r="CS25" s="29">
        <f>'Données normes'!$D$119</f>
        <v>1241</v>
      </c>
      <c r="CT25" s="734">
        <f t="shared" si="11"/>
        <v>3.7781007427857283E-2</v>
      </c>
      <c r="CU25" s="198" t="str">
        <f>'Données normes'!$A$119</f>
        <v>Insecticides</v>
      </c>
      <c r="CV25" s="13"/>
      <c r="CW25" s="11"/>
      <c r="CX25" s="291"/>
      <c r="CY25" s="105"/>
      <c r="CZ25" s="29">
        <f>'Données normes'!$D$119</f>
        <v>1241</v>
      </c>
      <c r="DA25" s="734">
        <f t="shared" si="12"/>
        <v>3.1607245164599347E-2</v>
      </c>
    </row>
    <row r="26" spans="1:105" ht="12.5" x14ac:dyDescent="0.25">
      <c r="A26" s="198" t="str">
        <f>'Données normes'!$A$120</f>
        <v>Herbicides</v>
      </c>
      <c r="B26" s="13"/>
      <c r="C26" s="11"/>
      <c r="D26" s="291"/>
      <c r="E26" s="105"/>
      <c r="F26" s="29">
        <f>'Données normes'!B120</f>
        <v>0</v>
      </c>
      <c r="G26" s="734">
        <f>F26/$F$76</f>
        <v>0</v>
      </c>
      <c r="H26" s="198" t="str">
        <f>'Données normes'!$A$120</f>
        <v>Herbicides</v>
      </c>
      <c r="I26" s="13"/>
      <c r="J26" s="11"/>
      <c r="K26" s="291"/>
      <c r="L26" s="105"/>
      <c r="M26" s="29">
        <f>'Données normes'!C120</f>
        <v>0</v>
      </c>
      <c r="N26" s="734">
        <f>M26/$M$76</f>
        <v>0</v>
      </c>
      <c r="O26" s="198" t="str">
        <f>'Données normes'!$A$120</f>
        <v>Herbicides</v>
      </c>
      <c r="P26" s="13"/>
      <c r="Q26" s="11"/>
      <c r="R26" s="291"/>
      <c r="S26" s="105"/>
      <c r="T26" s="29">
        <f>'Données normes'!$D$120</f>
        <v>430</v>
      </c>
      <c r="U26" s="734">
        <f t="shared" si="0"/>
        <v>1.6389575747642646E-2</v>
      </c>
      <c r="V26" s="198" t="str">
        <f>'Données normes'!$A$120</f>
        <v>Herbicides</v>
      </c>
      <c r="W26" s="13"/>
      <c r="X26" s="11"/>
      <c r="Y26" s="291"/>
      <c r="Z26" s="105"/>
      <c r="AA26" s="29">
        <f>'Données normes'!$D$120</f>
        <v>430</v>
      </c>
      <c r="AB26" s="734">
        <f t="shared" si="1"/>
        <v>1.5075135685586794E-2</v>
      </c>
      <c r="AC26" s="198" t="str">
        <f>'Données normes'!$A$120</f>
        <v>Herbicides</v>
      </c>
      <c r="AD26" s="13"/>
      <c r="AE26" s="11"/>
      <c r="AF26" s="291"/>
      <c r="AG26" s="105"/>
      <c r="AH26" s="29">
        <f>'Données normes'!$D$120</f>
        <v>430</v>
      </c>
      <c r="AI26" s="734">
        <f t="shared" si="2"/>
        <v>1.3797220405088345E-2</v>
      </c>
      <c r="AJ26" s="198" t="str">
        <f>'Données normes'!$A$120</f>
        <v>Herbicides</v>
      </c>
      <c r="AK26" s="13"/>
      <c r="AL26" s="11"/>
      <c r="AM26" s="291"/>
      <c r="AN26" s="105"/>
      <c r="AO26" s="29">
        <f>'Données normes'!$D$120</f>
        <v>430</v>
      </c>
      <c r="AP26" s="734">
        <f t="shared" si="3"/>
        <v>1.2754843143901079E-2</v>
      </c>
      <c r="AQ26" s="198" t="str">
        <f>'Données normes'!$A$120</f>
        <v>Herbicides</v>
      </c>
      <c r="AR26" s="13"/>
      <c r="AS26" s="11"/>
      <c r="AT26" s="291"/>
      <c r="AU26" s="105"/>
      <c r="AV26" s="29">
        <f>'Données normes'!$D$120</f>
        <v>430</v>
      </c>
      <c r="AW26" s="734">
        <f t="shared" si="4"/>
        <v>1.2798990540181007E-2</v>
      </c>
      <c r="AX26" s="198" t="str">
        <f>'Données normes'!$A$120</f>
        <v>Herbicides</v>
      </c>
      <c r="AY26" s="13"/>
      <c r="AZ26" s="11"/>
      <c r="BA26" s="291"/>
      <c r="BB26" s="105"/>
      <c r="BC26" s="29">
        <f>'Données normes'!$D$120</f>
        <v>430</v>
      </c>
      <c r="BD26" s="734">
        <f t="shared" si="5"/>
        <v>1.2844113768008522E-2</v>
      </c>
      <c r="BE26" s="198" t="str">
        <f>'Données normes'!$A$120</f>
        <v>Herbicides</v>
      </c>
      <c r="BF26" s="13"/>
      <c r="BG26" s="11"/>
      <c r="BH26" s="291"/>
      <c r="BI26" s="105"/>
      <c r="BJ26" s="29">
        <f>'Données normes'!$D$120</f>
        <v>430</v>
      </c>
      <c r="BK26" s="734">
        <f t="shared" si="6"/>
        <v>1.2890240373859571E-2</v>
      </c>
      <c r="BL26" s="198" t="str">
        <f>'Données normes'!$A$120</f>
        <v>Herbicides</v>
      </c>
      <c r="BM26" s="13"/>
      <c r="BN26" s="11"/>
      <c r="BO26" s="291"/>
      <c r="BP26" s="105"/>
      <c r="BQ26" s="29">
        <f>'Données normes'!$D$120</f>
        <v>430</v>
      </c>
      <c r="BR26" s="734">
        <f t="shared" si="7"/>
        <v>1.2937398915582652E-2</v>
      </c>
      <c r="BS26" s="198" t="str">
        <f>'Données normes'!$A$120</f>
        <v>Herbicides</v>
      </c>
      <c r="BT26" s="13"/>
      <c r="BU26" s="11"/>
      <c r="BV26" s="291"/>
      <c r="BW26" s="105"/>
      <c r="BX26" s="29">
        <f>'Données normes'!$D$120</f>
        <v>430</v>
      </c>
      <c r="BY26" s="734">
        <f t="shared" si="8"/>
        <v>1.2976757474041379E-2</v>
      </c>
      <c r="BZ26" s="198" t="str">
        <f>'Données normes'!$A$120</f>
        <v>Herbicides</v>
      </c>
      <c r="CA26" s="13"/>
      <c r="CB26" s="11"/>
      <c r="CC26" s="291"/>
      <c r="CD26" s="105"/>
      <c r="CE26" s="29">
        <f>'Données normes'!$D$120</f>
        <v>430</v>
      </c>
      <c r="CF26" s="734">
        <f t="shared" si="9"/>
        <v>1.3016952060220487E-2</v>
      </c>
      <c r="CG26" s="198" t="str">
        <f>'Données normes'!$A$120</f>
        <v>Herbicides</v>
      </c>
      <c r="CH26" s="13"/>
      <c r="CI26" s="11"/>
      <c r="CJ26" s="291"/>
      <c r="CK26" s="105"/>
      <c r="CL26" s="29">
        <f>'Données normes'!$D$120</f>
        <v>430</v>
      </c>
      <c r="CM26" s="734">
        <f t="shared" si="10"/>
        <v>1.3058004998515301E-2</v>
      </c>
      <c r="CN26" s="198" t="str">
        <f>'Données normes'!$A$120</f>
        <v>Herbicides</v>
      </c>
      <c r="CO26" s="13"/>
      <c r="CP26" s="11"/>
      <c r="CQ26" s="291"/>
      <c r="CR26" s="105"/>
      <c r="CS26" s="29">
        <f>'Données normes'!$D$120</f>
        <v>430</v>
      </c>
      <c r="CT26" s="734">
        <f t="shared" si="11"/>
        <v>1.3090921187734594E-2</v>
      </c>
      <c r="CU26" s="198" t="str">
        <f>'Données normes'!$A$120</f>
        <v>Herbicides</v>
      </c>
      <c r="CV26" s="13"/>
      <c r="CW26" s="11"/>
      <c r="CX26" s="291"/>
      <c r="CY26" s="105"/>
      <c r="CZ26" s="29">
        <f>'Données normes'!$D$120</f>
        <v>430</v>
      </c>
      <c r="DA26" s="734">
        <f t="shared" si="12"/>
        <v>1.0951744899901465E-2</v>
      </c>
    </row>
    <row r="27" spans="1:105" ht="12.5" x14ac:dyDescent="0.25">
      <c r="A27" s="198" t="str">
        <f>'Données normes'!$A$121</f>
        <v>Régulation de la végétation</v>
      </c>
      <c r="B27" s="13"/>
      <c r="C27" s="11"/>
      <c r="D27" s="291"/>
      <c r="E27" s="105"/>
      <c r="F27" s="29">
        <f>'Données normes'!B121</f>
        <v>0</v>
      </c>
      <c r="G27" s="734"/>
      <c r="H27" s="198" t="str">
        <f>'Données normes'!$A$121</f>
        <v>Régulation de la végétation</v>
      </c>
      <c r="I27" s="13"/>
      <c r="J27" s="11"/>
      <c r="K27" s="291"/>
      <c r="L27" s="105"/>
      <c r="M27" s="29">
        <f>'Données normes'!C121</f>
        <v>0</v>
      </c>
      <c r="N27" s="734"/>
      <c r="O27" s="198" t="str">
        <f>'Données normes'!$A$121</f>
        <v>Régulation de la végétation</v>
      </c>
      <c r="P27" s="13"/>
      <c r="Q27" s="11"/>
      <c r="R27" s="291"/>
      <c r="S27" s="105"/>
      <c r="T27" s="29">
        <f>'Données normes'!$D$121</f>
        <v>10</v>
      </c>
      <c r="U27" s="734">
        <f t="shared" si="0"/>
        <v>3.8115292436378246E-4</v>
      </c>
      <c r="V27" s="198" t="str">
        <f>'Données normes'!$A$121</f>
        <v>Régulation de la végétation</v>
      </c>
      <c r="W27" s="13"/>
      <c r="X27" s="11"/>
      <c r="Y27" s="291"/>
      <c r="Z27" s="105"/>
      <c r="AA27" s="29">
        <f>'Données normes'!$D$121</f>
        <v>10</v>
      </c>
      <c r="AB27" s="734">
        <f t="shared" si="1"/>
        <v>3.5058455082759987E-4</v>
      </c>
      <c r="AC27" s="198" t="str">
        <f>'Données normes'!$A$121</f>
        <v>Régulation de la végétation</v>
      </c>
      <c r="AD27" s="13"/>
      <c r="AE27" s="11"/>
      <c r="AF27" s="291"/>
      <c r="AG27" s="105"/>
      <c r="AH27" s="29">
        <f>'Données normes'!$D$121</f>
        <v>10</v>
      </c>
      <c r="AI27" s="734">
        <f t="shared" si="2"/>
        <v>3.2086559081600803E-4</v>
      </c>
      <c r="AJ27" s="198" t="str">
        <f>'Données normes'!$A$121</f>
        <v>Régulation de la végétation</v>
      </c>
      <c r="AK27" s="13"/>
      <c r="AL27" s="11"/>
      <c r="AM27" s="291"/>
      <c r="AN27" s="105"/>
      <c r="AO27" s="29">
        <f>'Données normes'!$D$121</f>
        <v>10</v>
      </c>
      <c r="AP27" s="734">
        <f t="shared" si="3"/>
        <v>2.9662425916049021E-4</v>
      </c>
      <c r="AQ27" s="198" t="str">
        <f>'Données normes'!$A$121</f>
        <v>Régulation de la végétation</v>
      </c>
      <c r="AR27" s="13"/>
      <c r="AS27" s="11"/>
      <c r="AT27" s="291"/>
      <c r="AU27" s="105"/>
      <c r="AV27" s="29">
        <f>'Données normes'!$D$121</f>
        <v>10</v>
      </c>
      <c r="AW27" s="734">
        <f t="shared" si="4"/>
        <v>2.9765094279490714E-4</v>
      </c>
      <c r="AX27" s="198" t="str">
        <f>'Données normes'!$A$121</f>
        <v>Régulation de la végétation</v>
      </c>
      <c r="AY27" s="13"/>
      <c r="AZ27" s="11"/>
      <c r="BA27" s="291"/>
      <c r="BB27" s="105"/>
      <c r="BC27" s="29">
        <f>'Données normes'!$D$121</f>
        <v>10</v>
      </c>
      <c r="BD27" s="734">
        <f t="shared" si="5"/>
        <v>2.987003201862447E-4</v>
      </c>
      <c r="BE27" s="198" t="str">
        <f>'Données normes'!$A$121</f>
        <v>Régulation de la végétation</v>
      </c>
      <c r="BF27" s="13"/>
      <c r="BG27" s="11"/>
      <c r="BH27" s="291"/>
      <c r="BI27" s="105"/>
      <c r="BJ27" s="29">
        <f>'Données normes'!$D$121</f>
        <v>10</v>
      </c>
      <c r="BK27" s="734">
        <f t="shared" si="6"/>
        <v>2.9977303195022261E-4</v>
      </c>
      <c r="BL27" s="198" t="str">
        <f>'Données normes'!$A$121</f>
        <v>Régulation de la végétation</v>
      </c>
      <c r="BM27" s="13"/>
      <c r="BN27" s="11"/>
      <c r="BO27" s="291"/>
      <c r="BP27" s="105"/>
      <c r="BQ27" s="29">
        <f>'Données normes'!$D$121</f>
        <v>10</v>
      </c>
      <c r="BR27" s="734">
        <f t="shared" si="7"/>
        <v>3.008697422228524E-4</v>
      </c>
      <c r="BS27" s="198" t="str">
        <f>'Données normes'!$A$121</f>
        <v>Régulation de la végétation</v>
      </c>
      <c r="BT27" s="13"/>
      <c r="BU27" s="11"/>
      <c r="BV27" s="291"/>
      <c r="BW27" s="105"/>
      <c r="BX27" s="29">
        <f>'Données normes'!$D$121</f>
        <v>10</v>
      </c>
      <c r="BY27" s="734">
        <f t="shared" si="8"/>
        <v>3.0178505753584604E-4</v>
      </c>
      <c r="BZ27" s="198" t="str">
        <f>'Données normes'!$A$121</f>
        <v>Régulation de la végétation</v>
      </c>
      <c r="CA27" s="13"/>
      <c r="CB27" s="11"/>
      <c r="CC27" s="291"/>
      <c r="CD27" s="105"/>
      <c r="CE27" s="29">
        <f>'Données normes'!$D$121</f>
        <v>10</v>
      </c>
      <c r="CF27" s="734">
        <f t="shared" si="9"/>
        <v>3.0271981535396481E-4</v>
      </c>
      <c r="CG27" s="198" t="str">
        <f>'Données normes'!$A$121</f>
        <v>Régulation de la végétation</v>
      </c>
      <c r="CH27" s="13"/>
      <c r="CI27" s="11"/>
      <c r="CJ27" s="291"/>
      <c r="CK27" s="105"/>
      <c r="CL27" s="29">
        <f>'Données normes'!$D$121</f>
        <v>10</v>
      </c>
      <c r="CM27" s="734">
        <f t="shared" si="10"/>
        <v>3.0367453484919307E-4</v>
      </c>
      <c r="CN27" s="198" t="str">
        <f>'Données normes'!$A$121</f>
        <v>Régulation de la végétation</v>
      </c>
      <c r="CO27" s="13"/>
      <c r="CP27" s="11"/>
      <c r="CQ27" s="291"/>
      <c r="CR27" s="105"/>
      <c r="CS27" s="29">
        <f>'Données normes'!$D$121</f>
        <v>10</v>
      </c>
      <c r="CT27" s="734">
        <f t="shared" si="11"/>
        <v>3.0444002762173471E-4</v>
      </c>
      <c r="CU27" s="198" t="str">
        <f>'Données normes'!$A$121</f>
        <v>Régulation de la végétation</v>
      </c>
      <c r="CV27" s="13"/>
      <c r="CW27" s="11"/>
      <c r="CX27" s="291"/>
      <c r="CY27" s="105"/>
      <c r="CZ27" s="29">
        <f>'Données normes'!$D$121</f>
        <v>10</v>
      </c>
      <c r="DA27" s="734">
        <f t="shared" si="12"/>
        <v>2.5469174185817361E-4</v>
      </c>
    </row>
    <row r="28" spans="1:105" ht="15" customHeight="1" thickBot="1" x14ac:dyDescent="0.3">
      <c r="A28" s="198" t="str">
        <f>'Données normes'!$A$122</f>
        <v>Fertilisation foliaire</v>
      </c>
      <c r="B28" s="13"/>
      <c r="C28" s="11"/>
      <c r="D28" s="291"/>
      <c r="E28" s="105"/>
      <c r="F28" s="758">
        <f>'Données normes'!B122</f>
        <v>0</v>
      </c>
      <c r="G28" s="734">
        <f>F28/$F$76</f>
        <v>0</v>
      </c>
      <c r="H28" s="198" t="str">
        <f>'Données normes'!$A$122</f>
        <v>Fertilisation foliaire</v>
      </c>
      <c r="I28" s="13"/>
      <c r="J28" s="11"/>
      <c r="K28" s="291"/>
      <c r="L28" s="105"/>
      <c r="M28" s="758">
        <f>'Données normes'!C122</f>
        <v>0</v>
      </c>
      <c r="N28" s="734">
        <f>M28/$M$76</f>
        <v>0</v>
      </c>
      <c r="O28" s="198" t="str">
        <f>'Données normes'!$A$122</f>
        <v>Fertilisation foliaire</v>
      </c>
      <c r="P28" s="13"/>
      <c r="Q28" s="11"/>
      <c r="R28" s="291"/>
      <c r="S28" s="105"/>
      <c r="T28" s="758">
        <f>'Données normes'!$D$122</f>
        <v>360</v>
      </c>
      <c r="U28" s="734">
        <f t="shared" si="0"/>
        <v>1.3721505277096167E-2</v>
      </c>
      <c r="V28" s="198" t="str">
        <f>'Données normes'!$A$122</f>
        <v>Fertilisation foliaire</v>
      </c>
      <c r="W28" s="13"/>
      <c r="X28" s="11"/>
      <c r="Y28" s="291"/>
      <c r="Z28" s="105"/>
      <c r="AA28" s="758">
        <f>'Données normes'!$D$122</f>
        <v>360</v>
      </c>
      <c r="AB28" s="734">
        <f t="shared" si="1"/>
        <v>1.2621043829793595E-2</v>
      </c>
      <c r="AC28" s="198" t="str">
        <f>'Données normes'!$A$122</f>
        <v>Fertilisation foliaire</v>
      </c>
      <c r="AD28" s="13"/>
      <c r="AE28" s="11"/>
      <c r="AF28" s="291"/>
      <c r="AG28" s="105"/>
      <c r="AH28" s="758">
        <f>'Données normes'!$D$122</f>
        <v>360</v>
      </c>
      <c r="AI28" s="734">
        <f t="shared" si="2"/>
        <v>1.1551161269376289E-2</v>
      </c>
      <c r="AJ28" s="198" t="str">
        <f>'Données normes'!$A$122</f>
        <v>Fertilisation foliaire</v>
      </c>
      <c r="AK28" s="13"/>
      <c r="AL28" s="11"/>
      <c r="AM28" s="291"/>
      <c r="AN28" s="105"/>
      <c r="AO28" s="758">
        <f>'Données normes'!$D$122</f>
        <v>360</v>
      </c>
      <c r="AP28" s="734">
        <f t="shared" si="3"/>
        <v>1.0678473329777647E-2</v>
      </c>
      <c r="AQ28" s="198" t="str">
        <f>'Données normes'!$A$122</f>
        <v>Fertilisation foliaire</v>
      </c>
      <c r="AR28" s="13"/>
      <c r="AS28" s="11"/>
      <c r="AT28" s="291"/>
      <c r="AU28" s="105"/>
      <c r="AV28" s="758">
        <f>'Données normes'!$D$122</f>
        <v>360</v>
      </c>
      <c r="AW28" s="734">
        <f t="shared" si="4"/>
        <v>1.0715433940616657E-2</v>
      </c>
      <c r="AX28" s="198" t="str">
        <f>'Données normes'!$A$122</f>
        <v>Fertilisation foliaire</v>
      </c>
      <c r="AY28" s="13"/>
      <c r="AZ28" s="11"/>
      <c r="BA28" s="291"/>
      <c r="BB28" s="105"/>
      <c r="BC28" s="758">
        <f>'Données normes'!$D$122</f>
        <v>360</v>
      </c>
      <c r="BD28" s="734">
        <f t="shared" si="5"/>
        <v>1.0753211526704809E-2</v>
      </c>
      <c r="BE28" s="198" t="str">
        <f>'Données normes'!$A$122</f>
        <v>Fertilisation foliaire</v>
      </c>
      <c r="BF28" s="13"/>
      <c r="BG28" s="11"/>
      <c r="BH28" s="291"/>
      <c r="BI28" s="105"/>
      <c r="BJ28" s="758">
        <f>'Données normes'!$D$122</f>
        <v>360</v>
      </c>
      <c r="BK28" s="734">
        <f t="shared" si="6"/>
        <v>1.0791829150208014E-2</v>
      </c>
      <c r="BL28" s="198" t="str">
        <f>'Données normes'!$A$122</f>
        <v>Fertilisation foliaire</v>
      </c>
      <c r="BM28" s="13"/>
      <c r="BN28" s="11"/>
      <c r="BO28" s="291"/>
      <c r="BP28" s="105"/>
      <c r="BQ28" s="758">
        <f>'Données normes'!$D$122</f>
        <v>360</v>
      </c>
      <c r="BR28" s="734">
        <f t="shared" si="7"/>
        <v>1.0831310720022686E-2</v>
      </c>
      <c r="BS28" s="198" t="str">
        <f>'Données normes'!$A$122</f>
        <v>Fertilisation foliaire</v>
      </c>
      <c r="BT28" s="13"/>
      <c r="BU28" s="11"/>
      <c r="BV28" s="291"/>
      <c r="BW28" s="105"/>
      <c r="BX28" s="758">
        <f>'Données normes'!$D$122</f>
        <v>360</v>
      </c>
      <c r="BY28" s="734">
        <f t="shared" si="8"/>
        <v>1.0864262071290457E-2</v>
      </c>
      <c r="BZ28" s="198" t="str">
        <f>'Données normes'!$A$122</f>
        <v>Fertilisation foliaire</v>
      </c>
      <c r="CA28" s="13"/>
      <c r="CB28" s="11"/>
      <c r="CC28" s="291"/>
      <c r="CD28" s="105"/>
      <c r="CE28" s="758">
        <f>'Données normes'!$D$122</f>
        <v>360</v>
      </c>
      <c r="CF28" s="734">
        <f t="shared" si="9"/>
        <v>1.0897913352742733E-2</v>
      </c>
      <c r="CG28" s="198" t="str">
        <f>'Données normes'!$A$122</f>
        <v>Fertilisation foliaire</v>
      </c>
      <c r="CH28" s="13"/>
      <c r="CI28" s="11"/>
      <c r="CJ28" s="291"/>
      <c r="CK28" s="105"/>
      <c r="CL28" s="758">
        <f>'Données normes'!$D$122</f>
        <v>360</v>
      </c>
      <c r="CM28" s="734">
        <f t="shared" si="10"/>
        <v>1.093228325457095E-2</v>
      </c>
      <c r="CN28" s="198" t="str">
        <f>'Données normes'!$A$122</f>
        <v>Fertilisation foliaire</v>
      </c>
      <c r="CO28" s="13"/>
      <c r="CP28" s="11"/>
      <c r="CQ28" s="291"/>
      <c r="CR28" s="105"/>
      <c r="CS28" s="758">
        <f>'Données normes'!$D$122</f>
        <v>360</v>
      </c>
      <c r="CT28" s="734">
        <f t="shared" si="11"/>
        <v>1.095984099438245E-2</v>
      </c>
      <c r="CU28" s="198" t="str">
        <f>'Données normes'!$A$122</f>
        <v>Fertilisation foliaire</v>
      </c>
      <c r="CV28" s="13"/>
      <c r="CW28" s="11"/>
      <c r="CX28" s="291"/>
      <c r="CY28" s="105"/>
      <c r="CZ28" s="758">
        <f>'Données normes'!$D$122</f>
        <v>360</v>
      </c>
      <c r="DA28" s="734">
        <f t="shared" si="12"/>
        <v>9.1689027068942511E-3</v>
      </c>
    </row>
    <row r="29" spans="1:105" s="1" customFormat="1" ht="16.5" customHeight="1" x14ac:dyDescent="0.3">
      <c r="A29" s="610"/>
      <c r="B29" s="1152"/>
      <c r="C29" s="41"/>
      <c r="D29" s="41"/>
      <c r="E29" s="42"/>
      <c r="F29" s="80">
        <f>SUM(F23:F28)</f>
        <v>1700</v>
      </c>
      <c r="G29" s="730">
        <f>F29/F76</f>
        <v>0.14503523263114684</v>
      </c>
      <c r="H29" s="610"/>
      <c r="I29" s="1152"/>
      <c r="J29" s="41"/>
      <c r="K29" s="41"/>
      <c r="L29" s="42"/>
      <c r="M29" s="80">
        <f>SUM(M23:M28)</f>
        <v>1700</v>
      </c>
      <c r="N29" s="730">
        <f>M29/$M$76</f>
        <v>0.12225095126360647</v>
      </c>
      <c r="O29" s="610"/>
      <c r="P29" s="1152"/>
      <c r="Q29" s="41"/>
      <c r="R29" s="41"/>
      <c r="S29" s="42"/>
      <c r="T29" s="80">
        <f>SUM(T23:T28)</f>
        <v>5942</v>
      </c>
      <c r="U29" s="730">
        <f>T29/T$76</f>
        <v>0.22648106765695952</v>
      </c>
      <c r="V29" s="610"/>
      <c r="W29" s="1152"/>
      <c r="X29" s="41"/>
      <c r="Y29" s="41"/>
      <c r="Z29" s="42"/>
      <c r="AA29" s="80">
        <f>SUM(AA23:AA28)</f>
        <v>5942</v>
      </c>
      <c r="AB29" s="730">
        <f>AA29/AA$76</f>
        <v>0.20831734010175984</v>
      </c>
      <c r="AC29" s="610"/>
      <c r="AD29" s="1152"/>
      <c r="AE29" s="41"/>
      <c r="AF29" s="41"/>
      <c r="AG29" s="42"/>
      <c r="AH29" s="80">
        <f>SUM(AH23:AH28)</f>
        <v>5942</v>
      </c>
      <c r="AI29" s="730">
        <f>AH29/AH$76</f>
        <v>0.19065833406287197</v>
      </c>
      <c r="AJ29" s="610"/>
      <c r="AK29" s="1152"/>
      <c r="AL29" s="41"/>
      <c r="AM29" s="41"/>
      <c r="AN29" s="42"/>
      <c r="AO29" s="80">
        <f>SUM(AO23:AO28)</f>
        <v>5942</v>
      </c>
      <c r="AP29" s="730">
        <f>AO29/AO$76</f>
        <v>0.17625413479316326</v>
      </c>
      <c r="AQ29" s="610"/>
      <c r="AR29" s="1152"/>
      <c r="AS29" s="41"/>
      <c r="AT29" s="41"/>
      <c r="AU29" s="42"/>
      <c r="AV29" s="80">
        <f>SUM(AV23:AV28)</f>
        <v>5942</v>
      </c>
      <c r="AW29" s="730">
        <f>AV29/AV$76</f>
        <v>0.17686419020873384</v>
      </c>
      <c r="AX29" s="610"/>
      <c r="AY29" s="1152"/>
      <c r="AZ29" s="41"/>
      <c r="BA29" s="41"/>
      <c r="BB29" s="42"/>
      <c r="BC29" s="80">
        <f>SUM(BC23:BC28)</f>
        <v>5942</v>
      </c>
      <c r="BD29" s="730">
        <f>BC29/BC$76</f>
        <v>0.1774877302546666</v>
      </c>
      <c r="BE29" s="610"/>
      <c r="BF29" s="1152"/>
      <c r="BG29" s="41"/>
      <c r="BH29" s="41"/>
      <c r="BI29" s="42"/>
      <c r="BJ29" s="80">
        <f>SUM(BJ23:BJ28)</f>
        <v>5942</v>
      </c>
      <c r="BK29" s="730">
        <f>BJ29/BJ$76</f>
        <v>0.17812513558482226</v>
      </c>
      <c r="BL29" s="610"/>
      <c r="BM29" s="1152"/>
      <c r="BN29" s="41"/>
      <c r="BO29" s="41"/>
      <c r="BP29" s="42"/>
      <c r="BQ29" s="80">
        <f>SUM(BQ23:BQ28)</f>
        <v>5942</v>
      </c>
      <c r="BR29" s="730">
        <f>BQ29/BQ$76</f>
        <v>0.17877680082881889</v>
      </c>
      <c r="BS29" s="610"/>
      <c r="BT29" s="1152"/>
      <c r="BU29" s="41"/>
      <c r="BV29" s="41"/>
      <c r="BW29" s="42"/>
      <c r="BX29" s="80">
        <f>SUM(BX23:BX28)</f>
        <v>5942</v>
      </c>
      <c r="BY29" s="730">
        <f>BX29/BX$76</f>
        <v>0.1793206811877997</v>
      </c>
      <c r="BZ29" s="610"/>
      <c r="CA29" s="1152"/>
      <c r="CB29" s="41"/>
      <c r="CC29" s="41"/>
      <c r="CD29" s="42"/>
      <c r="CE29" s="80">
        <f>SUM(CE23:CE28)</f>
        <v>5942</v>
      </c>
      <c r="CF29" s="730">
        <f>CE29/CE$76</f>
        <v>0.17987611428332587</v>
      </c>
      <c r="CG29" s="610"/>
      <c r="CH29" s="1152"/>
      <c r="CI29" s="41"/>
      <c r="CJ29" s="41"/>
      <c r="CK29" s="42"/>
      <c r="CL29" s="80">
        <f>SUM(CL23:CL28)</f>
        <v>5942</v>
      </c>
      <c r="CM29" s="730">
        <f>CL29/CL$76</f>
        <v>0.1804434086073905</v>
      </c>
      <c r="CN29" s="610"/>
      <c r="CO29" s="1152"/>
      <c r="CP29" s="41"/>
      <c r="CQ29" s="41"/>
      <c r="CR29" s="42"/>
      <c r="CS29" s="80">
        <f>SUM(CS23:CS28)</f>
        <v>5942</v>
      </c>
      <c r="CT29" s="730">
        <f>CS29/CS$76</f>
        <v>0.18089826441283477</v>
      </c>
      <c r="CU29" s="610"/>
      <c r="CV29" s="1152"/>
      <c r="CW29" s="41"/>
      <c r="CX29" s="41"/>
      <c r="CY29" s="42"/>
      <c r="CZ29" s="80">
        <f>SUM(CZ23:CZ28)</f>
        <v>5942</v>
      </c>
      <c r="DA29" s="730">
        <f>CZ29/CZ$76</f>
        <v>0.15133783301212678</v>
      </c>
    </row>
    <row r="30" spans="1:105" ht="16.5" customHeight="1" x14ac:dyDescent="0.3">
      <c r="A30" s="69" t="s">
        <v>544</v>
      </c>
      <c r="B30" s="1152">
        <f>'Données normes'!$C$179</f>
        <v>0</v>
      </c>
      <c r="C30" s="1150">
        <f>'Normes grêle'!$D$80</f>
        <v>0.112</v>
      </c>
      <c r="D30" s="104">
        <f>'Normes grêle'!$C80</f>
        <v>0</v>
      </c>
      <c r="E30" s="404">
        <f>'Normes grêle'!$E80</f>
        <v>0.8</v>
      </c>
      <c r="F30" s="109">
        <f>B30*C30*D30*E30</f>
        <v>0</v>
      </c>
      <c r="G30" s="730">
        <f>F30/F77</f>
        <v>0</v>
      </c>
      <c r="H30" s="69" t="str">
        <f>A30</f>
        <v>Assurance grêle</v>
      </c>
      <c r="I30" s="1152">
        <f>'Données normes'!$C$179</f>
        <v>0</v>
      </c>
      <c r="J30" s="1150">
        <f>'Normes grêle'!$D$80</f>
        <v>0.112</v>
      </c>
      <c r="K30" s="104">
        <f>'Normes grêle'!$C81</f>
        <v>3920.0000000000005</v>
      </c>
      <c r="L30" s="404">
        <f>'Normes grêle'!$E81</f>
        <v>0.8</v>
      </c>
      <c r="M30" s="109">
        <f>I30*J30*K30*L30</f>
        <v>0</v>
      </c>
      <c r="N30" s="734"/>
      <c r="O30" s="69" t="str">
        <f>H30</f>
        <v>Assurance grêle</v>
      </c>
      <c r="P30" s="1152">
        <f>'Données normes'!$C$179</f>
        <v>0</v>
      </c>
      <c r="Q30" s="1150">
        <f>'Normes grêle'!$D$80</f>
        <v>0.112</v>
      </c>
      <c r="R30" s="104">
        <f>'Normes grêle'!$C82</f>
        <v>14112.000000000002</v>
      </c>
      <c r="S30" s="404">
        <f>'Normes grêle'!$E82</f>
        <v>0.8</v>
      </c>
      <c r="T30" s="109">
        <f>P30*Q30*R30*S30</f>
        <v>0</v>
      </c>
      <c r="U30" s="734"/>
      <c r="V30" s="69" t="str">
        <f>O30</f>
        <v>Assurance grêle</v>
      </c>
      <c r="W30" s="1152">
        <f>'Données normes'!$C$179</f>
        <v>0</v>
      </c>
      <c r="X30" s="1150">
        <f>'Normes grêle'!$D$80</f>
        <v>0.112</v>
      </c>
      <c r="Y30" s="104">
        <f>'Normes grêle'!$C83</f>
        <v>19600</v>
      </c>
      <c r="Z30" s="404">
        <f>'Normes grêle'!$E83</f>
        <v>0.8</v>
      </c>
      <c r="AA30" s="109">
        <f>W30*X30*Y30*Z30</f>
        <v>0</v>
      </c>
      <c r="AB30" s="734"/>
      <c r="AC30" s="69" t="str">
        <f>V30</f>
        <v>Assurance grêle</v>
      </c>
      <c r="AD30" s="1152">
        <f>'Données normes'!$C$179</f>
        <v>0</v>
      </c>
      <c r="AE30" s="1150">
        <f>'Normes grêle'!$D$80</f>
        <v>0.112</v>
      </c>
      <c r="AF30" s="104">
        <f>'Normes grêle'!$C84</f>
        <v>27440.000000000004</v>
      </c>
      <c r="AG30" s="404">
        <f>'Normes grêle'!$E84</f>
        <v>0.8</v>
      </c>
      <c r="AH30" s="109">
        <f>AD30*AE30*AF30*AG30</f>
        <v>0</v>
      </c>
      <c r="AI30" s="730">
        <f>AH30/$AH$76</f>
        <v>0</v>
      </c>
      <c r="AJ30" s="69" t="str">
        <f>AC30</f>
        <v>Assurance grêle</v>
      </c>
      <c r="AK30" s="1152">
        <f>'Données normes'!$C$179</f>
        <v>0</v>
      </c>
      <c r="AL30" s="1150">
        <f>'Normes grêle'!$D$80</f>
        <v>0.112</v>
      </c>
      <c r="AM30" s="104">
        <f>'Normes grêle'!$C85</f>
        <v>35280</v>
      </c>
      <c r="AN30" s="404">
        <f>'Normes grêle'!$E85</f>
        <v>0.8</v>
      </c>
      <c r="AO30" s="109">
        <f>AK30*AL30*AM30*AN30</f>
        <v>0</v>
      </c>
      <c r="AP30" s="734"/>
      <c r="AQ30" s="69" t="str">
        <f>AJ30</f>
        <v>Assurance grêle</v>
      </c>
      <c r="AR30" s="1152">
        <f>'Données normes'!$C$179</f>
        <v>0</v>
      </c>
      <c r="AS30" s="1150">
        <f>'Normes grêle'!$D$80</f>
        <v>0.112</v>
      </c>
      <c r="AT30" s="104">
        <f>'Normes grêle'!$C86</f>
        <v>35280</v>
      </c>
      <c r="AU30" s="404">
        <f>'Normes grêle'!$E86</f>
        <v>0.8</v>
      </c>
      <c r="AV30" s="109">
        <f>AR30*AS30*AT30*AU30</f>
        <v>0</v>
      </c>
      <c r="AW30" s="734"/>
      <c r="AX30" s="69" t="str">
        <f>AQ30</f>
        <v>Assurance grêle</v>
      </c>
      <c r="AY30" s="1152">
        <f>'Données normes'!$C$179</f>
        <v>0</v>
      </c>
      <c r="AZ30" s="1150">
        <f>'Normes grêle'!$D$80</f>
        <v>0.112</v>
      </c>
      <c r="BA30" s="104">
        <f>'Normes grêle'!$C87</f>
        <v>35280</v>
      </c>
      <c r="BB30" s="404">
        <f>'Normes grêle'!$E87</f>
        <v>0.8</v>
      </c>
      <c r="BC30" s="109">
        <f>AY30*AZ30*BA30*BB30</f>
        <v>0</v>
      </c>
      <c r="BD30" s="734"/>
      <c r="BE30" s="69" t="str">
        <f>AX30</f>
        <v>Assurance grêle</v>
      </c>
      <c r="BF30" s="1152">
        <f>'Données normes'!$C$179</f>
        <v>0</v>
      </c>
      <c r="BG30" s="1150">
        <f>'Normes grêle'!$D$80</f>
        <v>0.112</v>
      </c>
      <c r="BH30" s="104">
        <f>'Normes grêle'!$C88</f>
        <v>35280</v>
      </c>
      <c r="BI30" s="404">
        <f>'Normes grêle'!$E88</f>
        <v>0.8</v>
      </c>
      <c r="BJ30" s="109">
        <f>BF30*BG30*BH30*BI30</f>
        <v>0</v>
      </c>
      <c r="BK30" s="734"/>
      <c r="BL30" s="69" t="str">
        <f>BE30</f>
        <v>Assurance grêle</v>
      </c>
      <c r="BM30" s="1152">
        <f>'Données normes'!$C$179</f>
        <v>0</v>
      </c>
      <c r="BN30" s="1150">
        <f>'Normes grêle'!$D$80</f>
        <v>0.112</v>
      </c>
      <c r="BO30" s="104">
        <f>'Normes grêle'!$C89</f>
        <v>32760.000000000007</v>
      </c>
      <c r="BP30" s="404">
        <f>'Normes grêle'!$E88</f>
        <v>0.8</v>
      </c>
      <c r="BQ30" s="109">
        <f>BM30*BN30*BO30*BP30</f>
        <v>0</v>
      </c>
      <c r="BR30" s="730">
        <f>BQ30/$BQ$76</f>
        <v>0</v>
      </c>
      <c r="BS30" s="69" t="str">
        <f>BL30</f>
        <v>Assurance grêle</v>
      </c>
      <c r="BT30" s="1152">
        <f>'Données normes'!$C$179</f>
        <v>0</v>
      </c>
      <c r="BU30" s="1150">
        <f>'Normes grêle'!$D$80</f>
        <v>0.112</v>
      </c>
      <c r="BV30" s="104">
        <f>'Normes grêle'!$C90</f>
        <v>32760.000000000007</v>
      </c>
      <c r="BW30" s="404">
        <f>'Normes grêle'!$E88</f>
        <v>0.8</v>
      </c>
      <c r="BX30" s="109">
        <f>BT30*BU30*BV30*BW30</f>
        <v>0</v>
      </c>
      <c r="BY30" s="730">
        <f>BX30/$BX$76</f>
        <v>0</v>
      </c>
      <c r="BZ30" s="69" t="str">
        <f>BS30</f>
        <v>Assurance grêle</v>
      </c>
      <c r="CA30" s="1152">
        <f>'Données normes'!$C$179</f>
        <v>0</v>
      </c>
      <c r="CB30" s="1150">
        <f>'Normes grêle'!$D$80</f>
        <v>0.112</v>
      </c>
      <c r="CC30" s="104">
        <f>'Normes grêle'!$C91</f>
        <v>32760.000000000007</v>
      </c>
      <c r="CD30" s="404">
        <f>'Normes grêle'!$E88</f>
        <v>0.8</v>
      </c>
      <c r="CE30" s="109">
        <f>CA30*CB30*CC30*CD30</f>
        <v>0</v>
      </c>
      <c r="CF30" s="734"/>
      <c r="CG30" s="69" t="str">
        <f>BZ30</f>
        <v>Assurance grêle</v>
      </c>
      <c r="CH30" s="1152">
        <f>'Données normes'!$C$179</f>
        <v>0</v>
      </c>
      <c r="CI30" s="1150">
        <f>'Normes grêle'!$D$80</f>
        <v>0.112</v>
      </c>
      <c r="CJ30" s="104">
        <f>'Normes grêle'!$C92</f>
        <v>30240.000000000004</v>
      </c>
      <c r="CK30" s="404">
        <f>'Normes grêle'!$E88</f>
        <v>0.8</v>
      </c>
      <c r="CL30" s="109">
        <f>CH30*CI30*CJ30*CK30</f>
        <v>0</v>
      </c>
      <c r="CM30" s="734"/>
      <c r="CN30" s="69" t="str">
        <f>CG30</f>
        <v>Assurance grêle</v>
      </c>
      <c r="CO30" s="1152">
        <f>'Données normes'!$C$179</f>
        <v>0</v>
      </c>
      <c r="CP30" s="1150">
        <f>'Normes grêle'!$D$80</f>
        <v>0.112</v>
      </c>
      <c r="CQ30" s="104">
        <f>'Normes grêle'!$C93</f>
        <v>30240.000000000004</v>
      </c>
      <c r="CR30" s="404">
        <f>'Normes grêle'!$E88</f>
        <v>0.8</v>
      </c>
      <c r="CS30" s="109">
        <f>CO30*CP30*CQ30*CR30</f>
        <v>0</v>
      </c>
      <c r="CT30" s="734"/>
      <c r="CU30" s="69" t="str">
        <f>CN30</f>
        <v>Assurance grêle</v>
      </c>
      <c r="CV30" s="1152">
        <f>'Données normes'!$C$179</f>
        <v>0</v>
      </c>
      <c r="CW30" s="1150">
        <f>'Normes grêle'!$D$80</f>
        <v>0.112</v>
      </c>
      <c r="CX30" s="104">
        <f>'Normes grêle'!$C94</f>
        <v>30240.000000000004</v>
      </c>
      <c r="CY30" s="404">
        <f>'Normes grêle'!$E88</f>
        <v>0.8</v>
      </c>
      <c r="CZ30" s="109">
        <f>CV30*CW30*CX30*CY30</f>
        <v>0</v>
      </c>
      <c r="DA30" s="734">
        <f>CV30*CW30</f>
        <v>0</v>
      </c>
    </row>
    <row r="31" spans="1:105" ht="16.5" customHeight="1" x14ac:dyDescent="0.3">
      <c r="A31" s="69" t="s">
        <v>521</v>
      </c>
      <c r="B31" s="1152"/>
      <c r="C31" s="1150"/>
      <c r="D31" s="104"/>
      <c r="E31" s="404"/>
      <c r="F31" s="109">
        <f>'Normes Irrigation'!$H$143+'Normes Irrigation'!$H$85+'Normes Irrigation'!$I$28</f>
        <v>442</v>
      </c>
      <c r="G31" s="730"/>
      <c r="H31" s="69" t="s">
        <v>521</v>
      </c>
      <c r="I31" s="1152"/>
      <c r="J31" s="1150"/>
      <c r="K31" s="104"/>
      <c r="L31" s="404"/>
      <c r="M31" s="109">
        <f>'Normes Irrigation'!$H$143+'Normes Irrigation'!$H$85+'Normes Irrigation'!$I$28</f>
        <v>442</v>
      </c>
      <c r="N31" s="734"/>
      <c r="O31" s="69" t="s">
        <v>521</v>
      </c>
      <c r="P31" s="1152"/>
      <c r="Q31" s="1150"/>
      <c r="R31" s="104"/>
      <c r="S31" s="404"/>
      <c r="T31" s="109">
        <f>'Normes Irrigation'!$H$143+'Normes Irrigation'!$H$85+'Normes Irrigation'!$I$28</f>
        <v>442</v>
      </c>
      <c r="U31" s="734"/>
      <c r="V31" s="69" t="s">
        <v>521</v>
      </c>
      <c r="W31" s="1152"/>
      <c r="X31" s="1150"/>
      <c r="Y31" s="104"/>
      <c r="Z31" s="404"/>
      <c r="AA31" s="109">
        <f>'Normes Irrigation'!$H$143+'Normes Irrigation'!$H$85+'Normes Irrigation'!$I$28</f>
        <v>442</v>
      </c>
      <c r="AB31" s="734"/>
      <c r="AC31" s="69" t="s">
        <v>521</v>
      </c>
      <c r="AD31" s="1152"/>
      <c r="AE31" s="1150"/>
      <c r="AF31" s="104"/>
      <c r="AG31" s="404"/>
      <c r="AH31" s="109">
        <f>'Normes Irrigation'!$H$143+'Normes Irrigation'!$H$85+'Normes Irrigation'!$I$28</f>
        <v>442</v>
      </c>
      <c r="AI31" s="730"/>
      <c r="AJ31" s="69" t="s">
        <v>521</v>
      </c>
      <c r="AK31" s="1152"/>
      <c r="AL31" s="1150"/>
      <c r="AM31" s="104"/>
      <c r="AN31" s="404"/>
      <c r="AO31" s="109">
        <f>'Normes Irrigation'!$H$143+'Normes Irrigation'!$H$85+'Normes Irrigation'!$I$28</f>
        <v>442</v>
      </c>
      <c r="AP31" s="734"/>
      <c r="AQ31" s="69" t="s">
        <v>521</v>
      </c>
      <c r="AR31" s="1152"/>
      <c r="AS31" s="1150"/>
      <c r="AT31" s="104"/>
      <c r="AU31" s="404"/>
      <c r="AV31" s="109">
        <f>'Normes Irrigation'!$H$143+'Normes Irrigation'!$H$85+'Normes Irrigation'!$I$28</f>
        <v>442</v>
      </c>
      <c r="AW31" s="734"/>
      <c r="AX31" s="69" t="s">
        <v>521</v>
      </c>
      <c r="AY31" s="1152"/>
      <c r="AZ31" s="1150"/>
      <c r="BA31" s="104"/>
      <c r="BB31" s="404"/>
      <c r="BC31" s="109">
        <f>'Normes Irrigation'!$H$143+'Normes Irrigation'!$H$85+'Normes Irrigation'!$I$28</f>
        <v>442</v>
      </c>
      <c r="BD31" s="734"/>
      <c r="BE31" s="69" t="s">
        <v>521</v>
      </c>
      <c r="BF31" s="1152"/>
      <c r="BG31" s="1150"/>
      <c r="BH31" s="104"/>
      <c r="BI31" s="404"/>
      <c r="BJ31" s="109">
        <f>'Normes Irrigation'!$H$143+'Normes Irrigation'!$H$85+'Normes Irrigation'!$I$28</f>
        <v>442</v>
      </c>
      <c r="BK31" s="734"/>
      <c r="BL31" s="69" t="s">
        <v>521</v>
      </c>
      <c r="BM31" s="1152"/>
      <c r="BN31" s="1150"/>
      <c r="BO31" s="104"/>
      <c r="BP31" s="404"/>
      <c r="BQ31" s="109">
        <f>'Normes Irrigation'!$H$143+'Normes Irrigation'!$H$85+'Normes Irrigation'!$I$28</f>
        <v>442</v>
      </c>
      <c r="BR31" s="109"/>
      <c r="BS31" s="69" t="s">
        <v>521</v>
      </c>
      <c r="BT31" s="1152"/>
      <c r="BU31" s="1150"/>
      <c r="BV31" s="104"/>
      <c r="BW31" s="404"/>
      <c r="BX31" s="109">
        <f>'Normes Irrigation'!$H$143+'Normes Irrigation'!$H$85+'Normes Irrigation'!$I$28</f>
        <v>442</v>
      </c>
      <c r="BY31" s="730">
        <f>BX31/$BX$76</f>
        <v>1.3338899543084395E-2</v>
      </c>
      <c r="BZ31" s="69" t="s">
        <v>521</v>
      </c>
      <c r="CA31" s="1152"/>
      <c r="CB31" s="1150"/>
      <c r="CC31" s="104"/>
      <c r="CD31" s="404"/>
      <c r="CE31" s="109">
        <f>'Normes Irrigation'!$H$143+'Normes Irrigation'!$H$85+'Normes Irrigation'!$I$28</f>
        <v>442</v>
      </c>
      <c r="CF31" s="734"/>
      <c r="CG31" s="69" t="s">
        <v>521</v>
      </c>
      <c r="CH31" s="1152"/>
      <c r="CI31" s="1150"/>
      <c r="CJ31" s="104"/>
      <c r="CK31" s="404"/>
      <c r="CL31" s="109">
        <f>'Normes Irrigation'!$H$143+'Normes Irrigation'!$H$85+'Normes Irrigation'!$I$28</f>
        <v>442</v>
      </c>
      <c r="CM31" s="734"/>
      <c r="CN31" s="69" t="s">
        <v>521</v>
      </c>
      <c r="CO31" s="1152"/>
      <c r="CP31" s="1150"/>
      <c r="CQ31" s="104"/>
      <c r="CR31" s="404"/>
      <c r="CS31" s="109">
        <f>'Normes Irrigation'!$H$143+'Normes Irrigation'!$H$85+'Normes Irrigation'!$I$28</f>
        <v>442</v>
      </c>
      <c r="CT31" s="734"/>
      <c r="CU31" s="69" t="s">
        <v>521</v>
      </c>
      <c r="CV31" s="1152"/>
      <c r="CW31" s="1150"/>
      <c r="CX31" s="104"/>
      <c r="CY31" s="404"/>
      <c r="CZ31" s="109">
        <f>'Normes Irrigation'!$H$143+'Normes Irrigation'!$H$85+'Normes Irrigation'!$I$28</f>
        <v>442</v>
      </c>
      <c r="DA31" s="734"/>
    </row>
    <row r="32" spans="1:105" ht="16.5" customHeight="1" x14ac:dyDescent="0.3">
      <c r="A32" s="69" t="s">
        <v>372</v>
      </c>
      <c r="B32" s="296"/>
      <c r="C32" s="11"/>
      <c r="D32" s="11"/>
      <c r="E32" s="105"/>
      <c r="F32" s="109"/>
      <c r="G32" s="734"/>
      <c r="H32" s="69" t="s">
        <v>372</v>
      </c>
      <c r="I32" s="296"/>
      <c r="J32" s="11"/>
      <c r="K32" s="11"/>
      <c r="L32" s="105"/>
      <c r="M32" s="109"/>
      <c r="N32" s="734"/>
      <c r="O32" s="69" t="s">
        <v>372</v>
      </c>
      <c r="P32" s="296"/>
      <c r="Q32" s="11"/>
      <c r="R32" s="11"/>
      <c r="S32" s="105"/>
      <c r="T32" s="109"/>
      <c r="U32" s="734"/>
      <c r="V32" s="69" t="s">
        <v>372</v>
      </c>
      <c r="W32" s="296"/>
      <c r="X32" s="11"/>
      <c r="Y32" s="11"/>
      <c r="Z32" s="105"/>
      <c r="AA32" s="109"/>
      <c r="AB32" s="734"/>
      <c r="AC32" s="69" t="s">
        <v>372</v>
      </c>
      <c r="AD32" s="296"/>
      <c r="AE32" s="11"/>
      <c r="AF32" s="11"/>
      <c r="AG32" s="105"/>
      <c r="AH32" s="109"/>
      <c r="AI32" s="734"/>
      <c r="AJ32" s="69" t="s">
        <v>372</v>
      </c>
      <c r="AK32" s="296"/>
      <c r="AL32" s="11"/>
      <c r="AM32" s="11"/>
      <c r="AN32" s="105"/>
      <c r="AO32" s="109"/>
      <c r="AP32" s="734"/>
      <c r="AQ32" s="69" t="s">
        <v>372</v>
      </c>
      <c r="AR32" s="296"/>
      <c r="AS32" s="11"/>
      <c r="AT32" s="11"/>
      <c r="AU32" s="105"/>
      <c r="AV32" s="109"/>
      <c r="AW32" s="734"/>
      <c r="AX32" s="69" t="s">
        <v>372</v>
      </c>
      <c r="AY32" s="296"/>
      <c r="AZ32" s="11"/>
      <c r="BA32" s="11"/>
      <c r="BB32" s="105"/>
      <c r="BC32" s="109"/>
      <c r="BD32" s="734"/>
      <c r="BE32" s="69" t="s">
        <v>372</v>
      </c>
      <c r="BF32" s="296"/>
      <c r="BG32" s="11"/>
      <c r="BH32" s="11"/>
      <c r="BI32" s="105"/>
      <c r="BJ32" s="109"/>
      <c r="BK32" s="734"/>
      <c r="BL32" s="69" t="s">
        <v>372</v>
      </c>
      <c r="BM32" s="296"/>
      <c r="BN32" s="11"/>
      <c r="BO32" s="11"/>
      <c r="BP32" s="105"/>
      <c r="BQ32" s="109"/>
      <c r="BR32" s="734"/>
      <c r="BS32" s="69" t="s">
        <v>372</v>
      </c>
      <c r="BT32" s="296"/>
      <c r="BU32" s="11"/>
      <c r="BV32" s="11"/>
      <c r="BW32" s="105"/>
      <c r="BX32" s="109"/>
      <c r="BY32" s="730">
        <f>BX32/$BX$76</f>
        <v>0</v>
      </c>
      <c r="BZ32" s="69" t="s">
        <v>372</v>
      </c>
      <c r="CA32" s="296"/>
      <c r="CB32" s="11"/>
      <c r="CC32" s="11"/>
      <c r="CD32" s="105"/>
      <c r="CE32" s="109"/>
      <c r="CF32" s="734"/>
      <c r="CG32" s="69" t="s">
        <v>372</v>
      </c>
      <c r="CH32" s="296"/>
      <c r="CI32" s="11"/>
      <c r="CJ32" s="11"/>
      <c r="CK32" s="105"/>
      <c r="CL32" s="109"/>
      <c r="CM32" s="734"/>
      <c r="CN32" s="69" t="s">
        <v>372</v>
      </c>
      <c r="CO32" s="296"/>
      <c r="CP32" s="11"/>
      <c r="CQ32" s="11"/>
      <c r="CR32" s="105"/>
      <c r="CS32" s="109"/>
      <c r="CT32" s="734"/>
      <c r="CU32" s="69" t="s">
        <v>372</v>
      </c>
      <c r="CV32" s="296"/>
      <c r="CW32" s="11"/>
      <c r="CX32" s="11"/>
      <c r="CY32" s="105"/>
      <c r="CZ32" s="109"/>
      <c r="DA32" s="734"/>
    </row>
    <row r="33" spans="1:105" s="1" customFormat="1" ht="18" customHeight="1" x14ac:dyDescent="0.25">
      <c r="A33" s="1503" t="s">
        <v>373</v>
      </c>
      <c r="B33" s="18" t="str">
        <f>'Données normes'!$F$38</f>
        <v>Catégorie I+II</v>
      </c>
      <c r="C33" s="18"/>
      <c r="D33" s="1034" t="s">
        <v>245</v>
      </c>
      <c r="E33" s="42">
        <f>'Données normes'!$G$38</f>
        <v>300</v>
      </c>
      <c r="F33" s="148">
        <f>'Données normes'!$G$38</f>
        <v>300</v>
      </c>
      <c r="G33" s="733">
        <f>F33/F76</f>
        <v>2.5594452817261207E-2</v>
      </c>
      <c r="H33" s="1503" t="s">
        <v>410</v>
      </c>
      <c r="I33" s="18" t="str">
        <f>'Données normes'!$F$38</f>
        <v>Catégorie I+II</v>
      </c>
      <c r="J33" s="18"/>
      <c r="K33" s="39" t="str">
        <f>D33</f>
        <v>par ha</v>
      </c>
      <c r="L33" s="42">
        <f>'Données normes'!$G$38</f>
        <v>300</v>
      </c>
      <c r="M33" s="148">
        <f>'Données normes'!$G$38</f>
        <v>300</v>
      </c>
      <c r="N33" s="733">
        <f>M33/M76</f>
        <v>2.1573697281812906E-2</v>
      </c>
      <c r="O33" s="1503" t="s">
        <v>410</v>
      </c>
      <c r="P33" s="18" t="str">
        <f>'Données normes'!$F$38</f>
        <v>Catégorie I+II</v>
      </c>
      <c r="Q33" s="18"/>
      <c r="R33" s="39" t="str">
        <f>K33</f>
        <v>par ha</v>
      </c>
      <c r="S33" s="42">
        <f>'Données normes'!$G$38</f>
        <v>300</v>
      </c>
      <c r="T33" s="148">
        <f>'Données normes'!$G$38</f>
        <v>300</v>
      </c>
      <c r="U33" s="733">
        <f>T33/T76</f>
        <v>1.1434587730913473E-2</v>
      </c>
      <c r="V33" s="1503" t="s">
        <v>410</v>
      </c>
      <c r="W33" s="18" t="str">
        <f>'Données normes'!$F$38</f>
        <v>Catégorie I+II</v>
      </c>
      <c r="X33" s="18"/>
      <c r="Y33" s="39" t="str">
        <f>R33</f>
        <v>par ha</v>
      </c>
      <c r="Z33" s="42">
        <f>'Données normes'!$G$38</f>
        <v>300</v>
      </c>
      <c r="AA33" s="148">
        <f>'Données normes'!$G$38</f>
        <v>300</v>
      </c>
      <c r="AB33" s="733">
        <f>AA33/AA76</f>
        <v>1.0517536524827996E-2</v>
      </c>
      <c r="AC33" s="1503" t="s">
        <v>410</v>
      </c>
      <c r="AD33" s="18" t="str">
        <f>'Données normes'!$F$38</f>
        <v>Catégorie I+II</v>
      </c>
      <c r="AE33" s="18"/>
      <c r="AF33" s="39" t="str">
        <f>Y33</f>
        <v>par ha</v>
      </c>
      <c r="AG33" s="42">
        <f>'Données normes'!$G$38</f>
        <v>300</v>
      </c>
      <c r="AH33" s="148">
        <f>'Données normes'!$G$38</f>
        <v>300</v>
      </c>
      <c r="AI33" s="733">
        <f>AH33/AH76</f>
        <v>9.6259677244802406E-3</v>
      </c>
      <c r="AJ33" s="1503" t="s">
        <v>410</v>
      </c>
      <c r="AK33" s="18" t="str">
        <f>'Données normes'!$F$38</f>
        <v>Catégorie I+II</v>
      </c>
      <c r="AL33" s="18"/>
      <c r="AM33" s="39" t="str">
        <f>AF33</f>
        <v>par ha</v>
      </c>
      <c r="AN33" s="42">
        <f>'Données normes'!$G$38</f>
        <v>300</v>
      </c>
      <c r="AO33" s="148">
        <f>'Données normes'!$G$38</f>
        <v>300</v>
      </c>
      <c r="AP33" s="733">
        <f>AO33/AO76</f>
        <v>8.8987277748147058E-3</v>
      </c>
      <c r="AQ33" s="1503" t="s">
        <v>410</v>
      </c>
      <c r="AR33" s="18" t="str">
        <f>'Données normes'!$F$38</f>
        <v>Catégorie I+II</v>
      </c>
      <c r="AS33" s="18"/>
      <c r="AT33" s="39" t="str">
        <f>AM33</f>
        <v>par ha</v>
      </c>
      <c r="AU33" s="42">
        <f>'Données normes'!$G$38</f>
        <v>300</v>
      </c>
      <c r="AV33" s="148">
        <f>'Données normes'!$G$38</f>
        <v>300</v>
      </c>
      <c r="AW33" s="733">
        <f>AV33/AV76</f>
        <v>8.9295282838472156E-3</v>
      </c>
      <c r="AX33" s="1503" t="s">
        <v>410</v>
      </c>
      <c r="AY33" s="18" t="str">
        <f>'Données normes'!$F$38</f>
        <v>Catégorie I+II</v>
      </c>
      <c r="AZ33" s="18"/>
      <c r="BA33" s="39" t="str">
        <f>AT33</f>
        <v>par ha</v>
      </c>
      <c r="BB33" s="42">
        <f>'Données normes'!$G$38</f>
        <v>300</v>
      </c>
      <c r="BC33" s="148">
        <f>'Données normes'!$G$38</f>
        <v>300</v>
      </c>
      <c r="BD33" s="733">
        <f>BC33/BC76</f>
        <v>8.9610096055873414E-3</v>
      </c>
      <c r="BE33" s="1503" t="s">
        <v>410</v>
      </c>
      <c r="BF33" s="18" t="str">
        <f>'Données normes'!$F$38</f>
        <v>Catégorie I+II</v>
      </c>
      <c r="BG33" s="18"/>
      <c r="BH33" s="39" t="str">
        <f>BA33</f>
        <v>par ha</v>
      </c>
      <c r="BI33" s="42">
        <f>'Données normes'!$G$38</f>
        <v>300</v>
      </c>
      <c r="BJ33" s="148">
        <f>'Données normes'!$G$38</f>
        <v>300</v>
      </c>
      <c r="BK33" s="733">
        <f>BJ33/BJ76</f>
        <v>8.9931909585066784E-3</v>
      </c>
      <c r="BL33" s="1503" t="s">
        <v>410</v>
      </c>
      <c r="BM33" s="18" t="str">
        <f>'Données normes'!$F$38</f>
        <v>Catégorie I+II</v>
      </c>
      <c r="BN33" s="18"/>
      <c r="BO33" s="39" t="str">
        <f>BH33</f>
        <v>par ha</v>
      </c>
      <c r="BP33" s="42">
        <f>'Données normes'!$G$38</f>
        <v>300</v>
      </c>
      <c r="BQ33" s="148">
        <f>'Données normes'!$G$38</f>
        <v>300</v>
      </c>
      <c r="BR33" s="733">
        <f>BQ33/BQ76</f>
        <v>9.0260922666855706E-3</v>
      </c>
      <c r="BS33" s="1503" t="s">
        <v>410</v>
      </c>
      <c r="BT33" s="18" t="str">
        <f>'Données normes'!$F$38</f>
        <v>Catégorie I+II</v>
      </c>
      <c r="BU33" s="18"/>
      <c r="BV33" s="39" t="str">
        <f>BO33</f>
        <v>par ha</v>
      </c>
      <c r="BW33" s="42">
        <f>'Données normes'!$G$38</f>
        <v>300</v>
      </c>
      <c r="BX33" s="148">
        <f>'Données normes'!$G$38</f>
        <v>300</v>
      </c>
      <c r="BY33" s="733">
        <f>BX33/BX76</f>
        <v>9.0535517260753803E-3</v>
      </c>
      <c r="BZ33" s="1503" t="s">
        <v>410</v>
      </c>
      <c r="CA33" s="18" t="str">
        <f>'Données normes'!$F$38</f>
        <v>Catégorie I+II</v>
      </c>
      <c r="CB33" s="18"/>
      <c r="CC33" s="39" t="str">
        <f>BV33</f>
        <v>par ha</v>
      </c>
      <c r="CD33" s="42">
        <f>'Données normes'!$G$38</f>
        <v>300</v>
      </c>
      <c r="CE33" s="148">
        <f>'Données normes'!$G$38</f>
        <v>300</v>
      </c>
      <c r="CF33" s="733">
        <f>CE33/CE76</f>
        <v>9.0815944606189442E-3</v>
      </c>
      <c r="CG33" s="1503" t="s">
        <v>410</v>
      </c>
      <c r="CH33" s="18" t="str">
        <f>'Données normes'!$F$38</f>
        <v>Catégorie I+II</v>
      </c>
      <c r="CI33" s="18"/>
      <c r="CJ33" s="39" t="str">
        <f>CC33</f>
        <v>par ha</v>
      </c>
      <c r="CK33" s="42">
        <f>'Données normes'!$G$38</f>
        <v>300</v>
      </c>
      <c r="CL33" s="148">
        <f>'Données normes'!$G$38</f>
        <v>300</v>
      </c>
      <c r="CM33" s="733">
        <f>CL33/CL76</f>
        <v>9.1102360454757923E-3</v>
      </c>
      <c r="CN33" s="1503" t="s">
        <v>410</v>
      </c>
      <c r="CO33" s="18" t="str">
        <f>'Données normes'!$F$38</f>
        <v>Catégorie I+II</v>
      </c>
      <c r="CP33" s="18"/>
      <c r="CQ33" s="39" t="str">
        <f>CJ33</f>
        <v>par ha</v>
      </c>
      <c r="CR33" s="42">
        <f>'Données normes'!$G$38</f>
        <v>300</v>
      </c>
      <c r="CS33" s="148">
        <f>'Données normes'!$G$38</f>
        <v>300</v>
      </c>
      <c r="CT33" s="733">
        <f>CS33/CS76</f>
        <v>9.1332008286520421E-3</v>
      </c>
      <c r="CU33" s="1503" t="s">
        <v>410</v>
      </c>
      <c r="CV33" s="18" t="str">
        <f>'Données normes'!$F$38</f>
        <v>Catégorie I+II</v>
      </c>
      <c r="CW33" s="18"/>
      <c r="CX33" s="39" t="str">
        <f>CQ33</f>
        <v>par ha</v>
      </c>
      <c r="CY33" s="42">
        <f>'Données normes'!$G$38</f>
        <v>300</v>
      </c>
      <c r="CZ33" s="148">
        <f>'Données normes'!$G$38</f>
        <v>300</v>
      </c>
      <c r="DA33" s="733">
        <f>CZ33/CZ76</f>
        <v>7.6407522557452087E-3</v>
      </c>
    </row>
    <row r="34" spans="1:105" s="1" customFormat="1" ht="18" customHeight="1" x14ac:dyDescent="0.25">
      <c r="A34" s="1503"/>
      <c r="B34" s="18" t="str">
        <f>'Données normes'!$F$39</f>
        <v>Cidre</v>
      </c>
      <c r="C34" s="18"/>
      <c r="D34" s="1034" t="s">
        <v>382</v>
      </c>
      <c r="E34" s="42">
        <f>'Données normes'!$G$39</f>
        <v>0.9</v>
      </c>
      <c r="F34" s="148">
        <f>E34*D11/100</f>
        <v>0</v>
      </c>
      <c r="G34" s="733">
        <f>F34/F76</f>
        <v>0</v>
      </c>
      <c r="H34" s="1503"/>
      <c r="I34" s="18" t="str">
        <f>'Données normes'!$F$39</f>
        <v>Cidre</v>
      </c>
      <c r="J34" s="18"/>
      <c r="K34" s="39" t="str">
        <f>D34</f>
        <v>par 100 kg</v>
      </c>
      <c r="L34" s="42">
        <f>'Données normes'!$G$39</f>
        <v>0.9</v>
      </c>
      <c r="M34" s="148">
        <f>L34*K11/100</f>
        <v>4.5</v>
      </c>
      <c r="N34" s="733">
        <f>M34/M76</f>
        <v>3.2360545922719357E-4</v>
      </c>
      <c r="O34" s="1503"/>
      <c r="P34" s="18" t="str">
        <f>'Données normes'!$F$39</f>
        <v>Cidre</v>
      </c>
      <c r="Q34" s="18"/>
      <c r="R34" s="39" t="str">
        <f>K34</f>
        <v>par 100 kg</v>
      </c>
      <c r="S34" s="42">
        <f>'Données normes'!$G$39</f>
        <v>0.9</v>
      </c>
      <c r="T34" s="148">
        <f>S34*R11/100</f>
        <v>16.2</v>
      </c>
      <c r="U34" s="733">
        <f>T34/T76</f>
        <v>6.1746773746932748E-4</v>
      </c>
      <c r="V34" s="1503"/>
      <c r="W34" s="18" t="str">
        <f>'Données normes'!$F$39</f>
        <v>Cidre</v>
      </c>
      <c r="X34" s="18"/>
      <c r="Y34" s="39" t="str">
        <f>R34</f>
        <v>par 100 kg</v>
      </c>
      <c r="Z34" s="42">
        <f>'Données normes'!$G$39</f>
        <v>0.9</v>
      </c>
      <c r="AA34" s="148">
        <f>Z34*Y11/100</f>
        <v>22.5</v>
      </c>
      <c r="AB34" s="733">
        <f>AA34/AA76</f>
        <v>7.888152393620997E-4</v>
      </c>
      <c r="AC34" s="1503"/>
      <c r="AD34" s="18" t="str">
        <f>'Données normes'!$F$39</f>
        <v>Cidre</v>
      </c>
      <c r="AE34" s="18"/>
      <c r="AF34" s="39" t="str">
        <f>Y34</f>
        <v>par 100 kg</v>
      </c>
      <c r="AG34" s="42">
        <f>'Données normes'!$G$39</f>
        <v>0.9</v>
      </c>
      <c r="AH34" s="148">
        <f>AG34*AF11/100</f>
        <v>31.5</v>
      </c>
      <c r="AI34" s="733">
        <f>AH34/AH76</f>
        <v>1.0107266110704254E-3</v>
      </c>
      <c r="AJ34" s="1503"/>
      <c r="AK34" s="18" t="str">
        <f>'Données normes'!$F$39</f>
        <v>Cidre</v>
      </c>
      <c r="AL34" s="18"/>
      <c r="AM34" s="39" t="str">
        <f>AF34</f>
        <v>par 100 kg</v>
      </c>
      <c r="AN34" s="42">
        <f>'Données normes'!$G$39</f>
        <v>0.9</v>
      </c>
      <c r="AO34" s="148">
        <f>AN34*AM11/100</f>
        <v>40.5</v>
      </c>
      <c r="AP34" s="733">
        <f>AO34/AO76</f>
        <v>1.2013282495999852E-3</v>
      </c>
      <c r="AQ34" s="1503"/>
      <c r="AR34" s="18" t="str">
        <f>'Données normes'!$F$39</f>
        <v>Cidre</v>
      </c>
      <c r="AS34" s="18"/>
      <c r="AT34" s="39" t="str">
        <f>AM34</f>
        <v>par 100 kg</v>
      </c>
      <c r="AU34" s="42">
        <f>'Données normes'!$G$39</f>
        <v>0.9</v>
      </c>
      <c r="AV34" s="148">
        <f>AU34*AT11/100</f>
        <v>40.5</v>
      </c>
      <c r="AW34" s="733">
        <f>AV34/AV76</f>
        <v>1.2054863183193741E-3</v>
      </c>
      <c r="AX34" s="1503"/>
      <c r="AY34" s="18" t="str">
        <f>'Données normes'!$F$39</f>
        <v>Cidre</v>
      </c>
      <c r="AZ34" s="18"/>
      <c r="BA34" s="39" t="str">
        <f>AT34</f>
        <v>par 100 kg</v>
      </c>
      <c r="BB34" s="42">
        <f>'Données normes'!$G$39</f>
        <v>0.9</v>
      </c>
      <c r="BC34" s="148">
        <f>BB34*BA11/100</f>
        <v>40.5</v>
      </c>
      <c r="BD34" s="733">
        <f>BC34/BC76</f>
        <v>1.2097362967542912E-3</v>
      </c>
      <c r="BE34" s="1503"/>
      <c r="BF34" s="18" t="str">
        <f>'Données normes'!$F$39</f>
        <v>Cidre</v>
      </c>
      <c r="BG34" s="18"/>
      <c r="BH34" s="39" t="str">
        <f>BA34</f>
        <v>par 100 kg</v>
      </c>
      <c r="BI34" s="42">
        <f>'Données normes'!$G$39</f>
        <v>0.9</v>
      </c>
      <c r="BJ34" s="148">
        <f>BI34*BH11/100</f>
        <v>40.5</v>
      </c>
      <c r="BK34" s="733">
        <f>BJ34/BJ76</f>
        <v>1.2140807793984015E-3</v>
      </c>
      <c r="BL34" s="1503"/>
      <c r="BM34" s="18" t="str">
        <f>'Données normes'!$F$39</f>
        <v>Cidre</v>
      </c>
      <c r="BN34" s="18"/>
      <c r="BO34" s="39" t="str">
        <f>BH34</f>
        <v>par 100 kg</v>
      </c>
      <c r="BP34" s="42">
        <f>'Données normes'!$G$39</f>
        <v>0.9</v>
      </c>
      <c r="BQ34" s="148">
        <f>BP34*BO11/100</f>
        <v>40.5</v>
      </c>
      <c r="BR34" s="733">
        <f>BQ34/BQ76</f>
        <v>1.2185224560025522E-3</v>
      </c>
      <c r="BS34" s="1503"/>
      <c r="BT34" s="18" t="str">
        <f>'Données normes'!$F$39</f>
        <v>Cidre</v>
      </c>
      <c r="BU34" s="18"/>
      <c r="BV34" s="39" t="str">
        <f>BO34</f>
        <v>par 100 kg</v>
      </c>
      <c r="BW34" s="42">
        <f>'Données normes'!$G$39</f>
        <v>0.9</v>
      </c>
      <c r="BX34" s="148">
        <f>BW34*BV11/100</f>
        <v>40.5</v>
      </c>
      <c r="BY34" s="733">
        <f>BX34/BX76</f>
        <v>1.2222294830201764E-3</v>
      </c>
      <c r="BZ34" s="1503"/>
      <c r="CA34" s="18" t="str">
        <f>'Données normes'!$F$39</f>
        <v>Cidre</v>
      </c>
      <c r="CB34" s="18"/>
      <c r="CC34" s="39" t="str">
        <f>BV34</f>
        <v>par 100 kg</v>
      </c>
      <c r="CD34" s="42">
        <f>'Données normes'!$G$39</f>
        <v>0.9</v>
      </c>
      <c r="CE34" s="148">
        <f>CD34*CC11/100</f>
        <v>40.5</v>
      </c>
      <c r="CF34" s="733">
        <f>CE34/CE76</f>
        <v>1.2260152521835575E-3</v>
      </c>
      <c r="CG34" s="1503"/>
      <c r="CH34" s="18" t="str">
        <f>'Données normes'!$F$39</f>
        <v>Cidre</v>
      </c>
      <c r="CI34" s="18"/>
      <c r="CJ34" s="39" t="str">
        <f>CC34</f>
        <v>par 100 kg</v>
      </c>
      <c r="CK34" s="42">
        <f>'Données normes'!$G$39</f>
        <v>0.9</v>
      </c>
      <c r="CL34" s="148">
        <f>CK34*CJ11/100</f>
        <v>40.5</v>
      </c>
      <c r="CM34" s="733">
        <f>CL34/CL76</f>
        <v>1.2298818661392319E-3</v>
      </c>
      <c r="CN34" s="1503"/>
      <c r="CO34" s="18" t="str">
        <f>'Données normes'!$F$39</f>
        <v>Cidre</v>
      </c>
      <c r="CP34" s="18"/>
      <c r="CQ34" s="39" t="str">
        <f>CJ34</f>
        <v>par 100 kg</v>
      </c>
      <c r="CR34" s="42">
        <f>'Données normes'!$G$39</f>
        <v>0.9</v>
      </c>
      <c r="CS34" s="148">
        <f>CR34*CQ11/100</f>
        <v>40.5</v>
      </c>
      <c r="CT34" s="733">
        <f>CS34/CS76</f>
        <v>1.2329821118680256E-3</v>
      </c>
      <c r="CU34" s="1503"/>
      <c r="CV34" s="18" t="str">
        <f>'Données normes'!$F$39</f>
        <v>Cidre</v>
      </c>
      <c r="CW34" s="18"/>
      <c r="CX34" s="39" t="str">
        <f>CQ34</f>
        <v>par 100 kg</v>
      </c>
      <c r="CY34" s="42">
        <f>'Données normes'!$G$39</f>
        <v>0.9</v>
      </c>
      <c r="CZ34" s="148">
        <f>CY34*CX11/100</f>
        <v>40.5</v>
      </c>
      <c r="DA34" s="733">
        <f>CZ34/CZ76</f>
        <v>1.0315015545256032E-3</v>
      </c>
    </row>
    <row r="35" spans="1:105" s="18" customFormat="1" ht="12.5" x14ac:dyDescent="0.25">
      <c r="A35" s="751" t="str">
        <f>'Données normes'!$E$41</f>
        <v>Coûts d'emballage</v>
      </c>
      <c r="B35" s="149" t="str">
        <f>'Données normes'!$F$41</f>
        <v>Catégorie I+II</v>
      </c>
      <c r="D35" s="533" t="s">
        <v>382</v>
      </c>
      <c r="E35" s="611">
        <f>'Données normes'!$G$41</f>
        <v>0</v>
      </c>
      <c r="F35" s="148">
        <f>(D9+D10)/100*E35</f>
        <v>0</v>
      </c>
      <c r="G35" s="733">
        <f>F35/F76</f>
        <v>0</v>
      </c>
      <c r="H35" s="751" t="str">
        <f>'Données normes'!$E$41</f>
        <v>Coûts d'emballage</v>
      </c>
      <c r="I35" s="149" t="str">
        <f>'Données normes'!$F$41</f>
        <v>Catégorie I+II</v>
      </c>
      <c r="K35" s="39" t="str">
        <f>D35</f>
        <v>par 100 kg</v>
      </c>
      <c r="L35" s="611">
        <f>'Données normes'!$G$41</f>
        <v>0</v>
      </c>
      <c r="M35" s="148">
        <f>(K9+K10)/100*L35</f>
        <v>0</v>
      </c>
      <c r="N35" s="733">
        <f>M35/M76</f>
        <v>0</v>
      </c>
      <c r="O35" s="751" t="str">
        <f>'Données normes'!$E$41</f>
        <v>Coûts d'emballage</v>
      </c>
      <c r="P35" s="149" t="str">
        <f>'Données normes'!$F$41</f>
        <v>Catégorie I+II</v>
      </c>
      <c r="R35" s="39" t="str">
        <f>K35</f>
        <v>par 100 kg</v>
      </c>
      <c r="S35" s="611">
        <f>'Données normes'!$G$41</f>
        <v>0</v>
      </c>
      <c r="T35" s="148">
        <f>(R9+R10)/100*S35</f>
        <v>0</v>
      </c>
      <c r="U35" s="733">
        <f>T35/T76</f>
        <v>0</v>
      </c>
      <c r="V35" s="751" t="str">
        <f>'Données normes'!$E$41</f>
        <v>Coûts d'emballage</v>
      </c>
      <c r="W35" s="149" t="str">
        <f>'Données normes'!$F$41</f>
        <v>Catégorie I+II</v>
      </c>
      <c r="Y35" s="39" t="str">
        <f>R35</f>
        <v>par 100 kg</v>
      </c>
      <c r="Z35" s="611">
        <f>'Données normes'!$G$41</f>
        <v>0</v>
      </c>
      <c r="AA35" s="148">
        <f>(Y9+Y10)/100*Z35</f>
        <v>0</v>
      </c>
      <c r="AB35" s="733">
        <f>AA35/AA76</f>
        <v>0</v>
      </c>
      <c r="AC35" s="751" t="str">
        <f>'Données normes'!$E$41</f>
        <v>Coûts d'emballage</v>
      </c>
      <c r="AD35" s="149" t="str">
        <f>'Données normes'!$F$41</f>
        <v>Catégorie I+II</v>
      </c>
      <c r="AF35" s="39" t="str">
        <f>Y35</f>
        <v>par 100 kg</v>
      </c>
      <c r="AG35" s="611">
        <f>'Données normes'!$G$41</f>
        <v>0</v>
      </c>
      <c r="AH35" s="148">
        <f>(AF9+AF10)/100*AG35</f>
        <v>0</v>
      </c>
      <c r="AI35" s="733">
        <f>AH35/AH76</f>
        <v>0</v>
      </c>
      <c r="AJ35" s="751" t="str">
        <f>'Données normes'!$E$41</f>
        <v>Coûts d'emballage</v>
      </c>
      <c r="AK35" s="149" t="str">
        <f>'Données normes'!$F$41</f>
        <v>Catégorie I+II</v>
      </c>
      <c r="AM35" s="39" t="str">
        <f>AF35</f>
        <v>par 100 kg</v>
      </c>
      <c r="AN35" s="611">
        <f>'Données normes'!$G$41</f>
        <v>0</v>
      </c>
      <c r="AO35" s="148">
        <f>(AM9+AM10)/100*AN35</f>
        <v>0</v>
      </c>
      <c r="AP35" s="733">
        <f>AO35/AO76</f>
        <v>0</v>
      </c>
      <c r="AQ35" s="751" t="str">
        <f>'Données normes'!$E$41</f>
        <v>Coûts d'emballage</v>
      </c>
      <c r="AR35" s="149" t="str">
        <f>'Données normes'!$F$41</f>
        <v>Catégorie I+II</v>
      </c>
      <c r="AT35" s="39" t="str">
        <f>AM35</f>
        <v>par 100 kg</v>
      </c>
      <c r="AU35" s="611">
        <f>'Données normes'!$G$41</f>
        <v>0</v>
      </c>
      <c r="AV35" s="148">
        <f>(AT9+AT10)/100*AU35</f>
        <v>0</v>
      </c>
      <c r="AW35" s="733">
        <f>AV35/AV76</f>
        <v>0</v>
      </c>
      <c r="AX35" s="751" t="str">
        <f>'Données normes'!$E$41</f>
        <v>Coûts d'emballage</v>
      </c>
      <c r="AY35" s="149" t="str">
        <f>'Données normes'!$F$41</f>
        <v>Catégorie I+II</v>
      </c>
      <c r="BA35" s="39" t="str">
        <f>AT35</f>
        <v>par 100 kg</v>
      </c>
      <c r="BB35" s="611">
        <f>'Données normes'!$G$41</f>
        <v>0</v>
      </c>
      <c r="BC35" s="148">
        <f>(BA9+BA10)/100*BB35</f>
        <v>0</v>
      </c>
      <c r="BD35" s="733">
        <f>BC35/BC76</f>
        <v>0</v>
      </c>
      <c r="BE35" s="751" t="str">
        <f>'Données normes'!$E$41</f>
        <v>Coûts d'emballage</v>
      </c>
      <c r="BF35" s="149" t="str">
        <f>'Données normes'!$F$41</f>
        <v>Catégorie I+II</v>
      </c>
      <c r="BH35" s="39" t="str">
        <f>BA35</f>
        <v>par 100 kg</v>
      </c>
      <c r="BI35" s="611">
        <f>'Données normes'!$G$41</f>
        <v>0</v>
      </c>
      <c r="BJ35" s="148">
        <f>(BH9+BH10)/100*BI35</f>
        <v>0</v>
      </c>
      <c r="BK35" s="733">
        <f>BJ35/BJ76</f>
        <v>0</v>
      </c>
      <c r="BL35" s="751" t="str">
        <f>'Données normes'!$E$41</f>
        <v>Coûts d'emballage</v>
      </c>
      <c r="BM35" s="149" t="str">
        <f>'Données normes'!$F$41</f>
        <v>Catégorie I+II</v>
      </c>
      <c r="BO35" s="39" t="str">
        <f>BH35</f>
        <v>par 100 kg</v>
      </c>
      <c r="BP35" s="611">
        <f>'Données normes'!$G$41</f>
        <v>0</v>
      </c>
      <c r="BQ35" s="148">
        <f>(BO9+BO10)/100*BP35</f>
        <v>0</v>
      </c>
      <c r="BR35" s="733">
        <f>BQ35/BQ76</f>
        <v>0</v>
      </c>
      <c r="BS35" s="751" t="str">
        <f>'Données normes'!$E$41</f>
        <v>Coûts d'emballage</v>
      </c>
      <c r="BT35" s="149" t="str">
        <f>'Données normes'!$F$41</f>
        <v>Catégorie I+II</v>
      </c>
      <c r="BV35" s="39" t="str">
        <f>BO35</f>
        <v>par 100 kg</v>
      </c>
      <c r="BW35" s="611">
        <f>'Données normes'!$G$41</f>
        <v>0</v>
      </c>
      <c r="BX35" s="148">
        <f>(BV9+BV10)/100*BW35</f>
        <v>0</v>
      </c>
      <c r="BY35" s="733">
        <f>BX35/BX76</f>
        <v>0</v>
      </c>
      <c r="BZ35" s="751" t="str">
        <f>'Données normes'!$E$41</f>
        <v>Coûts d'emballage</v>
      </c>
      <c r="CA35" s="149" t="str">
        <f>'Données normes'!$F$41</f>
        <v>Catégorie I+II</v>
      </c>
      <c r="CC35" s="39" t="str">
        <f>BV35</f>
        <v>par 100 kg</v>
      </c>
      <c r="CD35" s="611">
        <f>'Données normes'!$G$41</f>
        <v>0</v>
      </c>
      <c r="CE35" s="148">
        <f>(CC9+CC10)/100*CD35</f>
        <v>0</v>
      </c>
      <c r="CF35" s="733">
        <f>CE35/CE76</f>
        <v>0</v>
      </c>
      <c r="CG35" s="751" t="str">
        <f>'Données normes'!$E$41</f>
        <v>Coûts d'emballage</v>
      </c>
      <c r="CH35" s="149" t="str">
        <f>'Données normes'!$F$41</f>
        <v>Catégorie I+II</v>
      </c>
      <c r="CJ35" s="39" t="str">
        <f>CC35</f>
        <v>par 100 kg</v>
      </c>
      <c r="CK35" s="611">
        <f>'Données normes'!$G$41</f>
        <v>0</v>
      </c>
      <c r="CL35" s="148">
        <f>(CJ9+CJ10)/100*CK35</f>
        <v>0</v>
      </c>
      <c r="CM35" s="733">
        <f>CL35/CL76</f>
        <v>0</v>
      </c>
      <c r="CN35" s="751" t="str">
        <f>'Données normes'!$E$41</f>
        <v>Coûts d'emballage</v>
      </c>
      <c r="CO35" s="149" t="str">
        <f>'Données normes'!$F$41</f>
        <v>Catégorie I+II</v>
      </c>
      <c r="CQ35" s="39" t="str">
        <f>CJ35</f>
        <v>par 100 kg</v>
      </c>
      <c r="CR35" s="611">
        <f>'Données normes'!$G$41</f>
        <v>0</v>
      </c>
      <c r="CS35" s="148">
        <f>(CQ9+CQ10)/100*CR35</f>
        <v>0</v>
      </c>
      <c r="CT35" s="733">
        <f>CS35/CS76</f>
        <v>0</v>
      </c>
      <c r="CU35" s="751" t="str">
        <f>'Données normes'!$E$41</f>
        <v>Coûts d'emballage</v>
      </c>
      <c r="CV35" s="149" t="str">
        <f>'Données normes'!$F$41</f>
        <v>Catégorie I+II</v>
      </c>
      <c r="CX35" s="39" t="str">
        <f>CQ35</f>
        <v>par 100 kg</v>
      </c>
      <c r="CY35" s="611">
        <f>'Données normes'!$G$41</f>
        <v>0</v>
      </c>
      <c r="CZ35" s="148">
        <f>(CX9+CX10)/100*CY35</f>
        <v>0</v>
      </c>
      <c r="DA35" s="733">
        <f>CZ35/CZ76</f>
        <v>0</v>
      </c>
    </row>
    <row r="36" spans="1:105" s="18" customFormat="1" ht="12.5" x14ac:dyDescent="0.25">
      <c r="A36" s="751" t="str">
        <f>'Données normes'!$E$42</f>
        <v>Coûts de triage</v>
      </c>
      <c r="B36" s="18" t="str">
        <f>'Données normes'!$F$42</f>
        <v>Catégorie I+II</v>
      </c>
      <c r="D36" s="533" t="s">
        <v>382</v>
      </c>
      <c r="E36" s="42">
        <f>'Données normes'!$G$42</f>
        <v>0</v>
      </c>
      <c r="F36" s="148">
        <f>(D9+D10)/100*E36</f>
        <v>0</v>
      </c>
      <c r="G36" s="733">
        <f>F36/F76</f>
        <v>0</v>
      </c>
      <c r="H36" s="751" t="str">
        <f>'Données normes'!$E$42</f>
        <v>Coûts de triage</v>
      </c>
      <c r="I36" s="18" t="str">
        <f>'Données normes'!$F$42</f>
        <v>Catégorie I+II</v>
      </c>
      <c r="K36" s="39" t="str">
        <f>D36</f>
        <v>par 100 kg</v>
      </c>
      <c r="L36" s="42">
        <f>'Données normes'!$G$42</f>
        <v>0</v>
      </c>
      <c r="M36" s="148">
        <f>(K9+K10)/100*L36</f>
        <v>0</v>
      </c>
      <c r="N36" s="733">
        <f>M36/M76</f>
        <v>0</v>
      </c>
      <c r="O36" s="751" t="str">
        <f>'Données normes'!$E$42</f>
        <v>Coûts de triage</v>
      </c>
      <c r="P36" s="18" t="str">
        <f>'Données normes'!$F$42</f>
        <v>Catégorie I+II</v>
      </c>
      <c r="R36" s="39" t="str">
        <f>K36</f>
        <v>par 100 kg</v>
      </c>
      <c r="S36" s="42">
        <f>'Données normes'!$G$42</f>
        <v>0</v>
      </c>
      <c r="T36" s="148">
        <f>(R9+R10)/100*S36</f>
        <v>0</v>
      </c>
      <c r="U36" s="733">
        <f>T36/T76</f>
        <v>0</v>
      </c>
      <c r="V36" s="751" t="str">
        <f>'Données normes'!$E$42</f>
        <v>Coûts de triage</v>
      </c>
      <c r="W36" s="18" t="str">
        <f>'Données normes'!$F$42</f>
        <v>Catégorie I+II</v>
      </c>
      <c r="Y36" s="39" t="str">
        <f>R36</f>
        <v>par 100 kg</v>
      </c>
      <c r="Z36" s="42">
        <f>'Données normes'!$G$42</f>
        <v>0</v>
      </c>
      <c r="AA36" s="148">
        <f>(Y9+Y10)/100*Z36</f>
        <v>0</v>
      </c>
      <c r="AB36" s="733">
        <f>AA36/AA76</f>
        <v>0</v>
      </c>
      <c r="AC36" s="751" t="str">
        <f>'Données normes'!$E$42</f>
        <v>Coûts de triage</v>
      </c>
      <c r="AD36" s="18" t="str">
        <f>'Données normes'!$F$42</f>
        <v>Catégorie I+II</v>
      </c>
      <c r="AF36" s="39" t="str">
        <f>Y36</f>
        <v>par 100 kg</v>
      </c>
      <c r="AG36" s="42">
        <f>'Données normes'!$G$42</f>
        <v>0</v>
      </c>
      <c r="AH36" s="148">
        <f>(AF9+AF10)/100*AG36</f>
        <v>0</v>
      </c>
      <c r="AI36" s="733">
        <f>AH36/AH76</f>
        <v>0</v>
      </c>
      <c r="AJ36" s="751" t="str">
        <f>'Données normes'!$E$42</f>
        <v>Coûts de triage</v>
      </c>
      <c r="AK36" s="18" t="str">
        <f>'Données normes'!$F$42</f>
        <v>Catégorie I+II</v>
      </c>
      <c r="AM36" s="39" t="str">
        <f>AF36</f>
        <v>par 100 kg</v>
      </c>
      <c r="AN36" s="42">
        <f>'Données normes'!$G$42</f>
        <v>0</v>
      </c>
      <c r="AO36" s="148">
        <f>(AM9+AM10)/100*AN36</f>
        <v>0</v>
      </c>
      <c r="AP36" s="733">
        <f>AO36/AO76</f>
        <v>0</v>
      </c>
      <c r="AQ36" s="751" t="str">
        <f>'Données normes'!$E$42</f>
        <v>Coûts de triage</v>
      </c>
      <c r="AR36" s="18" t="str">
        <f>'Données normes'!$F$42</f>
        <v>Catégorie I+II</v>
      </c>
      <c r="AT36" s="39" t="str">
        <f>AM36</f>
        <v>par 100 kg</v>
      </c>
      <c r="AU36" s="42">
        <f>'Données normes'!$G$42</f>
        <v>0</v>
      </c>
      <c r="AV36" s="148">
        <f>(AT9+AT10)/100*AU36</f>
        <v>0</v>
      </c>
      <c r="AW36" s="733">
        <f>AV36/AV76</f>
        <v>0</v>
      </c>
      <c r="AX36" s="751" t="str">
        <f>'Données normes'!$E$42</f>
        <v>Coûts de triage</v>
      </c>
      <c r="AY36" s="18" t="str">
        <f>'Données normes'!$F$42</f>
        <v>Catégorie I+II</v>
      </c>
      <c r="BA36" s="39" t="str">
        <f>AT36</f>
        <v>par 100 kg</v>
      </c>
      <c r="BB36" s="42">
        <f>'Données normes'!$G$42</f>
        <v>0</v>
      </c>
      <c r="BC36" s="148">
        <f>(BA9+BA10)/100*BB36</f>
        <v>0</v>
      </c>
      <c r="BD36" s="733">
        <f>BC36/BC76</f>
        <v>0</v>
      </c>
      <c r="BE36" s="751" t="str">
        <f>'Données normes'!$E$42</f>
        <v>Coûts de triage</v>
      </c>
      <c r="BF36" s="18" t="str">
        <f>'Données normes'!$F$42</f>
        <v>Catégorie I+II</v>
      </c>
      <c r="BH36" s="39" t="str">
        <f>BA36</f>
        <v>par 100 kg</v>
      </c>
      <c r="BI36" s="42">
        <f>'Données normes'!$G$42</f>
        <v>0</v>
      </c>
      <c r="BJ36" s="148">
        <f>(BH9+BH10)/100*BI36</f>
        <v>0</v>
      </c>
      <c r="BK36" s="733">
        <f>BJ36/BJ76</f>
        <v>0</v>
      </c>
      <c r="BL36" s="751" t="str">
        <f>'Données normes'!$E$42</f>
        <v>Coûts de triage</v>
      </c>
      <c r="BM36" s="18" t="str">
        <f>'Données normes'!$F$42</f>
        <v>Catégorie I+II</v>
      </c>
      <c r="BO36" s="39" t="str">
        <f>BH36</f>
        <v>par 100 kg</v>
      </c>
      <c r="BP36" s="42">
        <f>'Données normes'!$G$42</f>
        <v>0</v>
      </c>
      <c r="BQ36" s="148">
        <f>(BO9+BO10)/100*BP36</f>
        <v>0</v>
      </c>
      <c r="BR36" s="733">
        <f>BQ36/BQ76</f>
        <v>0</v>
      </c>
      <c r="BS36" s="751" t="str">
        <f>'Données normes'!$E$42</f>
        <v>Coûts de triage</v>
      </c>
      <c r="BT36" s="18" t="str">
        <f>'Données normes'!$F$42</f>
        <v>Catégorie I+II</v>
      </c>
      <c r="BV36" s="39" t="str">
        <f>BO36</f>
        <v>par 100 kg</v>
      </c>
      <c r="BW36" s="42">
        <f>'Données normes'!$G$42</f>
        <v>0</v>
      </c>
      <c r="BX36" s="148">
        <f>(BV9+BV10)/100*BW36</f>
        <v>0</v>
      </c>
      <c r="BY36" s="733">
        <f>BX36/BX76</f>
        <v>0</v>
      </c>
      <c r="BZ36" s="751" t="str">
        <f>'Données normes'!$E$42</f>
        <v>Coûts de triage</v>
      </c>
      <c r="CA36" s="18" t="str">
        <f>'Données normes'!$F$42</f>
        <v>Catégorie I+II</v>
      </c>
      <c r="CC36" s="39" t="str">
        <f>BV36</f>
        <v>par 100 kg</v>
      </c>
      <c r="CD36" s="42">
        <f>'Données normes'!$G$42</f>
        <v>0</v>
      </c>
      <c r="CE36" s="148">
        <f>(CC9+CC10)/100*CD36</f>
        <v>0</v>
      </c>
      <c r="CF36" s="733">
        <f>CE36/CE76</f>
        <v>0</v>
      </c>
      <c r="CG36" s="751" t="str">
        <f>'Données normes'!$E$42</f>
        <v>Coûts de triage</v>
      </c>
      <c r="CH36" s="18" t="str">
        <f>'Données normes'!$F$42</f>
        <v>Catégorie I+II</v>
      </c>
      <c r="CJ36" s="39" t="str">
        <f>CC36</f>
        <v>par 100 kg</v>
      </c>
      <c r="CK36" s="42">
        <f>'Données normes'!$G$42</f>
        <v>0</v>
      </c>
      <c r="CL36" s="148">
        <f>(CJ9+CJ10)/100*CK36</f>
        <v>0</v>
      </c>
      <c r="CM36" s="733">
        <f>CL36/CL76</f>
        <v>0</v>
      </c>
      <c r="CN36" s="751" t="str">
        <f>'Données normes'!$E$42</f>
        <v>Coûts de triage</v>
      </c>
      <c r="CO36" s="18" t="str">
        <f>'Données normes'!$F$42</f>
        <v>Catégorie I+II</v>
      </c>
      <c r="CQ36" s="39" t="str">
        <f>CJ36</f>
        <v>par 100 kg</v>
      </c>
      <c r="CR36" s="42">
        <f>'Données normes'!$G$42</f>
        <v>0</v>
      </c>
      <c r="CS36" s="148">
        <f>(CQ9+CQ10)/100*CR36</f>
        <v>0</v>
      </c>
      <c r="CT36" s="733">
        <f>CS36/CS76</f>
        <v>0</v>
      </c>
      <c r="CU36" s="751" t="str">
        <f>'Données normes'!$E$42</f>
        <v>Coûts de triage</v>
      </c>
      <c r="CV36" s="18" t="str">
        <f>'Données normes'!$F$42</f>
        <v>Catégorie I+II</v>
      </c>
      <c r="CX36" s="39" t="str">
        <f>CQ36</f>
        <v>par 100 kg</v>
      </c>
      <c r="CY36" s="42">
        <f>'Données normes'!$G$42</f>
        <v>0</v>
      </c>
      <c r="CZ36" s="148">
        <f>(CX9+CX10)/100*CY36</f>
        <v>0</v>
      </c>
      <c r="DA36" s="733">
        <f>CZ36/CZ76</f>
        <v>0</v>
      </c>
    </row>
    <row r="37" spans="1:105" s="1" customFormat="1" ht="13" thickBot="1" x14ac:dyDescent="0.3">
      <c r="A37" s="751"/>
      <c r="B37" s="18" t="str">
        <f>'Données normes'!F43</f>
        <v>Déchets</v>
      </c>
      <c r="C37" s="18"/>
      <c r="D37" s="533" t="s">
        <v>382</v>
      </c>
      <c r="E37" s="42">
        <f>'Données normes'!$G$43</f>
        <v>0</v>
      </c>
      <c r="F37" s="582">
        <f>(E37/100)*('Données normes'!$D$86*D12)</f>
        <v>0</v>
      </c>
      <c r="G37" s="733">
        <f>F37/F76</f>
        <v>0</v>
      </c>
      <c r="H37" s="751"/>
      <c r="I37" s="18" t="str">
        <f>'Données normes'!F43</f>
        <v>Déchets</v>
      </c>
      <c r="J37" s="18"/>
      <c r="K37" s="39" t="str">
        <f>D37</f>
        <v>par 100 kg</v>
      </c>
      <c r="L37" s="42">
        <f>'Données normes'!$G$43</f>
        <v>0</v>
      </c>
      <c r="M37" s="582">
        <f>(L37/100)*('Données normes'!$D$86*K12)</f>
        <v>0</v>
      </c>
      <c r="N37" s="733">
        <f>M37/M76</f>
        <v>0</v>
      </c>
      <c r="O37" s="751"/>
      <c r="P37" s="18" t="str">
        <f>'Données normes'!F43</f>
        <v>Déchets</v>
      </c>
      <c r="Q37" s="18"/>
      <c r="R37" s="39" t="str">
        <f>K37</f>
        <v>par 100 kg</v>
      </c>
      <c r="S37" s="42">
        <f>'Données normes'!$G$43</f>
        <v>0</v>
      </c>
      <c r="T37" s="582">
        <f>(S37/100)*('Données normes'!$D$86*R12)</f>
        <v>0</v>
      </c>
      <c r="U37" s="733">
        <f>T37/T76</f>
        <v>0</v>
      </c>
      <c r="V37" s="751"/>
      <c r="W37" s="18" t="str">
        <f>'Données normes'!F43</f>
        <v>Déchets</v>
      </c>
      <c r="X37" s="18"/>
      <c r="Y37" s="39" t="str">
        <f>R37</f>
        <v>par 100 kg</v>
      </c>
      <c r="Z37" s="42">
        <f>'Données normes'!$G$43</f>
        <v>0</v>
      </c>
      <c r="AA37" s="582">
        <f>(Z37/100)*('Données normes'!$D$86*Y12)</f>
        <v>0</v>
      </c>
      <c r="AB37" s="733">
        <f>AA37/AA76</f>
        <v>0</v>
      </c>
      <c r="AC37" s="751"/>
      <c r="AD37" s="18" t="str">
        <f>'Données normes'!F43</f>
        <v>Déchets</v>
      </c>
      <c r="AE37" s="18"/>
      <c r="AF37" s="39" t="str">
        <f>Y37</f>
        <v>par 100 kg</v>
      </c>
      <c r="AG37" s="42">
        <f>'Données normes'!$G$43</f>
        <v>0</v>
      </c>
      <c r="AH37" s="582">
        <f>(AG37/100)*('Données normes'!$D$86*AF12)</f>
        <v>0</v>
      </c>
      <c r="AI37" s="733">
        <f>AH37/AH76</f>
        <v>0</v>
      </c>
      <c r="AJ37" s="751"/>
      <c r="AK37" s="18" t="str">
        <f>'Données normes'!F43</f>
        <v>Déchets</v>
      </c>
      <c r="AL37" s="18"/>
      <c r="AM37" s="39" t="str">
        <f>AF37</f>
        <v>par 100 kg</v>
      </c>
      <c r="AN37" s="42">
        <f>'Données normes'!$G$43</f>
        <v>0</v>
      </c>
      <c r="AO37" s="582">
        <f>(AN37/100)*('Données normes'!$D$86*AM12)</f>
        <v>0</v>
      </c>
      <c r="AP37" s="733">
        <f>AO37/AO76</f>
        <v>0</v>
      </c>
      <c r="AQ37" s="751"/>
      <c r="AR37" s="18" t="str">
        <f>'Données normes'!F43</f>
        <v>Déchets</v>
      </c>
      <c r="AS37" s="18"/>
      <c r="AT37" s="39" t="str">
        <f>AM37</f>
        <v>par 100 kg</v>
      </c>
      <c r="AU37" s="42">
        <f>'Données normes'!$G$43</f>
        <v>0</v>
      </c>
      <c r="AV37" s="582">
        <f>(AU37/100)*('Données normes'!$D$86*AT12)</f>
        <v>0</v>
      </c>
      <c r="AW37" s="733">
        <f>AV37/AV76</f>
        <v>0</v>
      </c>
      <c r="AX37" s="751"/>
      <c r="AY37" s="18" t="str">
        <f>'Données normes'!F43</f>
        <v>Déchets</v>
      </c>
      <c r="AZ37" s="18"/>
      <c r="BA37" s="39" t="str">
        <f>AT37</f>
        <v>par 100 kg</v>
      </c>
      <c r="BB37" s="42">
        <f>'Données normes'!$G$43</f>
        <v>0</v>
      </c>
      <c r="BC37" s="582">
        <f>(BB37/100)*('Données normes'!$D$86*BA12)</f>
        <v>0</v>
      </c>
      <c r="BD37" s="733">
        <f>BC37/BC76</f>
        <v>0</v>
      </c>
      <c r="BE37" s="751"/>
      <c r="BF37" s="18" t="str">
        <f>'Données normes'!F43</f>
        <v>Déchets</v>
      </c>
      <c r="BG37" s="18"/>
      <c r="BH37" s="39" t="str">
        <f>BA37</f>
        <v>par 100 kg</v>
      </c>
      <c r="BI37" s="42">
        <f>'Données normes'!$G$43</f>
        <v>0</v>
      </c>
      <c r="BJ37" s="582">
        <f>(BI37/100)*('Données normes'!$D$86*BH12)</f>
        <v>0</v>
      </c>
      <c r="BK37" s="733">
        <f>BJ37/BJ76</f>
        <v>0</v>
      </c>
      <c r="BL37" s="751"/>
      <c r="BM37" s="18" t="str">
        <f>'Données normes'!F43</f>
        <v>Déchets</v>
      </c>
      <c r="BN37" s="18"/>
      <c r="BO37" s="39" t="str">
        <f>BH37</f>
        <v>par 100 kg</v>
      </c>
      <c r="BP37" s="42">
        <f>'Données normes'!$G$43</f>
        <v>0</v>
      </c>
      <c r="BQ37" s="582">
        <f>(BP37/100)*('Données normes'!$D$86*BO12)</f>
        <v>0</v>
      </c>
      <c r="BR37" s="733">
        <f>BQ37/BQ76</f>
        <v>0</v>
      </c>
      <c r="BS37" s="751"/>
      <c r="BT37" s="18" t="str">
        <f>'Données normes'!F43</f>
        <v>Déchets</v>
      </c>
      <c r="BU37" s="18"/>
      <c r="BV37" s="39" t="str">
        <f>BO37</f>
        <v>par 100 kg</v>
      </c>
      <c r="BW37" s="42">
        <f>'Données normes'!$G$43</f>
        <v>0</v>
      </c>
      <c r="BX37" s="582">
        <f>(BW37/100)*('Données normes'!$D$86*BV12)</f>
        <v>0</v>
      </c>
      <c r="BY37" s="733">
        <f>BX37/BX76</f>
        <v>0</v>
      </c>
      <c r="BZ37" s="751"/>
      <c r="CA37" s="18" t="str">
        <f>'Données normes'!F43</f>
        <v>Déchets</v>
      </c>
      <c r="CB37" s="18"/>
      <c r="CC37" s="39" t="str">
        <f>BV37</f>
        <v>par 100 kg</v>
      </c>
      <c r="CD37" s="42">
        <f>'Données normes'!$G$43</f>
        <v>0</v>
      </c>
      <c r="CE37" s="582">
        <f>(CD37/100)*('Données normes'!$D$86*CC12)</f>
        <v>0</v>
      </c>
      <c r="CF37" s="733">
        <f>CE37/CE76</f>
        <v>0</v>
      </c>
      <c r="CG37" s="751"/>
      <c r="CH37" s="18" t="str">
        <f>'Données normes'!F43</f>
        <v>Déchets</v>
      </c>
      <c r="CI37" s="18"/>
      <c r="CJ37" s="39" t="str">
        <f>CC37</f>
        <v>par 100 kg</v>
      </c>
      <c r="CK37" s="42">
        <f>'Données normes'!$G$43</f>
        <v>0</v>
      </c>
      <c r="CL37" s="582">
        <f>(CK37/100)*('Données normes'!$D$86*CJ12)</f>
        <v>0</v>
      </c>
      <c r="CM37" s="733">
        <f>CL37/CL76</f>
        <v>0</v>
      </c>
      <c r="CN37" s="751"/>
      <c r="CO37" s="18" t="str">
        <f>'Données normes'!F43</f>
        <v>Déchets</v>
      </c>
      <c r="CP37" s="18"/>
      <c r="CQ37" s="39" t="str">
        <f>CJ37</f>
        <v>par 100 kg</v>
      </c>
      <c r="CR37" s="42">
        <f>'Données normes'!$G$43</f>
        <v>0</v>
      </c>
      <c r="CS37" s="582">
        <f>(CR37/100)*('Données normes'!$D$86*CQ12)</f>
        <v>0</v>
      </c>
      <c r="CT37" s="733">
        <f>CS37/CS76</f>
        <v>0</v>
      </c>
      <c r="CU37" s="751"/>
      <c r="CV37" s="18" t="str">
        <f>'Données normes'!F43</f>
        <v>Déchets</v>
      </c>
      <c r="CW37" s="18"/>
      <c r="CX37" s="39" t="str">
        <f>CQ37</f>
        <v>par 100 kg</v>
      </c>
      <c r="CY37" s="42">
        <f>'Données normes'!$G$43</f>
        <v>0</v>
      </c>
      <c r="CZ37" s="582">
        <f>(CY37/100)*('Données normes'!$D$86*CX12)</f>
        <v>0</v>
      </c>
      <c r="DA37" s="733">
        <f>CZ37/CZ76</f>
        <v>0</v>
      </c>
    </row>
    <row r="38" spans="1:105" s="1" customFormat="1" ht="13" x14ac:dyDescent="0.3">
      <c r="A38" s="612"/>
      <c r="B38" s="18"/>
      <c r="C38" s="18"/>
      <c r="D38" s="18"/>
      <c r="E38" s="42"/>
      <c r="F38" s="80">
        <f>SUM(F33:F37)</f>
        <v>300</v>
      </c>
      <c r="G38" s="730">
        <f>F38/F76</f>
        <v>2.5594452817261207E-2</v>
      </c>
      <c r="H38" s="612"/>
      <c r="I38" s="18"/>
      <c r="J38" s="18"/>
      <c r="K38" s="18"/>
      <c r="L38" s="42"/>
      <c r="M38" s="80">
        <f>SUM(M33:M37)</f>
        <v>304.5</v>
      </c>
      <c r="N38" s="730">
        <f>M38/M76</f>
        <v>2.1897302741040101E-2</v>
      </c>
      <c r="O38" s="612"/>
      <c r="P38" s="18"/>
      <c r="Q38" s="18"/>
      <c r="R38" s="18"/>
      <c r="S38" s="42"/>
      <c r="T38" s="80">
        <f>SUM(T33:T37)</f>
        <v>316.2</v>
      </c>
      <c r="U38" s="730">
        <f>T38/T76</f>
        <v>1.20520554683828E-2</v>
      </c>
      <c r="V38" s="612"/>
      <c r="W38" s="18"/>
      <c r="X38" s="18"/>
      <c r="Y38" s="18"/>
      <c r="Z38" s="42"/>
      <c r="AA38" s="80">
        <f>SUM(AA33:AA37)</f>
        <v>322.5</v>
      </c>
      <c r="AB38" s="730">
        <f>AA38/AA76</f>
        <v>1.1306351764190096E-2</v>
      </c>
      <c r="AC38" s="612"/>
      <c r="AD38" s="18"/>
      <c r="AE38" s="18"/>
      <c r="AF38" s="18"/>
      <c r="AG38" s="42"/>
      <c r="AH38" s="80">
        <f>SUM(AH33:AH37)</f>
        <v>331.5</v>
      </c>
      <c r="AI38" s="730">
        <f>AH38/AH76</f>
        <v>1.0636694335550667E-2</v>
      </c>
      <c r="AJ38" s="612"/>
      <c r="AK38" s="18"/>
      <c r="AL38" s="18"/>
      <c r="AM38" s="18"/>
      <c r="AN38" s="42"/>
      <c r="AO38" s="80">
        <f>SUM(AO33:AO37)</f>
        <v>340.5</v>
      </c>
      <c r="AP38" s="730">
        <f>AO38/AO76</f>
        <v>1.010005602441469E-2</v>
      </c>
      <c r="AQ38" s="612"/>
      <c r="AR38" s="18"/>
      <c r="AS38" s="18"/>
      <c r="AT38" s="18"/>
      <c r="AU38" s="42"/>
      <c r="AV38" s="80">
        <f>SUM(AV33:AV37)</f>
        <v>340.5</v>
      </c>
      <c r="AW38" s="730">
        <f>AV38/AV76</f>
        <v>1.0135014602166589E-2</v>
      </c>
      <c r="AX38" s="612"/>
      <c r="AY38" s="18"/>
      <c r="AZ38" s="18"/>
      <c r="BA38" s="18"/>
      <c r="BB38" s="42"/>
      <c r="BC38" s="80">
        <f>SUM(BC33:BC37)</f>
        <v>340.5</v>
      </c>
      <c r="BD38" s="730">
        <f>BC38/BC76</f>
        <v>1.0170745902341632E-2</v>
      </c>
      <c r="BE38" s="612"/>
      <c r="BF38" s="18"/>
      <c r="BG38" s="18"/>
      <c r="BH38" s="18"/>
      <c r="BI38" s="42"/>
      <c r="BJ38" s="80">
        <f>SUM(BJ33:BJ37)</f>
        <v>340.5</v>
      </c>
      <c r="BK38" s="730">
        <f>BJ38/BJ76</f>
        <v>1.0207271737905079E-2</v>
      </c>
      <c r="BL38" s="612"/>
      <c r="BM38" s="18"/>
      <c r="BN38" s="18"/>
      <c r="BO38" s="39"/>
      <c r="BP38" s="42"/>
      <c r="BQ38" s="80">
        <f>SUM(BQ33:BQ37)</f>
        <v>340.5</v>
      </c>
      <c r="BR38" s="730">
        <f>BQ38/BQ76</f>
        <v>1.0244614722688124E-2</v>
      </c>
      <c r="BS38" s="612"/>
      <c r="BT38" s="18"/>
      <c r="BU38" s="18"/>
      <c r="BV38" s="18"/>
      <c r="BW38" s="42"/>
      <c r="BX38" s="80">
        <f>SUM(BX33:BX37)</f>
        <v>340.5</v>
      </c>
      <c r="BY38" s="730">
        <f>BX38/BX76</f>
        <v>1.0275781209095556E-2</v>
      </c>
      <c r="BZ38" s="612"/>
      <c r="CA38" s="18"/>
      <c r="CB38" s="18"/>
      <c r="CC38" s="18"/>
      <c r="CD38" s="42"/>
      <c r="CE38" s="80">
        <f>SUM(CE33:CE37)</f>
        <v>340.5</v>
      </c>
      <c r="CF38" s="730">
        <f>CE38/CE76</f>
        <v>1.0307609712802502E-2</v>
      </c>
      <c r="CG38" s="612"/>
      <c r="CH38" s="18"/>
      <c r="CI38" s="18"/>
      <c r="CJ38" s="18"/>
      <c r="CK38" s="42"/>
      <c r="CL38" s="80">
        <f>SUM(CL33:CL37)</f>
        <v>340.5</v>
      </c>
      <c r="CM38" s="730">
        <f>CL38/CL76</f>
        <v>1.0340117911615024E-2</v>
      </c>
      <c r="CN38" s="612"/>
      <c r="CO38" s="18"/>
      <c r="CP38" s="18"/>
      <c r="CQ38" s="18"/>
      <c r="CR38" s="42"/>
      <c r="CS38" s="80">
        <f>SUM(CS33:CS37)</f>
        <v>340.5</v>
      </c>
      <c r="CT38" s="730">
        <f>CS38/CS76</f>
        <v>1.0366182940520068E-2</v>
      </c>
      <c r="CU38" s="612"/>
      <c r="CV38" s="18"/>
      <c r="CW38" s="18"/>
      <c r="CX38" s="18"/>
      <c r="CY38" s="42"/>
      <c r="CZ38" s="80">
        <f>SUM(CZ33:CZ37)</f>
        <v>340.5</v>
      </c>
      <c r="DA38" s="730">
        <f>CZ38/CZ76</f>
        <v>8.6722538102708118E-3</v>
      </c>
    </row>
    <row r="39" spans="1:105" s="1" customFormat="1" ht="6" customHeight="1" x14ac:dyDescent="0.25">
      <c r="A39" s="751"/>
      <c r="B39" s="752"/>
      <c r="C39" s="753"/>
      <c r="D39" s="41"/>
      <c r="E39" s="611"/>
      <c r="F39" s="148"/>
      <c r="G39" s="733"/>
      <c r="H39" s="751"/>
      <c r="I39" s="752"/>
      <c r="J39" s="753"/>
      <c r="K39" s="41"/>
      <c r="L39" s="611"/>
      <c r="M39" s="148"/>
      <c r="N39" s="733">
        <f>M39/$M$76</f>
        <v>0</v>
      </c>
      <c r="O39" s="751"/>
      <c r="P39" s="752"/>
      <c r="Q39" s="753"/>
      <c r="R39" s="41"/>
      <c r="S39" s="611"/>
      <c r="T39" s="148"/>
      <c r="U39" s="733">
        <f>T39/$T$76</f>
        <v>0</v>
      </c>
      <c r="V39" s="751"/>
      <c r="W39" s="752"/>
      <c r="X39" s="753"/>
      <c r="Y39" s="41"/>
      <c r="Z39" s="611"/>
      <c r="AA39" s="148"/>
      <c r="AB39" s="733">
        <f>AA39/$AA$76</f>
        <v>0</v>
      </c>
      <c r="AC39" s="751"/>
      <c r="AD39" s="752"/>
      <c r="AE39" s="753"/>
      <c r="AF39" s="41"/>
      <c r="AG39" s="611"/>
      <c r="AH39" s="148"/>
      <c r="AI39" s="733">
        <f>AH39/$AH$76</f>
        <v>0</v>
      </c>
      <c r="AJ39" s="751"/>
      <c r="AK39" s="752"/>
      <c r="AL39" s="753"/>
      <c r="AM39" s="41"/>
      <c r="AN39" s="611"/>
      <c r="AO39" s="148"/>
      <c r="AP39" s="733"/>
      <c r="AQ39" s="751"/>
      <c r="AR39" s="752"/>
      <c r="AS39" s="753"/>
      <c r="AT39" s="41"/>
      <c r="AU39" s="611"/>
      <c r="AV39" s="148"/>
      <c r="AW39" s="733"/>
      <c r="AX39" s="751"/>
      <c r="AY39" s="752"/>
      <c r="AZ39" s="753"/>
      <c r="BA39" s="41"/>
      <c r="BB39" s="611"/>
      <c r="BC39" s="148"/>
      <c r="BD39" s="733"/>
      <c r="BE39" s="751"/>
      <c r="BF39" s="752"/>
      <c r="BG39" s="753"/>
      <c r="BH39" s="41"/>
      <c r="BI39" s="611"/>
      <c r="BJ39" s="148"/>
      <c r="BK39" s="733"/>
      <c r="BL39" s="751"/>
      <c r="BM39" s="752"/>
      <c r="BN39" s="753"/>
      <c r="BO39" s="41"/>
      <c r="BP39" s="611"/>
      <c r="BQ39" s="148"/>
      <c r="BR39" s="733"/>
      <c r="BS39" s="751"/>
      <c r="BT39" s="752"/>
      <c r="BU39" s="753"/>
      <c r="BV39" s="41"/>
      <c r="BW39" s="611"/>
      <c r="BX39" s="148"/>
      <c r="BY39" s="733"/>
      <c r="BZ39" s="751"/>
      <c r="CA39" s="752"/>
      <c r="CB39" s="753"/>
      <c r="CC39" s="41"/>
      <c r="CD39" s="611"/>
      <c r="CE39" s="148"/>
      <c r="CF39" s="733"/>
      <c r="CG39" s="751"/>
      <c r="CH39" s="752"/>
      <c r="CI39" s="753"/>
      <c r="CJ39" s="41"/>
      <c r="CK39" s="611"/>
      <c r="CL39" s="148"/>
      <c r="CM39" s="733"/>
      <c r="CN39" s="751"/>
      <c r="CO39" s="752"/>
      <c r="CP39" s="753"/>
      <c r="CQ39" s="41"/>
      <c r="CR39" s="611"/>
      <c r="CS39" s="148"/>
      <c r="CT39" s="733"/>
      <c r="CU39" s="751"/>
      <c r="CV39" s="752"/>
      <c r="CW39" s="753"/>
      <c r="CX39" s="41"/>
      <c r="CY39" s="611"/>
      <c r="CZ39" s="148"/>
      <c r="DA39" s="733"/>
    </row>
    <row r="40" spans="1:105" s="66" customFormat="1" ht="15" customHeight="1" x14ac:dyDescent="0.3">
      <c r="A40" s="84" t="s">
        <v>154</v>
      </c>
      <c r="B40" s="754" t="s">
        <v>392</v>
      </c>
      <c r="C40" s="755"/>
      <c r="D40" s="751"/>
      <c r="E40" s="756"/>
      <c r="F40" s="82">
        <f>'Données normes'!E161</f>
        <v>600</v>
      </c>
      <c r="G40" s="730">
        <f>F40/$F$76</f>
        <v>5.1188905634522414E-2</v>
      </c>
      <c r="H40" s="84" t="s">
        <v>154</v>
      </c>
      <c r="I40" s="754" t="s">
        <v>392</v>
      </c>
      <c r="J40" s="755"/>
      <c r="K40" s="751"/>
      <c r="L40" s="756"/>
      <c r="M40" s="82">
        <f>'Données normes'!E161</f>
        <v>600</v>
      </c>
      <c r="N40" s="730">
        <f>M40/$M$76</f>
        <v>4.3147394563625811E-2</v>
      </c>
      <c r="O40" s="84" t="s">
        <v>154</v>
      </c>
      <c r="P40" s="754" t="s">
        <v>392</v>
      </c>
      <c r="Q40" s="755"/>
      <c r="R40" s="751"/>
      <c r="S40" s="756"/>
      <c r="T40" s="82">
        <f>'Données normes'!E161</f>
        <v>600</v>
      </c>
      <c r="U40" s="730">
        <f>T40/$T$76</f>
        <v>2.2869175461826947E-2</v>
      </c>
      <c r="V40" s="84" t="s">
        <v>154</v>
      </c>
      <c r="W40" s="754" t="s">
        <v>392</v>
      </c>
      <c r="X40" s="755"/>
      <c r="Y40" s="751"/>
      <c r="Z40" s="756"/>
      <c r="AA40" s="82">
        <f>'Données normes'!E161</f>
        <v>600</v>
      </c>
      <c r="AB40" s="730">
        <f>AA40/$AA$76</f>
        <v>2.1035073049655992E-2</v>
      </c>
      <c r="AC40" s="84" t="s">
        <v>154</v>
      </c>
      <c r="AD40" s="754" t="s">
        <v>392</v>
      </c>
      <c r="AE40" s="755"/>
      <c r="AF40" s="751"/>
      <c r="AG40" s="756"/>
      <c r="AH40" s="82">
        <f>'Données normes'!E161</f>
        <v>600</v>
      </c>
      <c r="AI40" s="730">
        <f>AH40/$AH$76</f>
        <v>1.9251935448960481E-2</v>
      </c>
      <c r="AJ40" s="84" t="s">
        <v>154</v>
      </c>
      <c r="AK40" s="754" t="s">
        <v>392</v>
      </c>
      <c r="AL40" s="755"/>
      <c r="AM40" s="751"/>
      <c r="AN40" s="756"/>
      <c r="AO40" s="82">
        <f>'Données normes'!E161</f>
        <v>600</v>
      </c>
      <c r="AP40" s="730">
        <f>AO40/$AO$76</f>
        <v>1.7797455549629412E-2</v>
      </c>
      <c r="AQ40" s="84" t="s">
        <v>154</v>
      </c>
      <c r="AR40" s="754" t="s">
        <v>392</v>
      </c>
      <c r="AS40" s="755"/>
      <c r="AT40" s="751"/>
      <c r="AU40" s="756"/>
      <c r="AV40" s="82">
        <f>'Données normes'!E161</f>
        <v>600</v>
      </c>
      <c r="AW40" s="730">
        <f>AV40/$AV$76</f>
        <v>1.7859056567694431E-2</v>
      </c>
      <c r="AX40" s="84" t="s">
        <v>154</v>
      </c>
      <c r="AY40" s="754" t="s">
        <v>392</v>
      </c>
      <c r="AZ40" s="755"/>
      <c r="BA40" s="751"/>
      <c r="BB40" s="756"/>
      <c r="BC40" s="82">
        <f>'Données normes'!E161</f>
        <v>600</v>
      </c>
      <c r="BD40" s="730">
        <f>BC40/$BC$76</f>
        <v>1.7922019211174683E-2</v>
      </c>
      <c r="BE40" s="84" t="s">
        <v>154</v>
      </c>
      <c r="BF40" s="754" t="s">
        <v>392</v>
      </c>
      <c r="BG40" s="755"/>
      <c r="BH40" s="751"/>
      <c r="BI40" s="756"/>
      <c r="BJ40" s="82">
        <f>'Données normes'!E161</f>
        <v>600</v>
      </c>
      <c r="BK40" s="730">
        <f>BJ40/$BJ$76</f>
        <v>1.7986381917013357E-2</v>
      </c>
      <c r="BL40" s="84" t="s">
        <v>154</v>
      </c>
      <c r="BM40" s="754" t="s">
        <v>392</v>
      </c>
      <c r="BN40" s="755"/>
      <c r="BO40" s="751"/>
      <c r="BP40" s="756"/>
      <c r="BQ40" s="82">
        <f>'Données normes'!E161</f>
        <v>600</v>
      </c>
      <c r="BR40" s="730">
        <f>BQ40/$BQ$76</f>
        <v>1.8052184533371141E-2</v>
      </c>
      <c r="BS40" s="84" t="s">
        <v>154</v>
      </c>
      <c r="BT40" s="754" t="s">
        <v>392</v>
      </c>
      <c r="BU40" s="755"/>
      <c r="BV40" s="751"/>
      <c r="BW40" s="756"/>
      <c r="BX40" s="82">
        <f>'Données normes'!E161</f>
        <v>600</v>
      </c>
      <c r="BY40" s="730">
        <f>BX40/$BX$76</f>
        <v>1.8107103452150761E-2</v>
      </c>
      <c r="BZ40" s="84" t="s">
        <v>154</v>
      </c>
      <c r="CA40" s="754" t="s">
        <v>392</v>
      </c>
      <c r="CB40" s="755"/>
      <c r="CC40" s="751"/>
      <c r="CD40" s="756"/>
      <c r="CE40" s="82">
        <f>'Données normes'!E161</f>
        <v>600</v>
      </c>
      <c r="CF40" s="730">
        <f>CE40/$CE$76</f>
        <v>1.8163188921237888E-2</v>
      </c>
      <c r="CG40" s="84" t="s">
        <v>154</v>
      </c>
      <c r="CH40" s="754" t="s">
        <v>392</v>
      </c>
      <c r="CI40" s="755"/>
      <c r="CJ40" s="751"/>
      <c r="CK40" s="756"/>
      <c r="CL40" s="82">
        <f>'Données normes'!E161</f>
        <v>600</v>
      </c>
      <c r="CM40" s="730">
        <f>CL40/$CL$76</f>
        <v>1.8220472090951585E-2</v>
      </c>
      <c r="CN40" s="84" t="s">
        <v>154</v>
      </c>
      <c r="CO40" s="754" t="s">
        <v>392</v>
      </c>
      <c r="CP40" s="755"/>
      <c r="CQ40" s="751"/>
      <c r="CR40" s="756"/>
      <c r="CS40" s="82">
        <f>'Données normes'!E161</f>
        <v>600</v>
      </c>
      <c r="CT40" s="730">
        <f>CS40/$CS$76</f>
        <v>1.8266401657304084E-2</v>
      </c>
      <c r="CU40" s="84" t="s">
        <v>154</v>
      </c>
      <c r="CV40" s="754" t="s">
        <v>392</v>
      </c>
      <c r="CW40" s="755"/>
      <c r="CX40" s="751"/>
      <c r="CY40" s="756"/>
      <c r="CZ40" s="82">
        <f>'Données normes'!E161</f>
        <v>600</v>
      </c>
      <c r="DA40" s="730">
        <f>CZ40/$CZ$76</f>
        <v>1.5281504511490417E-2</v>
      </c>
    </row>
    <row r="41" spans="1:105" s="287" customFormat="1" ht="18.75" customHeight="1" x14ac:dyDescent="0.4">
      <c r="A41" s="583" t="s">
        <v>157</v>
      </c>
      <c r="B41" s="584"/>
      <c r="C41" s="623"/>
      <c r="D41" s="623"/>
      <c r="E41" s="624"/>
      <c r="F41" s="587">
        <f>F40+F38+F29+F30+F31+F20</f>
        <v>3042</v>
      </c>
      <c r="G41" s="58">
        <f>F41/$F$76</f>
        <v>0.25952775156702867</v>
      </c>
      <c r="H41" s="583" t="s">
        <v>157</v>
      </c>
      <c r="I41" s="584"/>
      <c r="J41" s="623"/>
      <c r="K41" s="623"/>
      <c r="L41" s="624"/>
      <c r="M41" s="587">
        <f>M40+M38+M29+M30+M20+M31</f>
        <v>3194.75</v>
      </c>
      <c r="N41" s="58">
        <f>M41/$M$76</f>
        <v>0.22974189797023928</v>
      </c>
      <c r="O41" s="583" t="s">
        <v>157</v>
      </c>
      <c r="P41" s="584"/>
      <c r="Q41" s="623"/>
      <c r="R41" s="623"/>
      <c r="S41" s="624"/>
      <c r="T41" s="587">
        <f>T40+T38+T29+T30+T20+T31</f>
        <v>7533.2</v>
      </c>
      <c r="U41" s="58">
        <f>T41/$T$76</f>
        <v>0.28713012098172458</v>
      </c>
      <c r="V41" s="583" t="s">
        <v>157</v>
      </c>
      <c r="W41" s="584"/>
      <c r="X41" s="623"/>
      <c r="Y41" s="623"/>
      <c r="Z41" s="624"/>
      <c r="AA41" s="587">
        <f>AA40+AA38+AA29+AA30+AA20+AA31</f>
        <v>7603</v>
      </c>
      <c r="AB41" s="58">
        <f>AA41/$AA$76</f>
        <v>0.26654943399422415</v>
      </c>
      <c r="AC41" s="583" t="s">
        <v>157</v>
      </c>
      <c r="AD41" s="584"/>
      <c r="AE41" s="623"/>
      <c r="AF41" s="623"/>
      <c r="AG41" s="624"/>
      <c r="AH41" s="587">
        <f>AH40+AH38+AH29+AH30+AH20+AH31</f>
        <v>7612</v>
      </c>
      <c r="AI41" s="58">
        <f>AH41/$AH$76</f>
        <v>0.24424288772914532</v>
      </c>
      <c r="AJ41" s="583" t="s">
        <v>157</v>
      </c>
      <c r="AK41" s="584"/>
      <c r="AL41" s="623"/>
      <c r="AM41" s="623"/>
      <c r="AN41" s="624"/>
      <c r="AO41" s="587">
        <f>AO40+AO38+AO29+AO30+AO20+AO31</f>
        <v>7621</v>
      </c>
      <c r="AP41" s="58">
        <f>AO41/$AO$76</f>
        <v>0.22605734790620957</v>
      </c>
      <c r="AQ41" s="583" t="s">
        <v>157</v>
      </c>
      <c r="AR41" s="584"/>
      <c r="AS41" s="623"/>
      <c r="AT41" s="623"/>
      <c r="AU41" s="624"/>
      <c r="AV41" s="587">
        <f>AV40+AV38+AV29+AV30+AV20+AV31</f>
        <v>7621</v>
      </c>
      <c r="AW41" s="58">
        <f>AV41/$AV$76</f>
        <v>0.22683978350399875</v>
      </c>
      <c r="AX41" s="583" t="s">
        <v>157</v>
      </c>
      <c r="AY41" s="584"/>
      <c r="AZ41" s="623"/>
      <c r="BA41" s="623"/>
      <c r="BB41" s="624"/>
      <c r="BC41" s="587">
        <f>BC40+BC38+BC29+BC30+BC20+BC31</f>
        <v>7621</v>
      </c>
      <c r="BD41" s="58">
        <f>BC41/$BC$76</f>
        <v>0.22763951401393709</v>
      </c>
      <c r="BE41" s="583" t="s">
        <v>157</v>
      </c>
      <c r="BF41" s="584"/>
      <c r="BG41" s="623"/>
      <c r="BH41" s="623"/>
      <c r="BI41" s="624"/>
      <c r="BJ41" s="587">
        <f>BJ40+BJ38+BJ29+BJ30+BJ20+BJ31</f>
        <v>7621</v>
      </c>
      <c r="BK41" s="58">
        <f>BJ41/$BJ$76</f>
        <v>0.22845702764926462</v>
      </c>
      <c r="BL41" s="583" t="s">
        <v>157</v>
      </c>
      <c r="BM41" s="584"/>
      <c r="BN41" s="623"/>
      <c r="BO41" s="623"/>
      <c r="BP41" s="624"/>
      <c r="BQ41" s="587">
        <f>BQ40+BQ38+BQ29+BQ30+BQ20+BQ31</f>
        <v>7621</v>
      </c>
      <c r="BR41" s="58">
        <f>BQ41/$BQ$76</f>
        <v>0.22929283054803579</v>
      </c>
      <c r="BS41" s="583" t="s">
        <v>157</v>
      </c>
      <c r="BT41" s="584"/>
      <c r="BU41" s="623"/>
      <c r="BV41" s="623"/>
      <c r="BW41" s="624"/>
      <c r="BX41" s="587">
        <f>BX40+BX38+BX29+BX30+BX20+BX31</f>
        <v>7621</v>
      </c>
      <c r="BY41" s="58">
        <f>BX41/$BX$76</f>
        <v>0.22999039234806826</v>
      </c>
      <c r="BZ41" s="583" t="s">
        <v>157</v>
      </c>
      <c r="CA41" s="584"/>
      <c r="CB41" s="623"/>
      <c r="CC41" s="623"/>
      <c r="CD41" s="624"/>
      <c r="CE41" s="587">
        <f>CE40+CE38+CE29+CE30+CE20+CE31</f>
        <v>7621</v>
      </c>
      <c r="CF41" s="58">
        <f>CE41/$CE$76</f>
        <v>0.23070277128125657</v>
      </c>
      <c r="CG41" s="583" t="s">
        <v>157</v>
      </c>
      <c r="CH41" s="584"/>
      <c r="CI41" s="623"/>
      <c r="CJ41" s="623"/>
      <c r="CK41" s="624"/>
      <c r="CL41" s="587">
        <f>CL40+CL38+CL29+CL30+CL20+CL31</f>
        <v>7621</v>
      </c>
      <c r="CM41" s="58">
        <f>CL41/$CL$76</f>
        <v>0.23143036300857003</v>
      </c>
      <c r="CN41" s="583" t="s">
        <v>157</v>
      </c>
      <c r="CO41" s="584"/>
      <c r="CP41" s="623"/>
      <c r="CQ41" s="623"/>
      <c r="CR41" s="624"/>
      <c r="CS41" s="587">
        <f>CS40+CS38+CS29+CS30+CS20+CS31</f>
        <v>7621</v>
      </c>
      <c r="CT41" s="58">
        <f>CS41/$CS$76</f>
        <v>0.23201374505052402</v>
      </c>
      <c r="CU41" s="583" t="s">
        <v>157</v>
      </c>
      <c r="CV41" s="584"/>
      <c r="CW41" s="623"/>
      <c r="CX41" s="623"/>
      <c r="CY41" s="624"/>
      <c r="CZ41" s="587">
        <f>CZ40+CZ38+CZ29+CZ30+CZ20+CZ31</f>
        <v>7621</v>
      </c>
      <c r="DA41" s="58">
        <f>CZ41/$CZ$76</f>
        <v>0.19410057647011411</v>
      </c>
    </row>
    <row r="42" spans="1:105" s="38" customFormat="1" ht="18.75" customHeight="1" x14ac:dyDescent="0.3">
      <c r="A42" s="38" t="s">
        <v>277</v>
      </c>
      <c r="B42" s="18"/>
      <c r="C42" s="149" t="s">
        <v>191</v>
      </c>
      <c r="D42" s="757">
        <f>'Données normes'!$C$157</f>
        <v>10</v>
      </c>
      <c r="E42" s="42">
        <f>'Données normes'!$D$157</f>
        <v>15</v>
      </c>
      <c r="F42" s="80">
        <f>D42*E42</f>
        <v>150</v>
      </c>
      <c r="G42" s="730">
        <f>F42/$F$76</f>
        <v>1.2797226408630603E-2</v>
      </c>
      <c r="H42" s="38" t="s">
        <v>277</v>
      </c>
      <c r="I42" s="18"/>
      <c r="J42" s="149" t="s">
        <v>191</v>
      </c>
      <c r="K42" s="757">
        <f>'Données normes'!$C$157</f>
        <v>10</v>
      </c>
      <c r="L42" s="42">
        <f>'Données normes'!$D$157</f>
        <v>15</v>
      </c>
      <c r="M42" s="80">
        <f>K42*L42</f>
        <v>150</v>
      </c>
      <c r="N42" s="730">
        <f>M42/$M$76</f>
        <v>1.0786848640906453E-2</v>
      </c>
      <c r="O42" s="38" t="s">
        <v>277</v>
      </c>
      <c r="P42" s="18"/>
      <c r="Q42" s="149" t="s">
        <v>191</v>
      </c>
      <c r="R42" s="757">
        <f>'Données normes'!$C$157</f>
        <v>10</v>
      </c>
      <c r="S42" s="42">
        <f>'Données normes'!$D$157</f>
        <v>15</v>
      </c>
      <c r="T42" s="80">
        <f>R42*S42</f>
        <v>150</v>
      </c>
      <c r="U42" s="730">
        <f>T42/$T$76</f>
        <v>5.7172938654567367E-3</v>
      </c>
      <c r="V42" s="38" t="s">
        <v>277</v>
      </c>
      <c r="W42" s="18"/>
      <c r="X42" s="149" t="s">
        <v>191</v>
      </c>
      <c r="Y42" s="757">
        <f>'Données normes'!$C$157</f>
        <v>10</v>
      </c>
      <c r="Z42" s="42">
        <f>'Données normes'!$D$157</f>
        <v>15</v>
      </c>
      <c r="AA42" s="80">
        <f>Y42*Z42</f>
        <v>150</v>
      </c>
      <c r="AB42" s="730">
        <f>AA42/$AA$76</f>
        <v>5.2587682624139981E-3</v>
      </c>
      <c r="AC42" s="38" t="s">
        <v>277</v>
      </c>
      <c r="AD42" s="18"/>
      <c r="AE42" s="149" t="s">
        <v>191</v>
      </c>
      <c r="AF42" s="757">
        <f>'Données normes'!$C$157</f>
        <v>10</v>
      </c>
      <c r="AG42" s="42">
        <f>'Données normes'!$D$157</f>
        <v>15</v>
      </c>
      <c r="AH42" s="80">
        <f>AF42*AG42</f>
        <v>150</v>
      </c>
      <c r="AI42" s="730">
        <f>AH42/$AH$76</f>
        <v>4.8129838622401203E-3</v>
      </c>
      <c r="AJ42" s="38" t="s">
        <v>277</v>
      </c>
      <c r="AK42" s="18"/>
      <c r="AL42" s="149" t="s">
        <v>191</v>
      </c>
      <c r="AM42" s="757">
        <f>'Données normes'!$C$157</f>
        <v>10</v>
      </c>
      <c r="AN42" s="42">
        <f>'Données normes'!$D$157</f>
        <v>15</v>
      </c>
      <c r="AO42" s="80">
        <f>AM42*AN42</f>
        <v>150</v>
      </c>
      <c r="AP42" s="730">
        <f>AO42/$AO$76</f>
        <v>4.4493638874073529E-3</v>
      </c>
      <c r="AQ42" s="38" t="s">
        <v>277</v>
      </c>
      <c r="AR42" s="18"/>
      <c r="AS42" s="149" t="s">
        <v>191</v>
      </c>
      <c r="AT42" s="757">
        <f>'Données normes'!$C$157</f>
        <v>10</v>
      </c>
      <c r="AU42" s="42">
        <f>'Données normes'!$D$157</f>
        <v>15</v>
      </c>
      <c r="AV42" s="80">
        <f>AT42*AU42</f>
        <v>150</v>
      </c>
      <c r="AW42" s="730">
        <f>AV42/$AV$76</f>
        <v>4.4647641419236078E-3</v>
      </c>
      <c r="AX42" s="38" t="s">
        <v>277</v>
      </c>
      <c r="AY42" s="18"/>
      <c r="AZ42" s="149" t="s">
        <v>191</v>
      </c>
      <c r="BA42" s="757">
        <f>'Données normes'!$C$157</f>
        <v>10</v>
      </c>
      <c r="BB42" s="42">
        <f>'Données normes'!$D$157</f>
        <v>15</v>
      </c>
      <c r="BC42" s="80">
        <f>BA42*BB42</f>
        <v>150</v>
      </c>
      <c r="BD42" s="730">
        <f>BC42/$BC$76</f>
        <v>4.4805048027936707E-3</v>
      </c>
      <c r="BE42" s="38" t="s">
        <v>277</v>
      </c>
      <c r="BF42" s="18"/>
      <c r="BG42" s="149" t="s">
        <v>191</v>
      </c>
      <c r="BH42" s="757">
        <f>'Données normes'!$C$157</f>
        <v>10</v>
      </c>
      <c r="BI42" s="42">
        <f>'Données normes'!$D$157</f>
        <v>15</v>
      </c>
      <c r="BJ42" s="80">
        <f>BH42*BI42</f>
        <v>150</v>
      </c>
      <c r="BK42" s="730">
        <f>BJ42/$BJ$76</f>
        <v>4.4965954792533392E-3</v>
      </c>
      <c r="BL42" s="38" t="s">
        <v>277</v>
      </c>
      <c r="BM42" s="18"/>
      <c r="BN42" s="149" t="s">
        <v>191</v>
      </c>
      <c r="BO42" s="757">
        <f>'Données normes'!$C$157</f>
        <v>10</v>
      </c>
      <c r="BP42" s="42">
        <f>'Données normes'!$D$157</f>
        <v>15</v>
      </c>
      <c r="BQ42" s="80">
        <f>BO42*BP42</f>
        <v>150</v>
      </c>
      <c r="BR42" s="730">
        <f>BQ42/$BQ$76</f>
        <v>4.5130461333427853E-3</v>
      </c>
      <c r="BS42" s="38" t="s">
        <v>277</v>
      </c>
      <c r="BT42" s="18"/>
      <c r="BU42" s="149" t="s">
        <v>191</v>
      </c>
      <c r="BV42" s="757">
        <f>'Données normes'!$C$157</f>
        <v>10</v>
      </c>
      <c r="BW42" s="42">
        <f>'Données normes'!$D$157</f>
        <v>15</v>
      </c>
      <c r="BX42" s="80">
        <f>BV42*BW42</f>
        <v>150</v>
      </c>
      <c r="BY42" s="730">
        <f>BX42/$BX$76</f>
        <v>4.5267758630376902E-3</v>
      </c>
      <c r="BZ42" s="38" t="s">
        <v>277</v>
      </c>
      <c r="CA42" s="18"/>
      <c r="CB42" s="149" t="s">
        <v>191</v>
      </c>
      <c r="CC42" s="757">
        <f>'Données normes'!$C$157</f>
        <v>10</v>
      </c>
      <c r="CD42" s="42">
        <f>'Données normes'!$D$157</f>
        <v>15</v>
      </c>
      <c r="CE42" s="80">
        <f>CC42*CD42</f>
        <v>150</v>
      </c>
      <c r="CF42" s="730">
        <f>CE42/$CE$76</f>
        <v>4.5407972303094721E-3</v>
      </c>
      <c r="CG42" s="38" t="s">
        <v>277</v>
      </c>
      <c r="CH42" s="18"/>
      <c r="CI42" s="149" t="s">
        <v>191</v>
      </c>
      <c r="CJ42" s="757">
        <v>10</v>
      </c>
      <c r="CK42" s="42">
        <f>'Données normes'!$D$157</f>
        <v>15</v>
      </c>
      <c r="CL42" s="80">
        <f>CJ42*CK42</f>
        <v>150</v>
      </c>
      <c r="CM42" s="730">
        <f>CL42/$CL$76</f>
        <v>4.5551180227378961E-3</v>
      </c>
      <c r="CN42" s="38" t="s">
        <v>277</v>
      </c>
      <c r="CO42" s="18"/>
      <c r="CP42" s="149" t="s">
        <v>191</v>
      </c>
      <c r="CQ42" s="757">
        <f>'Données normes'!$C$157</f>
        <v>10</v>
      </c>
      <c r="CR42" s="42">
        <f>'Données normes'!$D$157</f>
        <v>15</v>
      </c>
      <c r="CS42" s="80">
        <f>CQ42*CR42</f>
        <v>150</v>
      </c>
      <c r="CT42" s="730">
        <f>CS42/$CS$76</f>
        <v>4.5666004143260211E-3</v>
      </c>
      <c r="CU42" s="38" t="s">
        <v>277</v>
      </c>
      <c r="CV42" s="18"/>
      <c r="CW42" s="149" t="s">
        <v>191</v>
      </c>
      <c r="CX42" s="757">
        <f>'Données normes'!$C$157</f>
        <v>10</v>
      </c>
      <c r="CY42" s="42">
        <f>'Données normes'!$D$157</f>
        <v>15</v>
      </c>
      <c r="CZ42" s="80">
        <f>CX42*CY42</f>
        <v>150</v>
      </c>
      <c r="DA42" s="730">
        <f>CZ42/$CZ$76</f>
        <v>3.8203761278726043E-3</v>
      </c>
    </row>
    <row r="43" spans="1:105" ht="17.399999999999999" customHeight="1" x14ac:dyDescent="0.25">
      <c r="A43"/>
      <c r="B43"/>
      <c r="C43" s="36" t="s">
        <v>244</v>
      </c>
      <c r="D43" s="117" t="s">
        <v>383</v>
      </c>
      <c r="E43" s="297" t="s">
        <v>57</v>
      </c>
      <c r="F43" s="298" t="s">
        <v>53</v>
      </c>
      <c r="G43" s="734"/>
      <c r="H43"/>
      <c r="I43"/>
      <c r="J43" s="36" t="s">
        <v>244</v>
      </c>
      <c r="K43" s="117" t="s">
        <v>383</v>
      </c>
      <c r="L43" s="297" t="s">
        <v>57</v>
      </c>
      <c r="M43" s="298" t="s">
        <v>53</v>
      </c>
      <c r="N43" s="734"/>
      <c r="O43"/>
      <c r="Q43" s="36" t="s">
        <v>244</v>
      </c>
      <c r="R43" s="117" t="s">
        <v>383</v>
      </c>
      <c r="S43" s="297" t="s">
        <v>57</v>
      </c>
      <c r="T43" s="298" t="s">
        <v>53</v>
      </c>
      <c r="U43" s="734"/>
      <c r="V43"/>
      <c r="X43" s="36" t="s">
        <v>244</v>
      </c>
      <c r="Y43" s="117" t="s">
        <v>383</v>
      </c>
      <c r="Z43" s="297" t="s">
        <v>57</v>
      </c>
      <c r="AA43" s="298" t="s">
        <v>53</v>
      </c>
      <c r="AB43" s="734"/>
      <c r="AC43"/>
      <c r="AE43" s="36" t="s">
        <v>244</v>
      </c>
      <c r="AF43" s="117" t="s">
        <v>383</v>
      </c>
      <c r="AG43" s="297" t="s">
        <v>57</v>
      </c>
      <c r="AH43" s="298" t="s">
        <v>53</v>
      </c>
      <c r="AI43" s="734"/>
      <c r="AJ43"/>
      <c r="AL43" s="36" t="s">
        <v>244</v>
      </c>
      <c r="AM43" s="117" t="s">
        <v>383</v>
      </c>
      <c r="AN43" s="297" t="s">
        <v>57</v>
      </c>
      <c r="AO43" s="298" t="s">
        <v>53</v>
      </c>
      <c r="AP43" s="734"/>
      <c r="AQ43"/>
      <c r="AS43" s="36" t="s">
        <v>244</v>
      </c>
      <c r="AT43" s="117" t="s">
        <v>383</v>
      </c>
      <c r="AU43" s="297" t="s">
        <v>57</v>
      </c>
      <c r="AV43" s="298" t="s">
        <v>53</v>
      </c>
      <c r="AW43" s="734"/>
      <c r="AX43"/>
      <c r="AZ43" s="36" t="s">
        <v>244</v>
      </c>
      <c r="BA43" s="117" t="s">
        <v>383</v>
      </c>
      <c r="BB43" s="297" t="s">
        <v>57</v>
      </c>
      <c r="BC43" s="298" t="s">
        <v>53</v>
      </c>
      <c r="BD43" s="734"/>
      <c r="BE43"/>
      <c r="BG43" s="36" t="s">
        <v>244</v>
      </c>
      <c r="BH43" s="117" t="s">
        <v>383</v>
      </c>
      <c r="BI43" s="297" t="s">
        <v>57</v>
      </c>
      <c r="BJ43" s="298" t="s">
        <v>53</v>
      </c>
      <c r="BK43" s="734"/>
      <c r="BL43"/>
      <c r="BN43" s="36" t="s">
        <v>244</v>
      </c>
      <c r="BO43" s="117" t="s">
        <v>383</v>
      </c>
      <c r="BP43" s="297" t="s">
        <v>57</v>
      </c>
      <c r="BQ43" s="298" t="s">
        <v>53</v>
      </c>
      <c r="BR43" s="734"/>
      <c r="BS43"/>
      <c r="BU43" s="36" t="s">
        <v>244</v>
      </c>
      <c r="BV43" s="117" t="s">
        <v>383</v>
      </c>
      <c r="BW43" s="297" t="s">
        <v>57</v>
      </c>
      <c r="BX43" s="298" t="s">
        <v>53</v>
      </c>
      <c r="BY43" s="734"/>
      <c r="BZ43"/>
      <c r="CB43" s="36" t="s">
        <v>244</v>
      </c>
      <c r="CC43" s="117" t="s">
        <v>383</v>
      </c>
      <c r="CD43" s="297" t="s">
        <v>57</v>
      </c>
      <c r="CE43" s="298" t="s">
        <v>53</v>
      </c>
      <c r="CF43" s="734"/>
      <c r="CG43"/>
      <c r="CI43" s="36" t="s">
        <v>244</v>
      </c>
      <c r="CJ43" s="117" t="s">
        <v>383</v>
      </c>
      <c r="CK43" s="297" t="s">
        <v>57</v>
      </c>
      <c r="CL43" s="298" t="s">
        <v>53</v>
      </c>
      <c r="CM43" s="734"/>
      <c r="CN43"/>
      <c r="CP43" s="36" t="s">
        <v>244</v>
      </c>
      <c r="CQ43" s="117" t="s">
        <v>383</v>
      </c>
      <c r="CR43" s="297" t="s">
        <v>57</v>
      </c>
      <c r="CS43" s="298" t="s">
        <v>53</v>
      </c>
      <c r="CT43" s="734"/>
      <c r="CU43"/>
      <c r="CW43" s="36" t="s">
        <v>244</v>
      </c>
      <c r="CX43" s="117" t="s">
        <v>383</v>
      </c>
      <c r="CY43" s="297" t="s">
        <v>57</v>
      </c>
      <c r="CZ43" s="298" t="s">
        <v>53</v>
      </c>
      <c r="DA43" s="734"/>
    </row>
    <row r="44" spans="1:105" s="1" customFormat="1" ht="13" x14ac:dyDescent="0.3">
      <c r="A44" s="38" t="s">
        <v>153</v>
      </c>
      <c r="B44" s="39" t="str">
        <f>'Données normes'!$B$133</f>
        <v>Pulvérisateur traîné avec ventilateur, 1000 l</v>
      </c>
      <c r="C44" s="814">
        <f>'Données normes'!B123</f>
        <v>6</v>
      </c>
      <c r="D44" s="37">
        <f>'Données normes'!$C$133</f>
        <v>1</v>
      </c>
      <c r="E44" s="42">
        <f>'Données normes'!$D$133</f>
        <v>50.3</v>
      </c>
      <c r="F44" s="43">
        <f>C44*D44*E44</f>
        <v>301.79999999999995</v>
      </c>
      <c r="G44" s="733">
        <f>F44/$F$76</f>
        <v>2.5748019534164772E-2</v>
      </c>
      <c r="H44" s="38" t="s">
        <v>153</v>
      </c>
      <c r="I44" s="39" t="str">
        <f>'Données normes'!$B$133</f>
        <v>Pulvérisateur traîné avec ventilateur, 1000 l</v>
      </c>
      <c r="J44" s="1470">
        <f>'Données normes'!C123</f>
        <v>6</v>
      </c>
      <c r="K44" s="37">
        <f>'Données normes'!$C$133</f>
        <v>1</v>
      </c>
      <c r="L44" s="42">
        <f>'Données normes'!$D$133</f>
        <v>50.3</v>
      </c>
      <c r="M44" s="43">
        <f>J44*K44*L44</f>
        <v>301.79999999999995</v>
      </c>
      <c r="N44" s="733">
        <f>M44/$M$76</f>
        <v>2.1703139465503781E-2</v>
      </c>
      <c r="O44" s="38" t="s">
        <v>153</v>
      </c>
      <c r="P44" s="39" t="str">
        <f>'Données normes'!$B$133</f>
        <v>Pulvérisateur traîné avec ventilateur, 1000 l</v>
      </c>
      <c r="Q44" s="1470">
        <f>'Données normes'!$D$123</f>
        <v>22</v>
      </c>
      <c r="R44" s="37">
        <f>'Données normes'!$C$133</f>
        <v>1</v>
      </c>
      <c r="S44" s="42">
        <f>'Données normes'!$D$133</f>
        <v>50.3</v>
      </c>
      <c r="T44" s="43">
        <f>Q44*R44*S44</f>
        <v>1106.5999999999999</v>
      </c>
      <c r="U44" s="733">
        <f>T44/$T$76</f>
        <v>4.2178382610096161E-2</v>
      </c>
      <c r="V44" s="38" t="s">
        <v>153</v>
      </c>
      <c r="W44" s="39" t="str">
        <f>'Données normes'!$B$133</f>
        <v>Pulvérisateur traîné avec ventilateur, 1000 l</v>
      </c>
      <c r="X44" s="1470">
        <f>'Données normes'!$D$123</f>
        <v>22</v>
      </c>
      <c r="Y44" s="37">
        <f>'Données normes'!$C$133</f>
        <v>1</v>
      </c>
      <c r="Z44" s="42">
        <f>'Données normes'!$D$133</f>
        <v>50.3</v>
      </c>
      <c r="AA44" s="43">
        <f>X44*Y44*Z44</f>
        <v>1106.5999999999999</v>
      </c>
      <c r="AB44" s="733">
        <f>AA44/$AA$76</f>
        <v>3.8795686394582196E-2</v>
      </c>
      <c r="AC44" s="38" t="s">
        <v>153</v>
      </c>
      <c r="AD44" s="39" t="str">
        <f>'Données normes'!$B$133</f>
        <v>Pulvérisateur traîné avec ventilateur, 1000 l</v>
      </c>
      <c r="AE44" s="1470">
        <f>'Données normes'!$D$123</f>
        <v>22</v>
      </c>
      <c r="AF44" s="37">
        <f>'Données normes'!$C$133</f>
        <v>1</v>
      </c>
      <c r="AG44" s="42">
        <f>'Données normes'!$D$133</f>
        <v>50.3</v>
      </c>
      <c r="AH44" s="43">
        <f>AE44*AF44*AG44</f>
        <v>1106.5999999999999</v>
      </c>
      <c r="AI44" s="733">
        <f>AH44/$AH$76</f>
        <v>3.5506986279699448E-2</v>
      </c>
      <c r="AJ44" s="38" t="s">
        <v>153</v>
      </c>
      <c r="AK44" s="39" t="str">
        <f>'Données normes'!$B$133</f>
        <v>Pulvérisateur traîné avec ventilateur, 1000 l</v>
      </c>
      <c r="AL44" s="1470">
        <f>'Données normes'!$D$123</f>
        <v>22</v>
      </c>
      <c r="AM44" s="37">
        <f>'Données normes'!$C$133</f>
        <v>1</v>
      </c>
      <c r="AN44" s="42">
        <f>'Données normes'!$D$133</f>
        <v>50.3</v>
      </c>
      <c r="AO44" s="43">
        <f>AL44*AM44*AN44</f>
        <v>1106.5999999999999</v>
      </c>
      <c r="AP44" s="733">
        <f t="shared" ref="AP44:AP57" si="13">AO44/$AO$76</f>
        <v>3.2824440518699843E-2</v>
      </c>
      <c r="AQ44" s="38" t="s">
        <v>153</v>
      </c>
      <c r="AR44" s="39" t="str">
        <f>'Données normes'!$B$133</f>
        <v>Pulvérisateur traîné avec ventilateur, 1000 l</v>
      </c>
      <c r="AS44" s="1470">
        <f>'Données normes'!$D$123</f>
        <v>22</v>
      </c>
      <c r="AT44" s="37">
        <f>'Données normes'!$C$133</f>
        <v>1</v>
      </c>
      <c r="AU44" s="42">
        <f>'Données normes'!$D$133</f>
        <v>50.3</v>
      </c>
      <c r="AV44" s="43">
        <f>AS44*AT44*AU44</f>
        <v>1106.5999999999999</v>
      </c>
      <c r="AW44" s="733">
        <f t="shared" ref="AW44:AW57" si="14">AV44/$AV$76</f>
        <v>3.2938053329684421E-2</v>
      </c>
      <c r="AX44" s="38" t="s">
        <v>153</v>
      </c>
      <c r="AY44" s="39" t="str">
        <f>'Données normes'!$B$133</f>
        <v>Pulvérisateur traîné avec ventilateur, 1000 l</v>
      </c>
      <c r="AZ44" s="1470">
        <f>'Données normes'!$D$123</f>
        <v>22</v>
      </c>
      <c r="BA44" s="37">
        <f>'Données normes'!$C$133</f>
        <v>1</v>
      </c>
      <c r="BB44" s="42">
        <f>'Données normes'!$D$133</f>
        <v>50.3</v>
      </c>
      <c r="BC44" s="43">
        <f>AZ44*BA44*BB44</f>
        <v>1106.5999999999999</v>
      </c>
      <c r="BD44" s="733">
        <f t="shared" ref="BD44:BD57" si="15">BC44/$BC$76</f>
        <v>3.3054177431809835E-2</v>
      </c>
      <c r="BE44" s="38" t="s">
        <v>153</v>
      </c>
      <c r="BF44" s="39" t="str">
        <f>'Données normes'!$B$133</f>
        <v>Pulvérisateur traîné avec ventilateur, 1000 l</v>
      </c>
      <c r="BG44" s="1470">
        <f>'Données normes'!$D$123</f>
        <v>22</v>
      </c>
      <c r="BH44" s="37">
        <f>'Données normes'!$C$133</f>
        <v>1</v>
      </c>
      <c r="BI44" s="42">
        <f>'Données normes'!$D$133</f>
        <v>50.3</v>
      </c>
      <c r="BJ44" s="43">
        <f>BG44*BH44*BI44</f>
        <v>1106.5999999999999</v>
      </c>
      <c r="BK44" s="733">
        <f t="shared" ref="BK44:BK57" si="16">BJ44/$BJ$76</f>
        <v>3.3172883715611626E-2</v>
      </c>
      <c r="BL44" s="38" t="s">
        <v>153</v>
      </c>
      <c r="BM44" s="39" t="str">
        <f>'Données normes'!$B$133</f>
        <v>Pulvérisateur traîné avec ventilateur, 1000 l</v>
      </c>
      <c r="BN44" s="1470">
        <f>'Données normes'!$D$123</f>
        <v>22</v>
      </c>
      <c r="BO44" s="37">
        <f>'Données normes'!$C$133</f>
        <v>1</v>
      </c>
      <c r="BP44" s="42">
        <f>'Données normes'!$D$133</f>
        <v>50.3</v>
      </c>
      <c r="BQ44" s="43">
        <f>BN44*BO44*BP44</f>
        <v>1106.5999999999999</v>
      </c>
      <c r="BR44" s="733">
        <f t="shared" ref="BR44:BR57" si="17">BQ44/$BQ$76</f>
        <v>3.3294245674380843E-2</v>
      </c>
      <c r="BS44" s="38" t="s">
        <v>153</v>
      </c>
      <c r="BT44" s="39" t="str">
        <f>'Données normes'!$B$133</f>
        <v>Pulvérisateur traîné avec ventilateur, 1000 l</v>
      </c>
      <c r="BU44" s="1470">
        <f>'Données normes'!$D$123</f>
        <v>22</v>
      </c>
      <c r="BV44" s="37">
        <f>'Données normes'!$C$133</f>
        <v>1</v>
      </c>
      <c r="BW44" s="42">
        <f>'Données normes'!$D$133</f>
        <v>50.3</v>
      </c>
      <c r="BX44" s="43">
        <f>BU44*BV44*BW44</f>
        <v>1106.5999999999999</v>
      </c>
      <c r="BY44" s="733">
        <f t="shared" ref="BY44:BY57" si="18">BX44/$BX$76</f>
        <v>3.3395534466916718E-2</v>
      </c>
      <c r="BZ44" s="38" t="s">
        <v>153</v>
      </c>
      <c r="CA44" s="39" t="str">
        <f>'Données normes'!$B$133</f>
        <v>Pulvérisateur traîné avec ventilateur, 1000 l</v>
      </c>
      <c r="CB44" s="1470">
        <f>'Données normes'!$D$123</f>
        <v>22</v>
      </c>
      <c r="CC44" s="37">
        <f>'Données normes'!$C$133</f>
        <v>1</v>
      </c>
      <c r="CD44" s="42">
        <f>'Données normes'!$D$133</f>
        <v>50.3</v>
      </c>
      <c r="CE44" s="43">
        <f>CB44*CC44*CD44</f>
        <v>1106.5999999999999</v>
      </c>
      <c r="CF44" s="733">
        <f t="shared" ref="CF44:CF57" si="19">CE44/$CE$76</f>
        <v>3.3498974767069742E-2</v>
      </c>
      <c r="CG44" s="38" t="s">
        <v>153</v>
      </c>
      <c r="CH44" s="39" t="str">
        <f>'Données normes'!$B$133</f>
        <v>Pulvérisateur traîné avec ventilateur, 1000 l</v>
      </c>
      <c r="CI44" s="1470">
        <f>'Données normes'!$D$123</f>
        <v>22</v>
      </c>
      <c r="CJ44" s="37">
        <f>'Données normes'!$C$133</f>
        <v>1</v>
      </c>
      <c r="CK44" s="42">
        <f>'Données normes'!$D$133</f>
        <v>50.3</v>
      </c>
      <c r="CL44" s="43">
        <f>CI44*CJ44*CK44</f>
        <v>1106.5999999999999</v>
      </c>
      <c r="CM44" s="733">
        <f t="shared" ref="CM44:CM57" si="20">CL44/$CL$76</f>
        <v>3.3604624026411699E-2</v>
      </c>
      <c r="CN44" s="38" t="s">
        <v>153</v>
      </c>
      <c r="CO44" s="39" t="str">
        <f>'Données normes'!$B$133</f>
        <v>Pulvérisateur traîné avec ventilateur, 1000 l</v>
      </c>
      <c r="CP44" s="1470">
        <f>'Données normes'!$D$123</f>
        <v>22</v>
      </c>
      <c r="CQ44" s="37">
        <f>'Données normes'!$C$133</f>
        <v>1</v>
      </c>
      <c r="CR44" s="42">
        <f>'Données normes'!$D$133</f>
        <v>50.3</v>
      </c>
      <c r="CS44" s="43">
        <f>CP44*CQ44*CR44</f>
        <v>1106.5999999999999</v>
      </c>
      <c r="CT44" s="733">
        <f t="shared" ref="CT44:CT57" si="21">CS44/$CS$76</f>
        <v>3.3689333456621159E-2</v>
      </c>
      <c r="CU44" s="38" t="s">
        <v>153</v>
      </c>
      <c r="CV44" s="39" t="str">
        <f>'Données normes'!$B$133</f>
        <v>Pulvérisateur traîné avec ventilateur, 1000 l</v>
      </c>
      <c r="CW44" s="1470">
        <f>'Données normes'!$D$123</f>
        <v>22</v>
      </c>
      <c r="CX44" s="37">
        <f>'Données normes'!$C$133</f>
        <v>1</v>
      </c>
      <c r="CY44" s="42">
        <f>'Données normes'!$D$133</f>
        <v>50.3</v>
      </c>
      <c r="CZ44" s="43">
        <f>CW44*CX44*CY44</f>
        <v>1106.5999999999999</v>
      </c>
      <c r="DA44" s="733">
        <f t="shared" ref="DA44:DA57" si="22">CZ44/$CZ$76</f>
        <v>2.8184188154025489E-2</v>
      </c>
    </row>
    <row r="45" spans="1:105" s="1" customFormat="1" ht="13" x14ac:dyDescent="0.3">
      <c r="A45" s="38"/>
      <c r="B45" s="39" t="str">
        <f>'Données normes'!$B$134</f>
        <v>Rampe de pulvérisation pour herbicides</v>
      </c>
      <c r="C45" s="613">
        <f>'Données normes'!B124</f>
        <v>2</v>
      </c>
      <c r="D45" s="37">
        <f>'Données normes'!$C$134</f>
        <v>1</v>
      </c>
      <c r="E45" s="42">
        <f>'Données normes'!$D$134</f>
        <v>69</v>
      </c>
      <c r="F45" s="43">
        <f>C45*D45*E45</f>
        <v>138</v>
      </c>
      <c r="G45" s="733">
        <f>F45/$F$76</f>
        <v>1.1773448295940155E-2</v>
      </c>
      <c r="H45" s="38"/>
      <c r="I45" s="39" t="str">
        <f>'Données normes'!$B$134</f>
        <v>Rampe de pulvérisation pour herbicides</v>
      </c>
      <c r="J45" s="613">
        <f>'Données normes'!C124</f>
        <v>2</v>
      </c>
      <c r="K45" s="37">
        <f>'Données normes'!$C$134</f>
        <v>1</v>
      </c>
      <c r="L45" s="42">
        <f>'Données normes'!$D$134</f>
        <v>69</v>
      </c>
      <c r="M45" s="43">
        <f>J45*K45*L45</f>
        <v>138</v>
      </c>
      <c r="N45" s="733">
        <f>M45/$M$76</f>
        <v>9.9239007496339376E-3</v>
      </c>
      <c r="O45" s="38"/>
      <c r="P45" s="39" t="str">
        <f>'Données normes'!$B$134</f>
        <v>Rampe de pulvérisation pour herbicides</v>
      </c>
      <c r="Q45" s="613">
        <f>'Données normes'!$D$124</f>
        <v>6</v>
      </c>
      <c r="R45" s="37">
        <f>'Données normes'!$C$134</f>
        <v>1</v>
      </c>
      <c r="S45" s="42">
        <f>'Données normes'!$D$134</f>
        <v>69</v>
      </c>
      <c r="T45" s="43">
        <f>Q45*R45*S45</f>
        <v>414</v>
      </c>
      <c r="U45" s="733">
        <f>T45/$T$76</f>
        <v>1.5779731068660593E-2</v>
      </c>
      <c r="V45" s="38"/>
      <c r="W45" s="39" t="str">
        <f>'Données normes'!$B$134</f>
        <v>Rampe de pulvérisation pour herbicides</v>
      </c>
      <c r="X45" s="613">
        <f>'Données normes'!$D$124</f>
        <v>6</v>
      </c>
      <c r="Y45" s="37">
        <f>'Données normes'!$C$134</f>
        <v>1</v>
      </c>
      <c r="Z45" s="42">
        <f>'Données normes'!$D$134</f>
        <v>69</v>
      </c>
      <c r="AA45" s="43">
        <f>X45*Y45*Z45</f>
        <v>414</v>
      </c>
      <c r="AB45" s="733">
        <f>AA45/$AA$76</f>
        <v>1.4514200404262633E-2</v>
      </c>
      <c r="AC45" s="38"/>
      <c r="AD45" s="39" t="str">
        <f>'Données normes'!$B$134</f>
        <v>Rampe de pulvérisation pour herbicides</v>
      </c>
      <c r="AE45" s="613">
        <f>'Données normes'!$D$124</f>
        <v>6</v>
      </c>
      <c r="AF45" s="37">
        <f>'Données normes'!$C$134</f>
        <v>1</v>
      </c>
      <c r="AG45" s="42">
        <f>'Données normes'!$D$134</f>
        <v>69</v>
      </c>
      <c r="AH45" s="43">
        <f>AE45*AF45*AG45</f>
        <v>414</v>
      </c>
      <c r="AI45" s="733">
        <f>AH45/$AH$76</f>
        <v>1.3283835459782734E-2</v>
      </c>
      <c r="AJ45" s="38"/>
      <c r="AK45" s="39" t="str">
        <f>'Données normes'!$B$134</f>
        <v>Rampe de pulvérisation pour herbicides</v>
      </c>
      <c r="AL45" s="613">
        <f>'Données normes'!$D$124</f>
        <v>6</v>
      </c>
      <c r="AM45" s="37">
        <f>'Données normes'!$C$134</f>
        <v>1</v>
      </c>
      <c r="AN45" s="42">
        <f>'Données normes'!$D$134</f>
        <v>69</v>
      </c>
      <c r="AO45" s="43">
        <f>AL45*AM45*AN45</f>
        <v>414</v>
      </c>
      <c r="AP45" s="733">
        <f t="shared" si="13"/>
        <v>1.2280244329244294E-2</v>
      </c>
      <c r="AQ45" s="38"/>
      <c r="AR45" s="39" t="str">
        <f>'Données normes'!$B$134</f>
        <v>Rampe de pulvérisation pour herbicides</v>
      </c>
      <c r="AS45" s="613">
        <f>'Données normes'!$D$124</f>
        <v>6</v>
      </c>
      <c r="AT45" s="37">
        <f>'Données normes'!$C$134</f>
        <v>1</v>
      </c>
      <c r="AU45" s="42">
        <f>'Données normes'!$D$134</f>
        <v>69</v>
      </c>
      <c r="AV45" s="43">
        <f>AS45*AT45*AU45</f>
        <v>414</v>
      </c>
      <c r="AW45" s="733">
        <f t="shared" si="14"/>
        <v>1.2322749031709157E-2</v>
      </c>
      <c r="AX45" s="38"/>
      <c r="AY45" s="39" t="str">
        <f>'Données normes'!$B$134</f>
        <v>Rampe de pulvérisation pour herbicides</v>
      </c>
      <c r="AZ45" s="613">
        <f>'Données normes'!$D$124</f>
        <v>6</v>
      </c>
      <c r="BA45" s="37">
        <f>'Données normes'!$C$134</f>
        <v>1</v>
      </c>
      <c r="BB45" s="42">
        <f>'Données normes'!$D$134</f>
        <v>69</v>
      </c>
      <c r="BC45" s="43">
        <f>AZ45*BA45*BB45</f>
        <v>414</v>
      </c>
      <c r="BD45" s="733">
        <f t="shared" si="15"/>
        <v>1.236619325571053E-2</v>
      </c>
      <c r="BE45" s="38"/>
      <c r="BF45" s="39" t="str">
        <f>'Données normes'!$B$134</f>
        <v>Rampe de pulvérisation pour herbicides</v>
      </c>
      <c r="BG45" s="613">
        <f>'Données normes'!$D$124</f>
        <v>6</v>
      </c>
      <c r="BH45" s="37">
        <f>'Données normes'!$C$134</f>
        <v>1</v>
      </c>
      <c r="BI45" s="42">
        <f>'Données normes'!$D$134</f>
        <v>69</v>
      </c>
      <c r="BJ45" s="43">
        <f>BG45*BH45*BI45</f>
        <v>414</v>
      </c>
      <c r="BK45" s="733">
        <f t="shared" si="16"/>
        <v>1.2410603522739216E-2</v>
      </c>
      <c r="BL45" s="38"/>
      <c r="BM45" s="39" t="str">
        <f>'Données normes'!$B$134</f>
        <v>Rampe de pulvérisation pour herbicides</v>
      </c>
      <c r="BN45" s="613">
        <f>'Données normes'!$D$124</f>
        <v>6</v>
      </c>
      <c r="BO45" s="37">
        <f>'Données normes'!$C$134</f>
        <v>1</v>
      </c>
      <c r="BP45" s="42">
        <f>'Données normes'!$D$134</f>
        <v>69</v>
      </c>
      <c r="BQ45" s="43">
        <f>BN45*BO45*BP45</f>
        <v>414</v>
      </c>
      <c r="BR45" s="733">
        <f t="shared" si="17"/>
        <v>1.2456007328026089E-2</v>
      </c>
      <c r="BS45" s="38"/>
      <c r="BT45" s="39" t="str">
        <f>'Données normes'!$B$134</f>
        <v>Rampe de pulvérisation pour herbicides</v>
      </c>
      <c r="BU45" s="613">
        <f>'Données normes'!$D$124</f>
        <v>6</v>
      </c>
      <c r="BV45" s="37">
        <f>'Données normes'!$C$134</f>
        <v>1</v>
      </c>
      <c r="BW45" s="42">
        <f>'Données normes'!$D$134</f>
        <v>69</v>
      </c>
      <c r="BX45" s="43">
        <f>BU45*BV45*BW45</f>
        <v>414</v>
      </c>
      <c r="BY45" s="733">
        <f t="shared" si="18"/>
        <v>1.2493901381984026E-2</v>
      </c>
      <c r="BZ45" s="38"/>
      <c r="CA45" s="39" t="str">
        <f>'Données normes'!$B$134</f>
        <v>Rampe de pulvérisation pour herbicides</v>
      </c>
      <c r="CB45" s="613">
        <f>'Données normes'!$D$124</f>
        <v>6</v>
      </c>
      <c r="CC45" s="37">
        <f>'Données normes'!$C$134</f>
        <v>1</v>
      </c>
      <c r="CD45" s="42">
        <f>'Données normes'!$D$134</f>
        <v>69</v>
      </c>
      <c r="CE45" s="43">
        <f>CB45*CC45*CD45</f>
        <v>414</v>
      </c>
      <c r="CF45" s="733">
        <f t="shared" si="19"/>
        <v>1.2532600355654143E-2</v>
      </c>
      <c r="CG45" s="38"/>
      <c r="CH45" s="39" t="str">
        <f>'Données normes'!$B$134</f>
        <v>Rampe de pulvérisation pour herbicides</v>
      </c>
      <c r="CI45" s="613">
        <f>'Données normes'!$D$124</f>
        <v>6</v>
      </c>
      <c r="CJ45" s="37">
        <f>'Données normes'!$C$134</f>
        <v>1</v>
      </c>
      <c r="CK45" s="42">
        <f>'Données normes'!$D$134</f>
        <v>69</v>
      </c>
      <c r="CL45" s="43">
        <f>CI45*CJ45*CK45</f>
        <v>414</v>
      </c>
      <c r="CM45" s="733">
        <f t="shared" si="20"/>
        <v>1.2572125742756592E-2</v>
      </c>
      <c r="CN45" s="38"/>
      <c r="CO45" s="39" t="str">
        <f>'Données normes'!$B$134</f>
        <v>Rampe de pulvérisation pour herbicides</v>
      </c>
      <c r="CP45" s="613">
        <f>'Données normes'!$D$124</f>
        <v>6</v>
      </c>
      <c r="CQ45" s="37">
        <f>'Données normes'!$C$134</f>
        <v>1</v>
      </c>
      <c r="CR45" s="42">
        <f>'Données normes'!$D$134</f>
        <v>69</v>
      </c>
      <c r="CS45" s="43">
        <f>CP45*CQ45*CR45</f>
        <v>414</v>
      </c>
      <c r="CT45" s="733">
        <f t="shared" si="21"/>
        <v>1.2603817143539817E-2</v>
      </c>
      <c r="CU45" s="38"/>
      <c r="CV45" s="39" t="str">
        <f>'Données normes'!$B$134</f>
        <v>Rampe de pulvérisation pour herbicides</v>
      </c>
      <c r="CW45" s="613">
        <f>'Données normes'!$D$124</f>
        <v>6</v>
      </c>
      <c r="CX45" s="37">
        <f>'Données normes'!$C$134</f>
        <v>1</v>
      </c>
      <c r="CY45" s="42">
        <f>'Données normes'!$D$134</f>
        <v>69</v>
      </c>
      <c r="CZ45" s="43">
        <f>CW45*CX45*CY45</f>
        <v>414</v>
      </c>
      <c r="DA45" s="733">
        <f t="shared" si="22"/>
        <v>1.0544238112928388E-2</v>
      </c>
    </row>
    <row r="46" spans="1:105" s="1" customFormat="1" ht="13" x14ac:dyDescent="0.3">
      <c r="A46" s="38"/>
      <c r="B46" s="39" t="str">
        <f>'Données normes'!$B$135</f>
        <v>Distributeur d'engrais à simple trémie, 2.5 m</v>
      </c>
      <c r="C46" s="613">
        <f>C20</f>
        <v>0</v>
      </c>
      <c r="D46" s="37">
        <f>'Données normes'!$C$135</f>
        <v>1</v>
      </c>
      <c r="E46" s="42">
        <f>'Données normes'!$D$135</f>
        <v>18</v>
      </c>
      <c r="F46" s="43">
        <f>C46*D46*E46</f>
        <v>0</v>
      </c>
      <c r="G46" s="733">
        <f>F46/$F$76</f>
        <v>0</v>
      </c>
      <c r="H46" s="38"/>
      <c r="I46" s="39" t="str">
        <f>'Données normes'!$B$135</f>
        <v>Distributeur d'engrais à simple trémie, 2.5 m</v>
      </c>
      <c r="J46" s="613">
        <f>J20</f>
        <v>1</v>
      </c>
      <c r="K46" s="37">
        <f>'Données normes'!$C$135</f>
        <v>1</v>
      </c>
      <c r="L46" s="42">
        <f>'Données normes'!$D$135</f>
        <v>18</v>
      </c>
      <c r="M46" s="43">
        <f>J46*K46*L46</f>
        <v>18</v>
      </c>
      <c r="N46" s="733">
        <f>M46/$M$76</f>
        <v>1.2944218369087743E-3</v>
      </c>
      <c r="O46" s="38"/>
      <c r="P46" s="39" t="str">
        <f>'Données normes'!$B$135</f>
        <v>Distributeur d'engrais à simple trémie, 2.5 m</v>
      </c>
      <c r="Q46" s="613">
        <f>Q20</f>
        <v>2</v>
      </c>
      <c r="R46" s="37">
        <f>'Données normes'!$C$135</f>
        <v>1</v>
      </c>
      <c r="S46" s="42">
        <f>'Données normes'!$D$135</f>
        <v>18</v>
      </c>
      <c r="T46" s="43">
        <f>Q46*R46*S46</f>
        <v>36</v>
      </c>
      <c r="U46" s="733">
        <f>T46/$T$76</f>
        <v>1.3721505277096168E-3</v>
      </c>
      <c r="V46" s="38"/>
      <c r="W46" s="39" t="str">
        <f>'Données normes'!$B$135</f>
        <v>Distributeur d'engrais à simple trémie, 2.5 m</v>
      </c>
      <c r="X46" s="613">
        <f>X20</f>
        <v>2</v>
      </c>
      <c r="Y46" s="37">
        <f>'Données normes'!$C$135</f>
        <v>1</v>
      </c>
      <c r="Z46" s="42">
        <f>'Données normes'!$D$135</f>
        <v>18</v>
      </c>
      <c r="AA46" s="43">
        <f>X46*Y46*Z46</f>
        <v>36</v>
      </c>
      <c r="AB46" s="733">
        <f>AA46/$AA$76</f>
        <v>1.2621043829793594E-3</v>
      </c>
      <c r="AC46" s="38"/>
      <c r="AD46" s="39" t="str">
        <f>'Données normes'!$B$135</f>
        <v>Distributeur d'engrais à simple trémie, 2.5 m</v>
      </c>
      <c r="AE46" s="613">
        <f>AE20</f>
        <v>2</v>
      </c>
      <c r="AF46" s="37">
        <f>'Données normes'!$C$135</f>
        <v>1</v>
      </c>
      <c r="AG46" s="42">
        <f>'Données normes'!$D$135</f>
        <v>18</v>
      </c>
      <c r="AH46" s="43">
        <f>AE46*AF46*AG46</f>
        <v>36</v>
      </c>
      <c r="AI46" s="733">
        <f>AH46/$AH$76</f>
        <v>1.1551161269376289E-3</v>
      </c>
      <c r="AJ46" s="38"/>
      <c r="AK46" s="39" t="str">
        <f>'Données normes'!$B$135</f>
        <v>Distributeur d'engrais à simple trémie, 2.5 m</v>
      </c>
      <c r="AL46" s="613">
        <f>AL20</f>
        <v>2</v>
      </c>
      <c r="AM46" s="37">
        <f>'Données normes'!$C$135</f>
        <v>1</v>
      </c>
      <c r="AN46" s="42">
        <f>'Données normes'!$D$135</f>
        <v>18</v>
      </c>
      <c r="AO46" s="43">
        <f>AL46*AM46*AN46</f>
        <v>36</v>
      </c>
      <c r="AP46" s="733">
        <f t="shared" si="13"/>
        <v>1.0678473329777647E-3</v>
      </c>
      <c r="AQ46" s="38"/>
      <c r="AR46" s="39" t="str">
        <f>'Données normes'!$B$135</f>
        <v>Distributeur d'engrais à simple trémie, 2.5 m</v>
      </c>
      <c r="AS46" s="613">
        <f>AS20</f>
        <v>2</v>
      </c>
      <c r="AT46" s="37">
        <f>'Données normes'!$C$135</f>
        <v>1</v>
      </c>
      <c r="AU46" s="42">
        <f>'Données normes'!$D$135</f>
        <v>18</v>
      </c>
      <c r="AV46" s="43">
        <f>AS46*AT46*AU46</f>
        <v>36</v>
      </c>
      <c r="AW46" s="733">
        <f t="shared" si="14"/>
        <v>1.0715433940616658E-3</v>
      </c>
      <c r="AX46" s="38"/>
      <c r="AY46" s="39" t="str">
        <f>'Données normes'!$B$135</f>
        <v>Distributeur d'engrais à simple trémie, 2.5 m</v>
      </c>
      <c r="AZ46" s="613">
        <f>AZ20</f>
        <v>2</v>
      </c>
      <c r="BA46" s="37">
        <f>'Données normes'!$C$135</f>
        <v>1</v>
      </c>
      <c r="BB46" s="42">
        <f>'Données normes'!$D$135</f>
        <v>18</v>
      </c>
      <c r="BC46" s="43">
        <f>AZ46*BA46*BB46</f>
        <v>36</v>
      </c>
      <c r="BD46" s="733">
        <f t="shared" si="15"/>
        <v>1.075321152670481E-3</v>
      </c>
      <c r="BE46" s="38"/>
      <c r="BF46" s="39" t="str">
        <f>'Données normes'!$B$135</f>
        <v>Distributeur d'engrais à simple trémie, 2.5 m</v>
      </c>
      <c r="BG46" s="613">
        <f>BG20</f>
        <v>2</v>
      </c>
      <c r="BH46" s="37">
        <f>'Données normes'!$C$135</f>
        <v>1</v>
      </c>
      <c r="BI46" s="42">
        <f>'Données normes'!$D$135</f>
        <v>18</v>
      </c>
      <c r="BJ46" s="43">
        <f>BG46*BH46*BI46</f>
        <v>36</v>
      </c>
      <c r="BK46" s="733">
        <f t="shared" si="16"/>
        <v>1.0791829150208012E-3</v>
      </c>
      <c r="BL46" s="38"/>
      <c r="BM46" s="39" t="str">
        <f>'Données normes'!$B$135</f>
        <v>Distributeur d'engrais à simple trémie, 2.5 m</v>
      </c>
      <c r="BN46" s="613">
        <f>BN20</f>
        <v>2</v>
      </c>
      <c r="BO46" s="37">
        <f>'Données normes'!$C$135</f>
        <v>1</v>
      </c>
      <c r="BP46" s="42">
        <f>'Données normes'!$D$135</f>
        <v>18</v>
      </c>
      <c r="BQ46" s="43">
        <f>BN46*BO46*BP46</f>
        <v>36</v>
      </c>
      <c r="BR46" s="733">
        <f t="shared" si="17"/>
        <v>1.0831310720022685E-3</v>
      </c>
      <c r="BS46" s="38"/>
      <c r="BT46" s="39" t="str">
        <f>'Données normes'!$B$135</f>
        <v>Distributeur d'engrais à simple trémie, 2.5 m</v>
      </c>
      <c r="BU46" s="613">
        <f>BU20</f>
        <v>2</v>
      </c>
      <c r="BV46" s="37">
        <f>'Données normes'!$C$135</f>
        <v>1</v>
      </c>
      <c r="BW46" s="42">
        <f>'Données normes'!$D$135</f>
        <v>18</v>
      </c>
      <c r="BX46" s="43">
        <f>BU46*BV46*BW46</f>
        <v>36</v>
      </c>
      <c r="BY46" s="733">
        <f t="shared" si="18"/>
        <v>1.0864262071290456E-3</v>
      </c>
      <c r="BZ46" s="38"/>
      <c r="CA46" s="39" t="str">
        <f>'Données normes'!$B$135</f>
        <v>Distributeur d'engrais à simple trémie, 2.5 m</v>
      </c>
      <c r="CB46" s="613">
        <f>CB20</f>
        <v>2</v>
      </c>
      <c r="CC46" s="37">
        <f>'Données normes'!$C$135</f>
        <v>1</v>
      </c>
      <c r="CD46" s="42">
        <f>'Données normes'!$D$135</f>
        <v>18</v>
      </c>
      <c r="CE46" s="43">
        <f>CB46*CC46*CD46</f>
        <v>36</v>
      </c>
      <c r="CF46" s="733">
        <f t="shared" si="19"/>
        <v>1.0897913352742733E-3</v>
      </c>
      <c r="CG46" s="38"/>
      <c r="CH46" s="39" t="str">
        <f>'Données normes'!$B$135</f>
        <v>Distributeur d'engrais à simple trémie, 2.5 m</v>
      </c>
      <c r="CI46" s="613">
        <f>CI20</f>
        <v>2</v>
      </c>
      <c r="CJ46" s="37">
        <f>'Données normes'!$C$135</f>
        <v>1</v>
      </c>
      <c r="CK46" s="42">
        <f>'Données normes'!$D$135</f>
        <v>18</v>
      </c>
      <c r="CL46" s="43">
        <f>CI46*CJ46*CK46</f>
        <v>36</v>
      </c>
      <c r="CM46" s="733">
        <f t="shared" si="20"/>
        <v>1.093228325457095E-3</v>
      </c>
      <c r="CN46" s="38"/>
      <c r="CO46" s="39" t="str">
        <f>'Données normes'!$B$135</f>
        <v>Distributeur d'engrais à simple trémie, 2.5 m</v>
      </c>
      <c r="CP46" s="613">
        <f>CP20</f>
        <v>2</v>
      </c>
      <c r="CQ46" s="37">
        <f>'Données normes'!$C$135</f>
        <v>1</v>
      </c>
      <c r="CR46" s="42">
        <f>'Données normes'!$D$135</f>
        <v>18</v>
      </c>
      <c r="CS46" s="43">
        <f>CP46*CQ46*CR46</f>
        <v>36</v>
      </c>
      <c r="CT46" s="733">
        <f t="shared" si="21"/>
        <v>1.0959840994382451E-3</v>
      </c>
      <c r="CU46" s="38"/>
      <c r="CV46" s="39" t="str">
        <f>'Données normes'!$B$135</f>
        <v>Distributeur d'engrais à simple trémie, 2.5 m</v>
      </c>
      <c r="CW46" s="613">
        <f>CW20</f>
        <v>2</v>
      </c>
      <c r="CX46" s="37">
        <f>'Données normes'!$C$135</f>
        <v>1</v>
      </c>
      <c r="CY46" s="42">
        <f>'Données normes'!$D$135</f>
        <v>18</v>
      </c>
      <c r="CZ46" s="43">
        <f>CW46*CX46*CY46</f>
        <v>36</v>
      </c>
      <c r="DA46" s="733">
        <f t="shared" si="22"/>
        <v>9.1689027068942504E-4</v>
      </c>
    </row>
    <row r="47" spans="1:105" s="66" customFormat="1" ht="12.5" x14ac:dyDescent="0.25">
      <c r="A47" s="144"/>
      <c r="B47" s="39" t="str">
        <f>'Données normes'!$B$136</f>
        <v>Char d'arboriculture</v>
      </c>
      <c r="C47" s="1053">
        <f>'Données normes'!$C$136</f>
        <v>960</v>
      </c>
      <c r="D47" s="18"/>
      <c r="E47" s="1055">
        <f>'Données normes'!$D$136</f>
        <v>11.2</v>
      </c>
      <c r="F47" s="43">
        <f>D48*E47</f>
        <v>0</v>
      </c>
      <c r="G47" s="733">
        <f>F47/F76</f>
        <v>0</v>
      </c>
      <c r="H47" s="144"/>
      <c r="I47" s="39" t="str">
        <f>'Données normes'!$B$136</f>
        <v>Char d'arboriculture</v>
      </c>
      <c r="J47" s="1053">
        <f>'Données normes'!$C$136</f>
        <v>960</v>
      </c>
      <c r="K47" s="18"/>
      <c r="L47" s="1055">
        <f>'Données normes'!$D$136</f>
        <v>11.2</v>
      </c>
      <c r="M47" s="43">
        <f>K48*L47</f>
        <v>55.416666666666664</v>
      </c>
      <c r="N47" s="733">
        <f>M47/M76</f>
        <v>3.9851413034459951E-3</v>
      </c>
      <c r="O47" s="144"/>
      <c r="P47" s="39" t="str">
        <f>'Données normes'!$B$136</f>
        <v>Char d'arboriculture</v>
      </c>
      <c r="Q47" s="1053">
        <f>'Données normes'!$C$136</f>
        <v>960</v>
      </c>
      <c r="R47" s="18"/>
      <c r="S47" s="1055">
        <f>'Données normes'!$D$136</f>
        <v>11.2</v>
      </c>
      <c r="T47" s="43">
        <f>R48*S47</f>
        <v>199.5</v>
      </c>
      <c r="U47" s="733">
        <f>T47/T76</f>
        <v>7.6040008410574594E-3</v>
      </c>
      <c r="V47" s="144"/>
      <c r="W47" s="39" t="str">
        <f>'Données normes'!$B$136</f>
        <v>Char d'arboriculture</v>
      </c>
      <c r="X47" s="1053">
        <f>'Données normes'!$C$136</f>
        <v>960</v>
      </c>
      <c r="Y47" s="18"/>
      <c r="Z47" s="1055">
        <f>'Données normes'!$D$136</f>
        <v>11.2</v>
      </c>
      <c r="AA47" s="43">
        <f>Y48*Z47</f>
        <v>277.08333333333331</v>
      </c>
      <c r="AB47" s="733">
        <f>AA47/AA76</f>
        <v>9.7141135958480791E-3</v>
      </c>
      <c r="AC47" s="144"/>
      <c r="AD47" s="39" t="str">
        <f>'Données normes'!$B$136</f>
        <v>Char d'arboriculture</v>
      </c>
      <c r="AE47" s="1053">
        <f>'Données normes'!$C$136</f>
        <v>960</v>
      </c>
      <c r="AF47" s="18"/>
      <c r="AG47" s="1055">
        <f>'Données normes'!$D$136</f>
        <v>11.2</v>
      </c>
      <c r="AH47" s="43">
        <f>AF48*AG47</f>
        <v>387.91666666666663</v>
      </c>
      <c r="AI47" s="733">
        <f>AH47/AH76</f>
        <v>1.2446911043737643E-2</v>
      </c>
      <c r="AJ47" s="144"/>
      <c r="AK47" s="39" t="str">
        <f>'Données normes'!$B$136</f>
        <v>Char d'arboriculture</v>
      </c>
      <c r="AL47" s="1053">
        <f>'Données normes'!$C$136</f>
        <v>960</v>
      </c>
      <c r="AM47" s="18"/>
      <c r="AN47" s="1055">
        <f>'Données normes'!$D$136</f>
        <v>11.2</v>
      </c>
      <c r="AO47" s="43">
        <f>AM48*AN47</f>
        <v>498.74999999999994</v>
      </c>
      <c r="AP47" s="733">
        <f>AO47/AO76</f>
        <v>1.4794134925629447E-2</v>
      </c>
      <c r="AQ47" s="144"/>
      <c r="AR47" s="39" t="str">
        <f>'Données normes'!$B$136</f>
        <v>Char d'arboriculture</v>
      </c>
      <c r="AS47" s="1053">
        <f>'Données normes'!$C$136</f>
        <v>960</v>
      </c>
      <c r="AT47" s="18"/>
      <c r="AU47" s="1055">
        <f>'Données normes'!$D$136</f>
        <v>11.2</v>
      </c>
      <c r="AV47" s="43">
        <f>AT48*AU47</f>
        <v>498.74999999999994</v>
      </c>
      <c r="AW47" s="733">
        <f>AV47/AV76</f>
        <v>1.4845340771895994E-2</v>
      </c>
      <c r="AX47" s="144"/>
      <c r="AY47" s="39" t="str">
        <f>'Données normes'!$B$136</f>
        <v>Char d'arboriculture</v>
      </c>
      <c r="AZ47" s="1053">
        <f>'Données normes'!$C$136</f>
        <v>960</v>
      </c>
      <c r="BA47" s="18"/>
      <c r="BB47" s="1055">
        <f>'Données normes'!$D$136</f>
        <v>11.2</v>
      </c>
      <c r="BC47" s="43">
        <f>BA48*BB47</f>
        <v>498.74999999999994</v>
      </c>
      <c r="BD47" s="733">
        <f>BC47/BC76</f>
        <v>1.4897678469288952E-2</v>
      </c>
      <c r="BE47" s="144"/>
      <c r="BF47" s="39" t="str">
        <f>'Données normes'!$B$136</f>
        <v>Char d'arboriculture</v>
      </c>
      <c r="BG47" s="1053">
        <f>'Données normes'!$C$136</f>
        <v>960</v>
      </c>
      <c r="BH47" s="18"/>
      <c r="BI47" s="1055">
        <f>'Données normes'!$D$136</f>
        <v>11.2</v>
      </c>
      <c r="BJ47" s="43">
        <f>BH48*BI47</f>
        <v>498.74999999999994</v>
      </c>
      <c r="BK47" s="733">
        <f>BJ47/BJ76</f>
        <v>1.495117996851735E-2</v>
      </c>
      <c r="BL47" s="144"/>
      <c r="BM47" s="39" t="str">
        <f>'Données normes'!$B$136</f>
        <v>Char d'arboriculture</v>
      </c>
      <c r="BN47" s="1053">
        <f>'Données normes'!$C$136</f>
        <v>960</v>
      </c>
      <c r="BO47" s="18"/>
      <c r="BP47" s="1055">
        <f>'Données normes'!$D$136</f>
        <v>11.2</v>
      </c>
      <c r="BQ47" s="43">
        <f>BO48*BP47</f>
        <v>498.74999999999994</v>
      </c>
      <c r="BR47" s="733">
        <f>BQ47/BQ76</f>
        <v>1.5005878393364761E-2</v>
      </c>
      <c r="BS47" s="144"/>
      <c r="BT47" s="39" t="str">
        <f>'Données normes'!$B$136</f>
        <v>Char d'arboriculture</v>
      </c>
      <c r="BU47" s="1053">
        <f>'Données normes'!$C$136</f>
        <v>960</v>
      </c>
      <c r="BV47" s="18"/>
      <c r="BW47" s="1055">
        <f>'Données normes'!$D$136</f>
        <v>11.2</v>
      </c>
      <c r="BX47" s="43">
        <f>BV48*BW47</f>
        <v>498.74999999999994</v>
      </c>
      <c r="BY47" s="733">
        <f>BX47/BX76</f>
        <v>1.5051529744600318E-2</v>
      </c>
      <c r="BZ47" s="144"/>
      <c r="CA47" s="39" t="str">
        <f>'Données normes'!$B$136</f>
        <v>Char d'arboriculture</v>
      </c>
      <c r="CB47" s="1053">
        <f>'Données normes'!$C$136</f>
        <v>960</v>
      </c>
      <c r="CC47" s="18"/>
      <c r="CD47" s="1055">
        <f>'Données normes'!$D$136</f>
        <v>11.2</v>
      </c>
      <c r="CE47" s="43">
        <f>CC48*CD47</f>
        <v>498.74999999999994</v>
      </c>
      <c r="CF47" s="733">
        <f>CE47/CE76</f>
        <v>1.5098150790778992E-2</v>
      </c>
      <c r="CG47" s="144"/>
      <c r="CH47" s="39" t="str">
        <f>'Données normes'!$B$136</f>
        <v>Char d'arboriculture</v>
      </c>
      <c r="CI47" s="1053">
        <f>'Données normes'!$C$136</f>
        <v>960</v>
      </c>
      <c r="CJ47" s="18"/>
      <c r="CK47" s="1055">
        <f>'Données normes'!$D$136</f>
        <v>11.2</v>
      </c>
      <c r="CL47" s="43">
        <f>CJ48*CK47</f>
        <v>498.74999999999994</v>
      </c>
      <c r="CM47" s="733">
        <f>CL47/CL76</f>
        <v>1.5145767425603501E-2</v>
      </c>
      <c r="CN47" s="144"/>
      <c r="CO47" s="39" t="str">
        <f>'Données normes'!$B$136</f>
        <v>Char d'arboriculture</v>
      </c>
      <c r="CP47" s="1053">
        <f>'Données normes'!$C$136</f>
        <v>960</v>
      </c>
      <c r="CQ47" s="18"/>
      <c r="CR47" s="1055">
        <f>'Données normes'!$D$136</f>
        <v>11.2</v>
      </c>
      <c r="CS47" s="43">
        <f>CQ48*CR47</f>
        <v>498.74999999999994</v>
      </c>
      <c r="CT47" s="733">
        <f>CS47/CS76</f>
        <v>1.5183946377634018E-2</v>
      </c>
      <c r="CU47" s="144"/>
      <c r="CV47" s="39" t="str">
        <f>'Données normes'!$B$136</f>
        <v>Char d'arboriculture</v>
      </c>
      <c r="CW47" s="1053">
        <f>'Données normes'!$C$136</f>
        <v>960</v>
      </c>
      <c r="CX47" s="18"/>
      <c r="CY47" s="1055">
        <f>'Données normes'!$D$136</f>
        <v>11.2</v>
      </c>
      <c r="CZ47" s="43">
        <f>CX48*CY47</f>
        <v>498.74999999999994</v>
      </c>
      <c r="DA47" s="733">
        <f>CZ47/CZ76</f>
        <v>1.2702750625176408E-2</v>
      </c>
    </row>
    <row r="48" spans="1:105" s="66" customFormat="1" ht="13" x14ac:dyDescent="0.3">
      <c r="A48" s="144"/>
      <c r="B48" s="293" t="s">
        <v>384</v>
      </c>
      <c r="C48" s="1046">
        <f>'Données normes'!$E$136</f>
        <v>4</v>
      </c>
      <c r="D48" s="1054">
        <f>((D9+D10)+('Données normes'!$D$86*D12))/C47</f>
        <v>0</v>
      </c>
      <c r="E48" s="1056">
        <f>C47/C67/C48</f>
        <v>2.1818181818181817</v>
      </c>
      <c r="F48" s="43"/>
      <c r="G48" s="733"/>
      <c r="H48" s="144"/>
      <c r="I48" s="293" t="s">
        <v>384</v>
      </c>
      <c r="J48" s="1046">
        <f>'Données normes'!$E$136</f>
        <v>4</v>
      </c>
      <c r="K48" s="1057">
        <f>((K9+K10)+('Données normes'!$D$86*K12))/J47</f>
        <v>4.947916666666667</v>
      </c>
      <c r="L48" s="1056">
        <f>J47/J67/J48</f>
        <v>2.1818181818181817</v>
      </c>
      <c r="M48" s="43"/>
      <c r="N48" s="733"/>
      <c r="O48" s="144"/>
      <c r="P48" s="293" t="s">
        <v>384</v>
      </c>
      <c r="Q48" s="1046">
        <f>'Données normes'!$E$136</f>
        <v>4</v>
      </c>
      <c r="R48" s="1057">
        <f>((R9+R10)+('Données normes'!$D$86*R12))/Q47</f>
        <v>17.8125</v>
      </c>
      <c r="S48" s="1056">
        <f>Q47/Q67/Q48</f>
        <v>2.1818181818181817</v>
      </c>
      <c r="T48" s="43"/>
      <c r="U48" s="733"/>
      <c r="V48" s="144"/>
      <c r="W48" s="293" t="s">
        <v>384</v>
      </c>
      <c r="X48" s="1046">
        <f>'Données normes'!$E$136</f>
        <v>4</v>
      </c>
      <c r="Y48" s="1057">
        <f>((Y9+Y10)+('Données normes'!$D$86*Y12))/X47</f>
        <v>24.739583333333332</v>
      </c>
      <c r="Z48" s="1056">
        <f>X47/X67/X48</f>
        <v>2.1818181818181817</v>
      </c>
      <c r="AA48" s="43"/>
      <c r="AB48" s="733"/>
      <c r="AC48" s="144"/>
      <c r="AD48" s="293" t="s">
        <v>384</v>
      </c>
      <c r="AE48" s="1046">
        <f>'Données normes'!$E$136</f>
        <v>4</v>
      </c>
      <c r="AF48" s="1057">
        <f>((AF9+AF10)+('Données normes'!$D$86*AF12))/AE47</f>
        <v>34.635416666666664</v>
      </c>
      <c r="AG48" s="1056">
        <f>AE47/AE67/AE48</f>
        <v>2.1818181818181817</v>
      </c>
      <c r="AH48" s="43"/>
      <c r="AI48" s="733"/>
      <c r="AJ48" s="144"/>
      <c r="AK48" s="293" t="s">
        <v>384</v>
      </c>
      <c r="AL48" s="1046">
        <f>'Données normes'!$E$136</f>
        <v>4</v>
      </c>
      <c r="AM48" s="1057">
        <f>((AM9+AM10)+('Données normes'!$D$86*AM12))/AL47</f>
        <v>44.53125</v>
      </c>
      <c r="AN48" s="1056">
        <f>AL47/AL67/AL48</f>
        <v>2.1818181818181817</v>
      </c>
      <c r="AO48" s="43"/>
      <c r="AP48" s="733"/>
      <c r="AQ48" s="144"/>
      <c r="AR48" s="293" t="s">
        <v>384</v>
      </c>
      <c r="AS48" s="1046">
        <f>'Données normes'!$E$136</f>
        <v>4</v>
      </c>
      <c r="AT48" s="1057">
        <f>((AT9+AT10)+('Données normes'!$D$86*AT12))/AS47</f>
        <v>44.53125</v>
      </c>
      <c r="AU48" s="1056">
        <f>AS47/AS67/AS48</f>
        <v>2.1818181818181817</v>
      </c>
      <c r="AV48" s="43"/>
      <c r="AW48" s="733"/>
      <c r="AX48" s="144"/>
      <c r="AY48" s="293" t="s">
        <v>384</v>
      </c>
      <c r="AZ48" s="1046">
        <f>'Données normes'!$E$136</f>
        <v>4</v>
      </c>
      <c r="BA48" s="1057">
        <f>((BA9+BA10)+('Données normes'!$D$86*BA12))/AZ47</f>
        <v>44.53125</v>
      </c>
      <c r="BB48" s="1056">
        <f>AZ47/AZ67/AZ48</f>
        <v>2.1818181818181817</v>
      </c>
      <c r="BC48" s="43"/>
      <c r="BD48" s="733"/>
      <c r="BE48" s="144"/>
      <c r="BF48" s="293" t="s">
        <v>384</v>
      </c>
      <c r="BG48" s="1046">
        <f>'Données normes'!$E$136</f>
        <v>4</v>
      </c>
      <c r="BH48" s="1057">
        <f>((BH9+BH10)+('Données normes'!$D$86*BH12))/BG47</f>
        <v>44.53125</v>
      </c>
      <c r="BI48" s="1056">
        <f>BG47/BG67/BG48</f>
        <v>2.1818181818181817</v>
      </c>
      <c r="BJ48" s="43"/>
      <c r="BK48" s="733"/>
      <c r="BL48" s="144"/>
      <c r="BM48" s="293" t="s">
        <v>384</v>
      </c>
      <c r="BN48" s="1046">
        <f>'Données normes'!$E$136</f>
        <v>4</v>
      </c>
      <c r="BO48" s="1057">
        <f>((BO9+BO10)+('Données normes'!$D$86*BO12))/BN47</f>
        <v>44.53125</v>
      </c>
      <c r="BP48" s="1056">
        <f>BN47/BN67/BN48</f>
        <v>2.1818181818181817</v>
      </c>
      <c r="BQ48" s="43"/>
      <c r="BR48" s="733"/>
      <c r="BS48" s="144"/>
      <c r="BT48" s="293" t="s">
        <v>384</v>
      </c>
      <c r="BU48" s="1046">
        <f>'Données normes'!$E$136</f>
        <v>4</v>
      </c>
      <c r="BV48" s="1057">
        <f>((BV9+BV10)+('Données normes'!$D$86*BV12))/BU47</f>
        <v>44.53125</v>
      </c>
      <c r="BW48" s="1056">
        <f>BU47/BU67/BU48</f>
        <v>2.1818181818181817</v>
      </c>
      <c r="BX48" s="43"/>
      <c r="BY48" s="733"/>
      <c r="BZ48" s="144"/>
      <c r="CA48" s="293" t="s">
        <v>384</v>
      </c>
      <c r="CB48" s="1046">
        <f>'Données normes'!$E$136</f>
        <v>4</v>
      </c>
      <c r="CC48" s="1057">
        <f>((CC9+CC10)+('Données normes'!$D$86*CC12))/CB47</f>
        <v>44.53125</v>
      </c>
      <c r="CD48" s="1056">
        <f>CB47/CB67/CB48</f>
        <v>2.1818181818181817</v>
      </c>
      <c r="CE48" s="43"/>
      <c r="CF48" s="733"/>
      <c r="CG48" s="144"/>
      <c r="CH48" s="293" t="s">
        <v>384</v>
      </c>
      <c r="CI48" s="1046">
        <f>'Données normes'!$E$136</f>
        <v>4</v>
      </c>
      <c r="CJ48" s="1057">
        <f>((CJ9+CJ10)+('Données normes'!$D$86*CJ12))/CI47</f>
        <v>44.53125</v>
      </c>
      <c r="CK48" s="1056">
        <f>CI47/CI67/CI48</f>
        <v>2.1818181818181817</v>
      </c>
      <c r="CL48" s="43"/>
      <c r="CM48" s="733"/>
      <c r="CN48" s="144"/>
      <c r="CO48" s="293" t="s">
        <v>384</v>
      </c>
      <c r="CP48" s="1046">
        <f>'Données normes'!$E$136</f>
        <v>4</v>
      </c>
      <c r="CQ48" s="1057">
        <f>((CQ9+CQ10)+('Données normes'!$D$86*CQ12))/CP47</f>
        <v>44.53125</v>
      </c>
      <c r="CR48" s="1056">
        <f>CP47/CP67/CP48</f>
        <v>2.1818181818181817</v>
      </c>
      <c r="CS48" s="43"/>
      <c r="CT48" s="733"/>
      <c r="CU48" s="144"/>
      <c r="CV48" s="293" t="s">
        <v>384</v>
      </c>
      <c r="CW48" s="1046">
        <f>'Données normes'!$E$136</f>
        <v>4</v>
      </c>
      <c r="CX48" s="1057">
        <f>((CX9+CX10)+('Données normes'!$D$86*CX12))/CW47</f>
        <v>44.53125</v>
      </c>
      <c r="CY48" s="1056">
        <f>CW47/CW67/CW48</f>
        <v>2.1818181818181817</v>
      </c>
      <c r="CZ48" s="43"/>
      <c r="DA48" s="733"/>
    </row>
    <row r="49" spans="1:105" s="1" customFormat="1" ht="13" x14ac:dyDescent="0.3">
      <c r="A49" s="38"/>
      <c r="B49" s="293" t="s">
        <v>385</v>
      </c>
      <c r="C49" s="1046">
        <f>'Données normes'!$E$136</f>
        <v>4</v>
      </c>
      <c r="D49" s="1054">
        <f>'Données normes'!$E$86*D12/C47</f>
        <v>0</v>
      </c>
      <c r="E49" s="1056">
        <f>C47/C68/C49</f>
        <v>0.8</v>
      </c>
      <c r="F49" s="43">
        <f>D49*E47</f>
        <v>0</v>
      </c>
      <c r="G49" s="733">
        <f>F49/F76</f>
        <v>0</v>
      </c>
      <c r="H49" s="38"/>
      <c r="I49" s="293" t="s">
        <v>385</v>
      </c>
      <c r="J49" s="1046">
        <f>'Données normes'!$E$136</f>
        <v>4</v>
      </c>
      <c r="K49" s="1054">
        <f>'Données normes'!$E$86*K12/J47</f>
        <v>0.26041666666666663</v>
      </c>
      <c r="L49" s="1056">
        <f>J47/J68/J49</f>
        <v>0.8</v>
      </c>
      <c r="M49" s="43">
        <f>K49*L47</f>
        <v>2.9166666666666661</v>
      </c>
      <c r="N49" s="733">
        <f>M49/M76</f>
        <v>2.0974427912873655E-4</v>
      </c>
      <c r="O49" s="38"/>
      <c r="P49" s="293" t="s">
        <v>385</v>
      </c>
      <c r="Q49" s="1046">
        <f>'Données normes'!$E$136</f>
        <v>4</v>
      </c>
      <c r="R49" s="1054">
        <f>'Données normes'!$E$86*R12/Q47</f>
        <v>0.93749999999999989</v>
      </c>
      <c r="S49" s="1056">
        <f>Q47/Q68/Q49</f>
        <v>0.8</v>
      </c>
      <c r="T49" s="43">
        <f>R49*S47</f>
        <v>10.499999999999998</v>
      </c>
      <c r="U49" s="733">
        <f>T49/T76</f>
        <v>4.002105705819715E-4</v>
      </c>
      <c r="V49" s="38"/>
      <c r="W49" s="293" t="s">
        <v>385</v>
      </c>
      <c r="X49" s="1046">
        <f>'Données normes'!$E$136</f>
        <v>4</v>
      </c>
      <c r="Y49" s="1054">
        <f>'Données normes'!$E$86*Y12/X47</f>
        <v>1.3020833333333333</v>
      </c>
      <c r="Z49" s="1056">
        <f>X47/X68/X49</f>
        <v>0.8</v>
      </c>
      <c r="AA49" s="43">
        <f>Y49*Z47</f>
        <v>14.583333333333332</v>
      </c>
      <c r="AB49" s="733">
        <f>AA49/AA76</f>
        <v>5.1126913662358307E-4</v>
      </c>
      <c r="AC49" s="38"/>
      <c r="AD49" s="293" t="s">
        <v>385</v>
      </c>
      <c r="AE49" s="1046">
        <f>'Données normes'!$E$136</f>
        <v>4</v>
      </c>
      <c r="AF49" s="1057">
        <f>'Données normes'!$E$86*AF12/AE47</f>
        <v>1.8229166666666665</v>
      </c>
      <c r="AG49" s="1056">
        <f>AE47/AE68/AE49</f>
        <v>0.8</v>
      </c>
      <c r="AH49" s="43">
        <f>AF49*AG47</f>
        <v>20.416666666666664</v>
      </c>
      <c r="AI49" s="733">
        <f>AH49/AH76</f>
        <v>6.5510058124934969E-4</v>
      </c>
      <c r="AJ49" s="38"/>
      <c r="AK49" s="293" t="s">
        <v>385</v>
      </c>
      <c r="AL49" s="1046">
        <f>'Données normes'!$E$136</f>
        <v>4</v>
      </c>
      <c r="AM49" s="1057">
        <f>'Données normes'!$E$86*AM12/AL47</f>
        <v>2.34375</v>
      </c>
      <c r="AN49" s="1056">
        <f>AL47/AL68/AL49</f>
        <v>0.8</v>
      </c>
      <c r="AO49" s="43">
        <f>AM49*AN47</f>
        <v>26.25</v>
      </c>
      <c r="AP49" s="733">
        <f>AO49/AO76</f>
        <v>7.7863868029628676E-4</v>
      </c>
      <c r="AQ49" s="38"/>
      <c r="AR49" s="293" t="s">
        <v>385</v>
      </c>
      <c r="AS49" s="1046">
        <f>'Données normes'!$E$136</f>
        <v>4</v>
      </c>
      <c r="AT49" s="1057">
        <f>'Données normes'!$E$86*AT12/AS47</f>
        <v>2.34375</v>
      </c>
      <c r="AU49" s="1056">
        <f>AS47/AS68/AS49</f>
        <v>0.8</v>
      </c>
      <c r="AV49" s="43">
        <f>AT49*AU47</f>
        <v>26.25</v>
      </c>
      <c r="AW49" s="733">
        <f>AV49/AV76</f>
        <v>7.813337248366313E-4</v>
      </c>
      <c r="AX49" s="38"/>
      <c r="AY49" s="293" t="s">
        <v>385</v>
      </c>
      <c r="AZ49" s="1046">
        <f>'Données normes'!$E$136</f>
        <v>4</v>
      </c>
      <c r="BA49" s="1057">
        <f>'Données normes'!$E$86*BA12/AZ47</f>
        <v>2.34375</v>
      </c>
      <c r="BB49" s="1056">
        <f>AZ47/AZ68/AZ49</f>
        <v>0.8</v>
      </c>
      <c r="BC49" s="43">
        <f>BA49*BB47</f>
        <v>26.25</v>
      </c>
      <c r="BD49" s="733">
        <f>BC49/BC76</f>
        <v>7.8408834048889235E-4</v>
      </c>
      <c r="BE49" s="38"/>
      <c r="BF49" s="293" t="s">
        <v>385</v>
      </c>
      <c r="BG49" s="1046">
        <f>'Données normes'!$E$136</f>
        <v>4</v>
      </c>
      <c r="BH49" s="1057">
        <f>'Données normes'!$E$86*BH12/BG47</f>
        <v>2.34375</v>
      </c>
      <c r="BI49" s="1056">
        <f>BG47/BG68/BG49</f>
        <v>0.8</v>
      </c>
      <c r="BJ49" s="43">
        <f>BH49*BI47</f>
        <v>26.25</v>
      </c>
      <c r="BK49" s="733">
        <f>BJ49/BJ76</f>
        <v>7.8690420886933432E-4</v>
      </c>
      <c r="BL49" s="38"/>
      <c r="BM49" s="293" t="s">
        <v>385</v>
      </c>
      <c r="BN49" s="1046">
        <f>'Données normes'!$E$136</f>
        <v>4</v>
      </c>
      <c r="BO49" s="1057">
        <f>'Données normes'!$E$86*BO12/BN47</f>
        <v>2.34375</v>
      </c>
      <c r="BP49" s="1056">
        <f>BN47/BN68/BN49</f>
        <v>0.8</v>
      </c>
      <c r="BQ49" s="43">
        <f>BO49*BP47</f>
        <v>26.25</v>
      </c>
      <c r="BR49" s="733">
        <f>BQ49/BQ76</f>
        <v>7.8978307333498745E-4</v>
      </c>
      <c r="BS49" s="38"/>
      <c r="BT49" s="293" t="s">
        <v>385</v>
      </c>
      <c r="BU49" s="1046">
        <f>'Données normes'!$E$136</f>
        <v>4</v>
      </c>
      <c r="BV49" s="1057">
        <f>'Données normes'!$E$86*BV12/BU47</f>
        <v>2.34375</v>
      </c>
      <c r="BW49" s="1056">
        <f>BU47/BU68/BU49</f>
        <v>0.8</v>
      </c>
      <c r="BX49" s="43">
        <f>BV49*BW47</f>
        <v>26.25</v>
      </c>
      <c r="BY49" s="733">
        <f>BX49/BX76</f>
        <v>7.921857760315958E-4</v>
      </c>
      <c r="BZ49" s="38"/>
      <c r="CA49" s="293" t="s">
        <v>385</v>
      </c>
      <c r="CB49" s="1046">
        <f>'Données normes'!$E$136</f>
        <v>4</v>
      </c>
      <c r="CC49" s="1057">
        <f>'Données normes'!$E$86*CC12/CB47</f>
        <v>2.34375</v>
      </c>
      <c r="CD49" s="1056">
        <f>CB47/CB68/CB49</f>
        <v>0.8</v>
      </c>
      <c r="CE49" s="43">
        <f>CC49*CD47</f>
        <v>26.25</v>
      </c>
      <c r="CF49" s="733">
        <f>CE49/CE76</f>
        <v>7.9463951530415761E-4</v>
      </c>
      <c r="CG49" s="38"/>
      <c r="CH49" s="293" t="s">
        <v>385</v>
      </c>
      <c r="CI49" s="1046">
        <f>'Données normes'!$E$136</f>
        <v>4</v>
      </c>
      <c r="CJ49" s="1057">
        <f>'Données normes'!$E$86*CJ12/CI47</f>
        <v>2.34375</v>
      </c>
      <c r="CK49" s="1056">
        <f>CI47/CI68/CI49</f>
        <v>0.8</v>
      </c>
      <c r="CL49" s="43">
        <f>CJ49*CK47</f>
        <v>26.25</v>
      </c>
      <c r="CM49" s="733">
        <f>CL49/CL76</f>
        <v>7.9714565397913178E-4</v>
      </c>
      <c r="CN49" s="38"/>
      <c r="CO49" s="293" t="s">
        <v>385</v>
      </c>
      <c r="CP49" s="1046">
        <f>'Données normes'!$E$136</f>
        <v>4</v>
      </c>
      <c r="CQ49" s="1057">
        <f>'Données normes'!$E$86*CQ12/CP47</f>
        <v>2.34375</v>
      </c>
      <c r="CR49" s="1056">
        <f>CP47/CP68/CP49</f>
        <v>0.8</v>
      </c>
      <c r="CS49" s="43">
        <f>CQ49*CR47</f>
        <v>26.25</v>
      </c>
      <c r="CT49" s="733">
        <f>CS49/CS76</f>
        <v>7.991550725070536E-4</v>
      </c>
      <c r="CU49" s="38"/>
      <c r="CV49" s="293" t="s">
        <v>385</v>
      </c>
      <c r="CW49" s="1046">
        <f>'Données normes'!$E$136</f>
        <v>4</v>
      </c>
      <c r="CX49" s="1057">
        <f>'Données normes'!$E$86*CX12/CW47</f>
        <v>2.34375</v>
      </c>
      <c r="CY49" s="1056">
        <f>CW47/CW68/CW49</f>
        <v>0.8</v>
      </c>
      <c r="CZ49" s="43">
        <f>CX49*CY47</f>
        <v>26.25</v>
      </c>
      <c r="DA49" s="733">
        <f>CZ49/CZ76</f>
        <v>6.6856582237770574E-4</v>
      </c>
    </row>
    <row r="50" spans="1:105" s="1099" customFormat="1" ht="25.5" x14ac:dyDescent="0.3">
      <c r="A50" s="1051"/>
      <c r="B50" s="1093" t="str">
        <f>'Données normes'!$B$137</f>
        <v>Faucheuse à mulching, avec bras pivotant des deux côtés</v>
      </c>
      <c r="C50" s="1094">
        <f>'Données normes'!$E$137</f>
        <v>7</v>
      </c>
      <c r="D50" s="1095">
        <f>'Données normes'!$C$137</f>
        <v>1</v>
      </c>
      <c r="E50" s="1096">
        <f>'Données normes'!$D$137</f>
        <v>62.2</v>
      </c>
      <c r="F50" s="1097">
        <f>C50*D50*E50</f>
        <v>435.40000000000003</v>
      </c>
      <c r="G50" s="1098">
        <f t="shared" ref="G50:G57" si="23">F50/$F$76</f>
        <v>3.7146082522118436E-2</v>
      </c>
      <c r="H50" s="1051"/>
      <c r="I50" s="1093" t="str">
        <f>'Données normes'!$B$137</f>
        <v>Faucheuse à mulching, avec bras pivotant des deux côtés</v>
      </c>
      <c r="J50" s="1094">
        <f>'Données normes'!$E$137</f>
        <v>7</v>
      </c>
      <c r="K50" s="1095">
        <f>'Données normes'!$C$137</f>
        <v>1</v>
      </c>
      <c r="L50" s="1096">
        <f>'Données normes'!$D$137</f>
        <v>62.2</v>
      </c>
      <c r="M50" s="1097">
        <f>J50*K50*L50</f>
        <v>435.40000000000003</v>
      </c>
      <c r="N50" s="1098">
        <f t="shared" ref="N50:N57" si="24">M50/$M$76</f>
        <v>3.1310625988337802E-2</v>
      </c>
      <c r="O50" s="1051"/>
      <c r="P50" s="1093" t="str">
        <f>'Données normes'!$B$137</f>
        <v>Faucheuse à mulching, avec bras pivotant des deux côtés</v>
      </c>
      <c r="Q50" s="1094">
        <f>'Données normes'!$E$137</f>
        <v>7</v>
      </c>
      <c r="R50" s="1095">
        <f>'Données normes'!$C$137</f>
        <v>1</v>
      </c>
      <c r="S50" s="1096">
        <f>'Données normes'!$D$137</f>
        <v>62.2</v>
      </c>
      <c r="T50" s="1097">
        <f>Q50*R50*S50</f>
        <v>435.40000000000003</v>
      </c>
      <c r="U50" s="1098">
        <f t="shared" ref="U50:U57" si="25">T50/$T$76</f>
        <v>1.6595398326799089E-2</v>
      </c>
      <c r="V50" s="1051"/>
      <c r="W50" s="1093" t="str">
        <f>'Données normes'!$B$137</f>
        <v>Faucheuse à mulching, avec bras pivotant des deux côtés</v>
      </c>
      <c r="X50" s="1094">
        <f>'Données normes'!$E$137</f>
        <v>7</v>
      </c>
      <c r="Y50" s="1095">
        <f>'Données normes'!$C$137</f>
        <v>1</v>
      </c>
      <c r="Z50" s="1096">
        <f>'Données normes'!$D$137</f>
        <v>62.2</v>
      </c>
      <c r="AA50" s="1097">
        <f>X50*Y50*Z50</f>
        <v>435.40000000000003</v>
      </c>
      <c r="AB50" s="1098">
        <f t="shared" ref="AB50:AB57" si="26">AA50/$AA$76</f>
        <v>1.5264451343033699E-2</v>
      </c>
      <c r="AC50" s="1051"/>
      <c r="AD50" s="1093" t="str">
        <f>'Données normes'!$B$137</f>
        <v>Faucheuse à mulching, avec bras pivotant des deux côtés</v>
      </c>
      <c r="AE50" s="1094">
        <f>'Données normes'!$E$137</f>
        <v>7</v>
      </c>
      <c r="AF50" s="1095">
        <f>'Données normes'!$C$137</f>
        <v>1</v>
      </c>
      <c r="AG50" s="1096">
        <f>'Données normes'!$D$137</f>
        <v>62.2</v>
      </c>
      <c r="AH50" s="1097">
        <f>AE50*AF50*AG50</f>
        <v>435.40000000000003</v>
      </c>
      <c r="AI50" s="1098">
        <f t="shared" ref="AI50:AI57" si="27">AH50/$AH$76</f>
        <v>1.3970487824128991E-2</v>
      </c>
      <c r="AJ50" s="1051"/>
      <c r="AK50" s="1093" t="str">
        <f>'Données normes'!$B$137</f>
        <v>Faucheuse à mulching, avec bras pivotant des deux côtés</v>
      </c>
      <c r="AL50" s="1094">
        <f>'Données normes'!$E$137</f>
        <v>7</v>
      </c>
      <c r="AM50" s="1095">
        <f>'Données normes'!$C$137</f>
        <v>1</v>
      </c>
      <c r="AN50" s="1096">
        <f>'Données normes'!$D$137</f>
        <v>62.2</v>
      </c>
      <c r="AO50" s="1097">
        <f>AL50*AM50*AN50</f>
        <v>435.40000000000003</v>
      </c>
      <c r="AP50" s="1098">
        <f t="shared" si="13"/>
        <v>1.2915020243847743E-2</v>
      </c>
      <c r="AQ50" s="1051"/>
      <c r="AR50" s="1093" t="str">
        <f>'Données normes'!$B$137</f>
        <v>Faucheuse à mulching, avec bras pivotant des deux côtés</v>
      </c>
      <c r="AS50" s="1094">
        <f>'Données normes'!$E$137</f>
        <v>7</v>
      </c>
      <c r="AT50" s="1095">
        <f>'Données normes'!$C$137</f>
        <v>1</v>
      </c>
      <c r="AU50" s="1096">
        <f>'Données normes'!$D$137</f>
        <v>62.2</v>
      </c>
      <c r="AV50" s="1097">
        <f>AS50*AT50*AU50</f>
        <v>435.40000000000003</v>
      </c>
      <c r="AW50" s="1098">
        <f t="shared" si="14"/>
        <v>1.2959722049290259E-2</v>
      </c>
      <c r="AX50" s="1051"/>
      <c r="AY50" s="1093" t="str">
        <f>'Données normes'!$B$137</f>
        <v>Faucheuse à mulching, avec bras pivotant des deux côtés</v>
      </c>
      <c r="AZ50" s="1094">
        <f>'Données normes'!$E$137</f>
        <v>7</v>
      </c>
      <c r="BA50" s="1095">
        <f>'Données normes'!$C$137</f>
        <v>1</v>
      </c>
      <c r="BB50" s="1096">
        <f>'Données normes'!$D$137</f>
        <v>62.2</v>
      </c>
      <c r="BC50" s="1097">
        <f>AZ50*BA50*BB50</f>
        <v>435.40000000000003</v>
      </c>
      <c r="BD50" s="1098">
        <f t="shared" si="15"/>
        <v>1.3005411940909095E-2</v>
      </c>
      <c r="BE50" s="1051"/>
      <c r="BF50" s="1093" t="str">
        <f>'Données normes'!$B$137</f>
        <v>Faucheuse à mulching, avec bras pivotant des deux côtés</v>
      </c>
      <c r="BG50" s="1094">
        <f>'Données normes'!$E$137</f>
        <v>7</v>
      </c>
      <c r="BH50" s="1095">
        <f>'Données normes'!$C$137</f>
        <v>1</v>
      </c>
      <c r="BI50" s="1096">
        <f>'Données normes'!$D$137</f>
        <v>62.2</v>
      </c>
      <c r="BJ50" s="1097">
        <f>BG50*BH50*BI50</f>
        <v>435.40000000000003</v>
      </c>
      <c r="BK50" s="1098">
        <f t="shared" si="16"/>
        <v>1.3052117811112693E-2</v>
      </c>
      <c r="BL50" s="1051"/>
      <c r="BM50" s="1093" t="str">
        <f>'Données normes'!$B$137</f>
        <v>Faucheuse à mulching, avec bras pivotant des deux côtés</v>
      </c>
      <c r="BN50" s="1094">
        <f>'Données normes'!$E$137</f>
        <v>7</v>
      </c>
      <c r="BO50" s="1095">
        <f>'Données normes'!$C$137</f>
        <v>1</v>
      </c>
      <c r="BP50" s="1096">
        <f>'Données normes'!$D$137</f>
        <v>62.2</v>
      </c>
      <c r="BQ50" s="1097">
        <f>BN50*BO50*BP50</f>
        <v>435.40000000000003</v>
      </c>
      <c r="BR50" s="1098">
        <f t="shared" si="17"/>
        <v>1.3099868576382994E-2</v>
      </c>
      <c r="BS50" s="1051"/>
      <c r="BT50" s="1093" t="str">
        <f>'Données normes'!$B$137</f>
        <v>Faucheuse à mulching, avec bras pivotant des deux côtés</v>
      </c>
      <c r="BU50" s="1094">
        <f>'Données normes'!$E$137</f>
        <v>7</v>
      </c>
      <c r="BV50" s="1095">
        <f>'Données normes'!$C$137</f>
        <v>1</v>
      </c>
      <c r="BW50" s="1096">
        <f>'Données normes'!$D$137</f>
        <v>62.2</v>
      </c>
      <c r="BX50" s="1097">
        <f>BU50*BV50*BW50</f>
        <v>435.40000000000003</v>
      </c>
      <c r="BY50" s="1098">
        <f t="shared" si="18"/>
        <v>1.3139721405110737E-2</v>
      </c>
      <c r="BZ50" s="1051"/>
      <c r="CA50" s="1093" t="str">
        <f>'Données normes'!$B$137</f>
        <v>Faucheuse à mulching, avec bras pivotant des deux côtés</v>
      </c>
      <c r="CB50" s="1094">
        <f>'Données normes'!$E$137</f>
        <v>7</v>
      </c>
      <c r="CC50" s="1095">
        <f>'Données normes'!$C$137</f>
        <v>1</v>
      </c>
      <c r="CD50" s="1096">
        <f>'Données normes'!$D$137</f>
        <v>62.2</v>
      </c>
      <c r="CE50" s="1097">
        <f>CB50*CC50*CD50</f>
        <v>435.40000000000003</v>
      </c>
      <c r="CF50" s="1098">
        <f t="shared" si="19"/>
        <v>1.3180420760511628E-2</v>
      </c>
      <c r="CG50" s="1051"/>
      <c r="CH50" s="1093" t="str">
        <f>'Données normes'!$B$137</f>
        <v>Faucheuse à mulching, avec bras pivotant des deux côtés</v>
      </c>
      <c r="CI50" s="1094">
        <f>'Données normes'!$E$137</f>
        <v>7</v>
      </c>
      <c r="CJ50" s="1095">
        <f>'Données normes'!$C$137</f>
        <v>1</v>
      </c>
      <c r="CK50" s="1096">
        <f>'Données normes'!$D$137</f>
        <v>62.2</v>
      </c>
      <c r="CL50" s="1097">
        <f>CI50*CJ50*CK50</f>
        <v>435.40000000000003</v>
      </c>
      <c r="CM50" s="1098">
        <f t="shared" si="20"/>
        <v>1.3221989247333867E-2</v>
      </c>
      <c r="CN50" s="1051"/>
      <c r="CO50" s="1093" t="str">
        <f>'Données normes'!$B$137</f>
        <v>Faucheuse à mulching, avec bras pivotant des deux côtés</v>
      </c>
      <c r="CP50" s="1094">
        <f>'Données normes'!$E$137</f>
        <v>7</v>
      </c>
      <c r="CQ50" s="1095">
        <f>'Données normes'!$C$137</f>
        <v>1</v>
      </c>
      <c r="CR50" s="1096">
        <f>'Données normes'!$D$137</f>
        <v>62.2</v>
      </c>
      <c r="CS50" s="1097">
        <f>CP50*CQ50*CR50</f>
        <v>435.40000000000003</v>
      </c>
      <c r="CT50" s="1098">
        <f t="shared" si="21"/>
        <v>1.325531880265033E-2</v>
      </c>
      <c r="CU50" s="1051"/>
      <c r="CV50" s="1093" t="str">
        <f>'Données normes'!$B$137</f>
        <v>Faucheuse à mulching, avec bras pivotant des deux côtés</v>
      </c>
      <c r="CW50" s="1094">
        <f>'Données normes'!$E$137</f>
        <v>7</v>
      </c>
      <c r="CX50" s="1095">
        <f>'Données normes'!$C$137</f>
        <v>1</v>
      </c>
      <c r="CY50" s="1096">
        <f>'Données normes'!$D$137</f>
        <v>62.2</v>
      </c>
      <c r="CZ50" s="1097">
        <f>CW50*CX50*CY50</f>
        <v>435.40000000000003</v>
      </c>
      <c r="DA50" s="1098">
        <f t="shared" si="22"/>
        <v>1.108927844050488E-2</v>
      </c>
    </row>
    <row r="51" spans="1:105" s="1" customFormat="1" ht="13.5" thickBot="1" x14ac:dyDescent="0.35">
      <c r="A51" s="245"/>
      <c r="B51" s="39" t="str">
        <f>'Données normes'!$B$138</f>
        <v>Hacheuse de bois</v>
      </c>
      <c r="C51" s="562">
        <v>0</v>
      </c>
      <c r="D51" s="728">
        <f>'Données normes'!$C$138</f>
        <v>2</v>
      </c>
      <c r="E51" s="42">
        <f>'Données normes'!$D$138</f>
        <v>75.7</v>
      </c>
      <c r="F51" s="464">
        <f>E51*D51*C51</f>
        <v>0</v>
      </c>
      <c r="G51" s="733">
        <f t="shared" si="23"/>
        <v>0</v>
      </c>
      <c r="H51" s="245"/>
      <c r="I51" s="39" t="str">
        <f>'Données normes'!$B$138</f>
        <v>Hacheuse de bois</v>
      </c>
      <c r="J51" s="562">
        <v>0</v>
      </c>
      <c r="K51" s="728">
        <f>'Données normes'!$C$138</f>
        <v>2</v>
      </c>
      <c r="L51" s="42">
        <f>'Données normes'!$D$138</f>
        <v>75.7</v>
      </c>
      <c r="M51" s="464">
        <f>L51*K51*J51</f>
        <v>0</v>
      </c>
      <c r="N51" s="733">
        <f t="shared" si="24"/>
        <v>0</v>
      </c>
      <c r="O51" s="245"/>
      <c r="P51" s="39" t="str">
        <f>'Données normes'!$B$138</f>
        <v>Hacheuse de bois</v>
      </c>
      <c r="Q51" s="562">
        <v>0</v>
      </c>
      <c r="R51" s="728">
        <f>'Données normes'!$C$138</f>
        <v>2</v>
      </c>
      <c r="S51" s="42">
        <f>'Données normes'!$D$138</f>
        <v>75.7</v>
      </c>
      <c r="T51" s="464">
        <f>S51*R51*Q51</f>
        <v>0</v>
      </c>
      <c r="U51" s="733">
        <f t="shared" si="25"/>
        <v>0</v>
      </c>
      <c r="V51" s="245"/>
      <c r="W51" s="39" t="str">
        <f>'Données normes'!$B$138</f>
        <v>Hacheuse de bois</v>
      </c>
      <c r="X51" s="562">
        <f>'Données normes'!$E$138</f>
        <v>1</v>
      </c>
      <c r="Y51" s="728">
        <f>'Données normes'!$C$138</f>
        <v>2</v>
      </c>
      <c r="Z51" s="42">
        <f>'Données normes'!$D$138</f>
        <v>75.7</v>
      </c>
      <c r="AA51" s="464">
        <f>Z51*Y51*X51</f>
        <v>151.4</v>
      </c>
      <c r="AB51" s="733">
        <f t="shared" si="26"/>
        <v>5.307850099529862E-3</v>
      </c>
      <c r="AC51" s="245"/>
      <c r="AD51" s="39" t="str">
        <f>'Données normes'!$B$138</f>
        <v>Hacheuse de bois</v>
      </c>
      <c r="AE51" s="562">
        <f>'Données normes'!$E$138</f>
        <v>1</v>
      </c>
      <c r="AF51" s="728">
        <f>'Données normes'!$C$138</f>
        <v>2</v>
      </c>
      <c r="AG51" s="42">
        <f>'Données normes'!$D$138</f>
        <v>75.7</v>
      </c>
      <c r="AH51" s="464">
        <f>AG51*AF51*AE51</f>
        <v>151.4</v>
      </c>
      <c r="AI51" s="733">
        <f t="shared" si="27"/>
        <v>4.8579050449543623E-3</v>
      </c>
      <c r="AJ51" s="245"/>
      <c r="AK51" s="39" t="str">
        <f>'Données normes'!$B$138</f>
        <v>Hacheuse de bois</v>
      </c>
      <c r="AL51" s="562">
        <f>'Données normes'!$E$138</f>
        <v>1</v>
      </c>
      <c r="AM51" s="728">
        <f>'Données normes'!$C$138</f>
        <v>2</v>
      </c>
      <c r="AN51" s="42">
        <f>'Données normes'!$D$138</f>
        <v>75.7</v>
      </c>
      <c r="AO51" s="464">
        <f>AN51*AM51*AL51</f>
        <v>151.4</v>
      </c>
      <c r="AP51" s="733">
        <f t="shared" si="13"/>
        <v>4.490891283689822E-3</v>
      </c>
      <c r="AQ51" s="245"/>
      <c r="AR51" s="39" t="str">
        <f>'Données normes'!$B$138</f>
        <v>Hacheuse de bois</v>
      </c>
      <c r="AS51" s="562">
        <f>'Données normes'!$E$138</f>
        <v>1</v>
      </c>
      <c r="AT51" s="728">
        <f>'Données normes'!$C$138</f>
        <v>2</v>
      </c>
      <c r="AU51" s="42">
        <f>'Données normes'!$D$138</f>
        <v>75.7</v>
      </c>
      <c r="AV51" s="464">
        <f>AU51*AT51*AS51</f>
        <v>151.4</v>
      </c>
      <c r="AW51" s="733">
        <f t="shared" si="14"/>
        <v>4.5064352739148947E-3</v>
      </c>
      <c r="AX51" s="245"/>
      <c r="AY51" s="39" t="str">
        <f>'Données normes'!$B$138</f>
        <v>Hacheuse de bois</v>
      </c>
      <c r="AZ51" s="562">
        <f>'Données normes'!$E$138</f>
        <v>1</v>
      </c>
      <c r="BA51" s="728">
        <f>'Données normes'!$C$138</f>
        <v>2</v>
      </c>
      <c r="BB51" s="42">
        <f>'Données normes'!$D$138</f>
        <v>75.7</v>
      </c>
      <c r="BC51" s="464">
        <f>BB51*BA51*AZ51</f>
        <v>151.4</v>
      </c>
      <c r="BD51" s="733">
        <f t="shared" si="15"/>
        <v>4.5223228476197449E-3</v>
      </c>
      <c r="BE51" s="245"/>
      <c r="BF51" s="39" t="str">
        <f>'Données normes'!$B$138</f>
        <v>Hacheuse de bois</v>
      </c>
      <c r="BG51" s="562">
        <f>'Données normes'!$E$138</f>
        <v>1</v>
      </c>
      <c r="BH51" s="728">
        <f>'Données normes'!$C$138</f>
        <v>2</v>
      </c>
      <c r="BI51" s="42">
        <f>'Données normes'!$D$138</f>
        <v>75.7</v>
      </c>
      <c r="BJ51" s="464">
        <f>BI51*BH51*BG51</f>
        <v>151.4</v>
      </c>
      <c r="BK51" s="733">
        <f t="shared" si="16"/>
        <v>4.5385637037263704E-3</v>
      </c>
      <c r="BL51" s="245"/>
      <c r="BM51" s="39" t="str">
        <f>'Données normes'!$B$138</f>
        <v>Hacheuse de bois</v>
      </c>
      <c r="BN51" s="562">
        <f>'Données normes'!$E$138</f>
        <v>1</v>
      </c>
      <c r="BO51" s="728">
        <f>'Données normes'!$C$138</f>
        <v>2</v>
      </c>
      <c r="BP51" s="42">
        <f>'Données normes'!$D$138</f>
        <v>75.7</v>
      </c>
      <c r="BQ51" s="464">
        <f>BP51*BO51*BN51</f>
        <v>151.4</v>
      </c>
      <c r="BR51" s="733">
        <f t="shared" si="17"/>
        <v>4.5551678972539852E-3</v>
      </c>
      <c r="BS51" s="245"/>
      <c r="BT51" s="39" t="str">
        <f>'Données normes'!$B$138</f>
        <v>Hacheuse de bois</v>
      </c>
      <c r="BU51" s="562">
        <f>'Données normes'!$E$138</f>
        <v>1</v>
      </c>
      <c r="BV51" s="728">
        <f>'Données normes'!$C$138</f>
        <v>2</v>
      </c>
      <c r="BW51" s="42">
        <f>'Données normes'!$D$138</f>
        <v>75.7</v>
      </c>
      <c r="BX51" s="464">
        <f>BW51*BV51*BU51</f>
        <v>151.4</v>
      </c>
      <c r="BY51" s="733">
        <f t="shared" si="18"/>
        <v>4.5690257710927088E-3</v>
      </c>
      <c r="BZ51" s="245"/>
      <c r="CA51" s="39" t="str">
        <f>'Données normes'!$B$138</f>
        <v>Hacheuse de bois</v>
      </c>
      <c r="CB51" s="562">
        <f>'Données normes'!$E$138</f>
        <v>1</v>
      </c>
      <c r="CC51" s="728">
        <f>'Données normes'!$C$138</f>
        <v>2</v>
      </c>
      <c r="CD51" s="42">
        <f>'Données normes'!$D$138</f>
        <v>75.7</v>
      </c>
      <c r="CE51" s="464">
        <f>CD51*CC51*CB51</f>
        <v>151.4</v>
      </c>
      <c r="CF51" s="733">
        <f t="shared" si="19"/>
        <v>4.5831780044590271E-3</v>
      </c>
      <c r="CG51" s="245"/>
      <c r="CH51" s="39" t="str">
        <f>'Données normes'!$B$138</f>
        <v>Hacheuse de bois</v>
      </c>
      <c r="CI51" s="562">
        <f>'Données normes'!$E$138</f>
        <v>1</v>
      </c>
      <c r="CJ51" s="728">
        <f>'Données normes'!$C$138</f>
        <v>2</v>
      </c>
      <c r="CK51" s="42">
        <f>'Données normes'!$D$138</f>
        <v>75.7</v>
      </c>
      <c r="CL51" s="464">
        <f>CK51*CJ51*CI51</f>
        <v>151.4</v>
      </c>
      <c r="CM51" s="733">
        <f t="shared" si="20"/>
        <v>4.5976324576167829E-3</v>
      </c>
      <c r="CN51" s="245"/>
      <c r="CO51" s="39" t="str">
        <f>'Données normes'!$B$138</f>
        <v>Hacheuse de bois</v>
      </c>
      <c r="CP51" s="562">
        <f>'Données normes'!$E$138</f>
        <v>1</v>
      </c>
      <c r="CQ51" s="728">
        <f>'Données normes'!$C$138</f>
        <v>2</v>
      </c>
      <c r="CR51" s="42">
        <f>'Données normes'!$D$138</f>
        <v>75.7</v>
      </c>
      <c r="CS51" s="464">
        <f>CR51*CQ51*CP51</f>
        <v>151.4</v>
      </c>
      <c r="CT51" s="733">
        <f t="shared" si="21"/>
        <v>4.6092220181930639E-3</v>
      </c>
      <c r="CU51" s="245"/>
      <c r="CV51" s="39" t="str">
        <f>'Données normes'!$B$138</f>
        <v>Hacheuse de bois</v>
      </c>
      <c r="CW51" s="562">
        <f>'Données normes'!$E$138</f>
        <v>1</v>
      </c>
      <c r="CX51" s="728">
        <f>'Données normes'!$C$138</f>
        <v>2</v>
      </c>
      <c r="CY51" s="42">
        <f>'Données normes'!$D$138</f>
        <v>75.7</v>
      </c>
      <c r="CZ51" s="464">
        <f>CY51*CX51*CW51</f>
        <v>151.4</v>
      </c>
      <c r="DA51" s="733">
        <f t="shared" si="22"/>
        <v>3.8560329717327486E-3</v>
      </c>
    </row>
    <row r="52" spans="1:105" s="1" customFormat="1" ht="16.5" customHeight="1" x14ac:dyDescent="0.3">
      <c r="A52" s="245"/>
      <c r="B52" s="39" t="s">
        <v>391</v>
      </c>
      <c r="C52" s="41"/>
      <c r="D52" s="614">
        <f>(C44*D44)+(C45*D45)+(C46*D46)+(D48*E48*'Données normes'!$H$130)+(C50*D50)+(C51*D51)+(D49*E49*'Données normes'!$H$130)</f>
        <v>15</v>
      </c>
      <c r="E52" s="42"/>
      <c r="F52" s="82">
        <f>SUM(F44:F51)</f>
        <v>875.2</v>
      </c>
      <c r="G52" s="733">
        <f t="shared" si="23"/>
        <v>7.4667550352223375E-2</v>
      </c>
      <c r="H52" s="245"/>
      <c r="I52" s="39" t="s">
        <v>391</v>
      </c>
      <c r="J52" s="41"/>
      <c r="K52" s="614">
        <f>(J44*K44)+(J45*K45)+(J46*K46)+(K48*L48*'Données normes'!$H$130)+(J50*K50)+(J51*K51)+(K49*L49*'Données normes'!$H$130)</f>
        <v>18.750946969696969</v>
      </c>
      <c r="L52" s="42"/>
      <c r="M52" s="82">
        <f>SUM(M44:M51)</f>
        <v>951.5333333333333</v>
      </c>
      <c r="N52" s="733">
        <f t="shared" si="24"/>
        <v>6.842697362295902E-2</v>
      </c>
      <c r="O52" s="245"/>
      <c r="P52" s="39" t="s">
        <v>391</v>
      </c>
      <c r="Q52" s="41"/>
      <c r="R52" s="614">
        <f>(Q44*R44)+(Q45*R45)+(Q46*R46)+(R48*S48*'Données normes'!$H$130)+(Q50*R50)+(Q51*R51)+(R49*S49*'Données normes'!$H$130)</f>
        <v>46.903409090909093</v>
      </c>
      <c r="S52" s="42"/>
      <c r="T52" s="82">
        <f>SUM(T44:T51)</f>
        <v>2202</v>
      </c>
      <c r="U52" s="733">
        <f t="shared" si="25"/>
        <v>8.3929873944904893E-2</v>
      </c>
      <c r="V52" s="245"/>
      <c r="W52" s="39" t="s">
        <v>391</v>
      </c>
      <c r="X52" s="41"/>
      <c r="Y52" s="614">
        <f>(X44*Y44)+(X45*Y45)+(X46*Y46)+(Y48*Z48*'Données normes'!$H$130)+(X50*Y50)+(X51*Y51)+(Y49*Z49*'Données normes'!$H$130)</f>
        <v>52.754734848484844</v>
      </c>
      <c r="Z52" s="42"/>
      <c r="AA52" s="82">
        <f>SUM(AA44:AA51)</f>
        <v>2435.0666666666666</v>
      </c>
      <c r="AB52" s="733">
        <f t="shared" si="26"/>
        <v>8.5369675356859409E-2</v>
      </c>
      <c r="AC52" s="245"/>
      <c r="AD52" s="39" t="s">
        <v>391</v>
      </c>
      <c r="AE52" s="41"/>
      <c r="AF52" s="614">
        <f>(AE44*AF44)+(AE45*AF45)+(AE46*AF46)+(AF48*AG48*'Données normes'!$H$130)+(AE50*AF50)+(AE51*AF51)+(AF49*AG49*'Données normes'!$H$130)</f>
        <v>58.256628787878789</v>
      </c>
      <c r="AG52" s="42"/>
      <c r="AH52" s="82">
        <f>SUM(AH44:AH51)</f>
        <v>2551.7333333333331</v>
      </c>
      <c r="AI52" s="733">
        <f t="shared" si="27"/>
        <v>8.1876342360490156E-2</v>
      </c>
      <c r="AJ52" s="245"/>
      <c r="AK52" s="39" t="s">
        <v>391</v>
      </c>
      <c r="AL52" s="41"/>
      <c r="AM52" s="614">
        <f>(AL44*AM44)+(AL45*AM45)+(AL46*AM46)+(AM48*AN48*'Données normes'!$H$130)+(AL50*AM50)+(AL51*AM51)+(AM49*AN49*'Données normes'!$H$130)</f>
        <v>63.758522727272727</v>
      </c>
      <c r="AN52" s="42"/>
      <c r="AO52" s="82">
        <f>SUM(AO44:AO51)</f>
        <v>2668.4</v>
      </c>
      <c r="AP52" s="733">
        <f t="shared" si="13"/>
        <v>7.9151217314385208E-2</v>
      </c>
      <c r="AQ52" s="245"/>
      <c r="AR52" s="39" t="s">
        <v>391</v>
      </c>
      <c r="AS52" s="41"/>
      <c r="AT52" s="614">
        <f>(AS44*AT44)+(AS45*AT45)+(AS46*AT46)+(AT48*AU48*'Données normes'!$H$130)+(AS50*AT50)+(AS51*AT51)+(AT49*AU49*'Données normes'!$H$130)</f>
        <v>63.758522727272727</v>
      </c>
      <c r="AU52" s="42"/>
      <c r="AV52" s="82">
        <f>SUM(AV44:AV51)</f>
        <v>2668.4</v>
      </c>
      <c r="AW52" s="733">
        <f t="shared" si="14"/>
        <v>7.9425177575393024E-2</v>
      </c>
      <c r="AX52" s="245"/>
      <c r="AY52" s="39" t="s">
        <v>391</v>
      </c>
      <c r="AZ52" s="41"/>
      <c r="BA52" s="614">
        <f>(AZ44*BA44)+(AZ45*BA45)+(AZ46*BA46)+(BA48*BB48*'Données normes'!$H$130)+(AZ50*BA50)+(AZ51*BA51)+(BA49*BB49*'Données normes'!$H$130)</f>
        <v>63.758522727272727</v>
      </c>
      <c r="BB52" s="42"/>
      <c r="BC52" s="82">
        <f>SUM(BC44:BC51)</f>
        <v>2668.4</v>
      </c>
      <c r="BD52" s="733">
        <f t="shared" si="15"/>
        <v>7.9705193438497537E-2</v>
      </c>
      <c r="BE52" s="245"/>
      <c r="BF52" s="39" t="s">
        <v>391</v>
      </c>
      <c r="BG52" s="41"/>
      <c r="BH52" s="614">
        <f>(BG44*BH44)+(BG45*BH45)+(BG46*BH46)+(BH48*BI48*'Données normes'!$H$130)+(BG50*BH50)+(BG51*BH51)+(BH49*BI49*'Données normes'!$H$130)</f>
        <v>63.758522727272727</v>
      </c>
      <c r="BI52" s="42"/>
      <c r="BJ52" s="82">
        <f>SUM(BJ44:BJ51)</f>
        <v>2668.4</v>
      </c>
      <c r="BK52" s="733">
        <f t="shared" si="16"/>
        <v>7.9991435845597397E-2</v>
      </c>
      <c r="BL52" s="245"/>
      <c r="BM52" s="39" t="s">
        <v>391</v>
      </c>
      <c r="BN52" s="41"/>
      <c r="BO52" s="614">
        <f>(BN44*BO44)+(BN45*BO45)+(BN46*BO46)+(BO48*BP48*'Données normes'!$H$130)+(BN50*BO50)+(BN51*BO51)+(BO49*BP49*'Données normes'!$H$130)</f>
        <v>63.758522727272727</v>
      </c>
      <c r="BP52" s="42"/>
      <c r="BQ52" s="82">
        <f>SUM(BQ44:BQ51)</f>
        <v>2668.4</v>
      </c>
      <c r="BR52" s="733">
        <f t="shared" si="17"/>
        <v>8.0284082014745933E-2</v>
      </c>
      <c r="BS52" s="245"/>
      <c r="BT52" s="39" t="s">
        <v>391</v>
      </c>
      <c r="BU52" s="41"/>
      <c r="BV52" s="614">
        <f>(BU44*BV44)+(BU45*BV45)+(BU46*BV46)+(BV48*BW48*'Données normes'!$H$130)+(BU50*BV50)+(BU51*BV51)+(BV49*BW49*'Données normes'!$H$130)</f>
        <v>63.758522727272727</v>
      </c>
      <c r="BW52" s="42"/>
      <c r="BX52" s="82">
        <f>SUM(BX44:BX51)</f>
        <v>2668.4</v>
      </c>
      <c r="BY52" s="733">
        <f t="shared" si="18"/>
        <v>8.0528324752865157E-2</v>
      </c>
      <c r="BZ52" s="245"/>
      <c r="CA52" s="39" t="s">
        <v>391</v>
      </c>
      <c r="CB52" s="41"/>
      <c r="CC52" s="614">
        <f>(CB44*CC44)+(CB45*CC45)+(CB46*CC46)+(CC48*CD48*'Données normes'!$H$130)+(CB50*CC50)+(CB51*CC51)+(CC49*CD49*'Données normes'!$H$130)</f>
        <v>63.758522727272727</v>
      </c>
      <c r="CD52" s="42"/>
      <c r="CE52" s="82">
        <f>SUM(CE44:CE51)</f>
        <v>2668.4</v>
      </c>
      <c r="CF52" s="733">
        <f t="shared" si="19"/>
        <v>8.0777755529051962E-2</v>
      </c>
      <c r="CG52" s="245"/>
      <c r="CH52" s="39" t="s">
        <v>391</v>
      </c>
      <c r="CI52" s="41"/>
      <c r="CJ52" s="614">
        <f>(CI44*CJ44)+(CI45*CJ45)+(CI46*CJ46)+(CJ48*CK48*'Données normes'!$H$130)+(CI50*CJ50)+(CI51*CJ51)+(CJ49*CK49*'Données normes'!$H$130)</f>
        <v>63.758522727272727</v>
      </c>
      <c r="CK52" s="42"/>
      <c r="CL52" s="82">
        <f>SUM(CL44:CL51)</f>
        <v>2668.4</v>
      </c>
      <c r="CM52" s="733">
        <f t="shared" si="20"/>
        <v>8.1032512879158677E-2</v>
      </c>
      <c r="CN52" s="245"/>
      <c r="CO52" s="39" t="s">
        <v>391</v>
      </c>
      <c r="CP52" s="41"/>
      <c r="CQ52" s="614">
        <f>(CP44*CQ44)+(CP45*CQ45)+(CP46*CQ46)+(CQ48*CR48*'Données normes'!$H$130)+(CP50*CQ50)+(CP51*CQ51)+(CQ49*CR49*'Données normes'!$H$130)</f>
        <v>63.758522727272727</v>
      </c>
      <c r="CR52" s="42"/>
      <c r="CS52" s="82">
        <f>SUM(CS44:CS51)</f>
        <v>2668.4</v>
      </c>
      <c r="CT52" s="733">
        <f t="shared" si="21"/>
        <v>8.1236776970583693E-2</v>
      </c>
      <c r="CU52" s="245"/>
      <c r="CV52" s="39" t="s">
        <v>391</v>
      </c>
      <c r="CW52" s="41"/>
      <c r="CX52" s="614">
        <f>(CW44*CX44)+(CW45*CX45)+(CW46*CX46)+(CX48*CY48*'Données normes'!$H$130)+(CW50*CX50)+(CW51*CX51)+(CX49*CY49*'Données normes'!$H$130)</f>
        <v>63.758522727272727</v>
      </c>
      <c r="CY52" s="42"/>
      <c r="CZ52" s="82">
        <f>SUM(CZ44:CZ51)</f>
        <v>2668.4</v>
      </c>
      <c r="DA52" s="733">
        <f t="shared" si="22"/>
        <v>6.7961944397435053E-2</v>
      </c>
    </row>
    <row r="53" spans="1:105" s="1" customFormat="1" ht="13" x14ac:dyDescent="0.3">
      <c r="A53" s="615"/>
      <c r="B53" s="84" t="str">
        <f>'Données normes'!$B$130</f>
        <v>Tracteur arboricole 4 roues motrices</v>
      </c>
      <c r="C53" s="41"/>
      <c r="D53" s="614">
        <f>D52</f>
        <v>15</v>
      </c>
      <c r="E53" s="42">
        <f>'Données normes'!$D$130</f>
        <v>41</v>
      </c>
      <c r="F53" s="148">
        <f>D53*E53</f>
        <v>615</v>
      </c>
      <c r="G53" s="733">
        <f t="shared" si="23"/>
        <v>5.2468628275385475E-2</v>
      </c>
      <c r="H53" s="615"/>
      <c r="I53" s="84" t="str">
        <f>'Données normes'!$B$130</f>
        <v>Tracteur arboricole 4 roues motrices</v>
      </c>
      <c r="J53" s="41"/>
      <c r="K53" s="614">
        <f>K52</f>
        <v>18.750946969696969</v>
      </c>
      <c r="L53" s="42">
        <f>'Données normes'!$D$130</f>
        <v>41</v>
      </c>
      <c r="M53" s="148">
        <f>K53*L53</f>
        <v>768.78882575757575</v>
      </c>
      <c r="N53" s="733">
        <f t="shared" si="24"/>
        <v>5.5285391335114495E-2</v>
      </c>
      <c r="O53" s="615"/>
      <c r="P53" s="84" t="str">
        <f>'Données normes'!$B$130</f>
        <v>Tracteur arboricole 4 roues motrices</v>
      </c>
      <c r="Q53" s="41"/>
      <c r="R53" s="614">
        <f>R52</f>
        <v>46.903409090909093</v>
      </c>
      <c r="S53" s="42">
        <f>'Données normes'!$D$130</f>
        <v>41</v>
      </c>
      <c r="T53" s="148">
        <f>R53*S53</f>
        <v>1923.0397727272727</v>
      </c>
      <c r="U53" s="733">
        <f t="shared" si="25"/>
        <v>7.3297223304286355E-2</v>
      </c>
      <c r="V53" s="615"/>
      <c r="W53" s="84" t="str">
        <f>'Données normes'!$B$130</f>
        <v>Tracteur arboricole 4 roues motrices</v>
      </c>
      <c r="X53" s="41"/>
      <c r="Y53" s="614">
        <f>Y52</f>
        <v>52.754734848484844</v>
      </c>
      <c r="Z53" s="42">
        <f>'Données normes'!$D$130</f>
        <v>41</v>
      </c>
      <c r="AA53" s="148">
        <f>Y53*Z53</f>
        <v>2162.9441287878785</v>
      </c>
      <c r="AB53" s="733">
        <f t="shared" si="26"/>
        <v>7.5829479585629272E-2</v>
      </c>
      <c r="AC53" s="615"/>
      <c r="AD53" s="84" t="str">
        <f>'Données normes'!$B$130</f>
        <v>Tracteur arboricole 4 roues motrices</v>
      </c>
      <c r="AE53" s="41"/>
      <c r="AF53" s="614">
        <f>AF52</f>
        <v>58.256628787878789</v>
      </c>
      <c r="AG53" s="42">
        <f>'Données normes'!$D$130</f>
        <v>41</v>
      </c>
      <c r="AH53" s="148">
        <f>AF53*AG53</f>
        <v>2388.5217803030305</v>
      </c>
      <c r="AI53" s="733">
        <f t="shared" si="27"/>
        <v>7.6639445221383523E-2</v>
      </c>
      <c r="AJ53" s="615"/>
      <c r="AK53" s="84" t="str">
        <f>'Données normes'!$B$130</f>
        <v>Tracteur arboricole 4 roues motrices</v>
      </c>
      <c r="AL53" s="41"/>
      <c r="AM53" s="614">
        <f>AM52</f>
        <v>63.758522727272727</v>
      </c>
      <c r="AN53" s="42">
        <f>'Données normes'!$D$130</f>
        <v>41</v>
      </c>
      <c r="AO53" s="148">
        <f>AM53*AN53</f>
        <v>2614.099431818182</v>
      </c>
      <c r="AP53" s="733">
        <f t="shared" si="13"/>
        <v>7.7540530733492652E-2</v>
      </c>
      <c r="AQ53" s="615"/>
      <c r="AR53" s="84" t="str">
        <f>'Données normes'!$B$130</f>
        <v>Tracteur arboricole 4 roues motrices</v>
      </c>
      <c r="AS53" s="41"/>
      <c r="AT53" s="614">
        <f>AT52</f>
        <v>63.758522727272727</v>
      </c>
      <c r="AU53" s="42">
        <f>'Données normes'!$D$130</f>
        <v>41</v>
      </c>
      <c r="AV53" s="148">
        <f>AT53*AU53</f>
        <v>2614.099431818182</v>
      </c>
      <c r="AW53" s="733">
        <f t="shared" si="14"/>
        <v>7.7808916044031298E-2</v>
      </c>
      <c r="AX53" s="615"/>
      <c r="AY53" s="84" t="str">
        <f>'Données normes'!$B$130</f>
        <v>Tracteur arboricole 4 roues motrices</v>
      </c>
      <c r="AZ53" s="41"/>
      <c r="BA53" s="614">
        <f>BA52</f>
        <v>63.758522727272727</v>
      </c>
      <c r="BB53" s="42">
        <f>'Données normes'!$D$130</f>
        <v>41</v>
      </c>
      <c r="BC53" s="148">
        <f>BA53*BB53</f>
        <v>2614.099431818182</v>
      </c>
      <c r="BD53" s="733">
        <f t="shared" si="15"/>
        <v>7.8083233728277135E-2</v>
      </c>
      <c r="BE53" s="615"/>
      <c r="BF53" s="84" t="str">
        <f>'Données normes'!$B$130</f>
        <v>Tracteur arboricole 4 roues motrices</v>
      </c>
      <c r="BG53" s="41"/>
      <c r="BH53" s="614">
        <f>BH52</f>
        <v>63.758522727272727</v>
      </c>
      <c r="BI53" s="42">
        <f>'Données normes'!$D$130</f>
        <v>41</v>
      </c>
      <c r="BJ53" s="148">
        <f>BH53*BI53</f>
        <v>2614.099431818182</v>
      </c>
      <c r="BK53" s="733">
        <f t="shared" si="16"/>
        <v>7.8363651249549054E-2</v>
      </c>
      <c r="BL53" s="615"/>
      <c r="BM53" s="84" t="str">
        <f>'Données normes'!$B$130</f>
        <v>Tracteur arboricole 4 roues motrices</v>
      </c>
      <c r="BN53" s="41"/>
      <c r="BO53" s="614">
        <f>BO52</f>
        <v>63.758522727272727</v>
      </c>
      <c r="BP53" s="42">
        <f>'Données normes'!$D$130</f>
        <v>41</v>
      </c>
      <c r="BQ53" s="148">
        <f>BO53*BP53</f>
        <v>2614.099431818182</v>
      </c>
      <c r="BR53" s="733">
        <f t="shared" si="17"/>
        <v>7.8650342219604125E-2</v>
      </c>
      <c r="BS53" s="615"/>
      <c r="BT53" s="84" t="str">
        <f>'Données normes'!$B$130</f>
        <v>Tracteur arboricole 4 roues motrices</v>
      </c>
      <c r="BU53" s="41"/>
      <c r="BV53" s="614">
        <f>BV52</f>
        <v>63.758522727272727</v>
      </c>
      <c r="BW53" s="42">
        <f>'Données normes'!$D$130</f>
        <v>41</v>
      </c>
      <c r="BX53" s="148">
        <f>BV53*BW53</f>
        <v>2614.099431818182</v>
      </c>
      <c r="BY53" s="733">
        <f t="shared" si="18"/>
        <v>7.8889614743567246E-2</v>
      </c>
      <c r="BZ53" s="615"/>
      <c r="CA53" s="84" t="str">
        <f>'Données normes'!$B$130</f>
        <v>Tracteur arboricole 4 roues motrices</v>
      </c>
      <c r="CB53" s="41"/>
      <c r="CC53" s="614">
        <f>CC52</f>
        <v>63.758522727272727</v>
      </c>
      <c r="CD53" s="42">
        <f>'Données normes'!$D$130</f>
        <v>41</v>
      </c>
      <c r="CE53" s="148">
        <f>CC53*CD53</f>
        <v>2614.099431818182</v>
      </c>
      <c r="CF53" s="733">
        <f t="shared" si="19"/>
        <v>7.9133969731690429E-2</v>
      </c>
      <c r="CG53" s="615"/>
      <c r="CH53" s="84" t="str">
        <f>'Données normes'!$B$130</f>
        <v>Tracteur arboricole 4 roues motrices</v>
      </c>
      <c r="CI53" s="41"/>
      <c r="CJ53" s="614">
        <f>CJ52</f>
        <v>63.758522727272727</v>
      </c>
      <c r="CK53" s="42">
        <f>'Données normes'!$D$130</f>
        <v>41</v>
      </c>
      <c r="CL53" s="148">
        <f>CJ53*CK53</f>
        <v>2614.099431818182</v>
      </c>
      <c r="CM53" s="733">
        <f t="shared" si="20"/>
        <v>7.9383542900692633E-2</v>
      </c>
      <c r="CN53" s="615"/>
      <c r="CO53" s="84" t="str">
        <f>'Données normes'!$B$130</f>
        <v>Tracteur arboricole 4 roues motrices</v>
      </c>
      <c r="CP53" s="41"/>
      <c r="CQ53" s="614">
        <f>CQ52</f>
        <v>63.758522727272727</v>
      </c>
      <c r="CR53" s="42">
        <f>'Données normes'!$D$130</f>
        <v>41</v>
      </c>
      <c r="CS53" s="148">
        <f>CQ53*CR53</f>
        <v>2614.099431818182</v>
      </c>
      <c r="CT53" s="733">
        <f t="shared" si="21"/>
        <v>7.9583650322868835E-2</v>
      </c>
      <c r="CU53" s="615"/>
      <c r="CV53" s="84" t="str">
        <f>'Données normes'!$B$130</f>
        <v>Tracteur arboricole 4 roues motrices</v>
      </c>
      <c r="CW53" s="41"/>
      <c r="CX53" s="614">
        <f>CX52</f>
        <v>63.758522727272727</v>
      </c>
      <c r="CY53" s="42">
        <f>'Données normes'!$D$130</f>
        <v>41</v>
      </c>
      <c r="CZ53" s="148">
        <f>CX53*CY53</f>
        <v>2614.099431818182</v>
      </c>
      <c r="DA53" s="733">
        <f t="shared" si="22"/>
        <v>6.6578953768023474E-2</v>
      </c>
    </row>
    <row r="54" spans="1:105" s="1" customFormat="1" ht="12.5" x14ac:dyDescent="0.25">
      <c r="A54" s="1502" t="s">
        <v>374</v>
      </c>
      <c r="B54" s="144" t="str">
        <f>'Données normes'!$B$130</f>
        <v>Tracteur arboricole 4 roues motrices</v>
      </c>
      <c r="C54" s="562">
        <v>10</v>
      </c>
      <c r="D54" s="314"/>
      <c r="E54" s="42">
        <f>'Données normes'!$D$130</f>
        <v>41</v>
      </c>
      <c r="F54" s="148">
        <f>E54*C54</f>
        <v>410</v>
      </c>
      <c r="G54" s="733">
        <f t="shared" si="23"/>
        <v>3.497908551692365E-2</v>
      </c>
      <c r="H54" s="1502" t="s">
        <v>374</v>
      </c>
      <c r="I54" s="144" t="str">
        <f>'Données normes'!$B$130</f>
        <v>Tracteur arboricole 4 roues motrices</v>
      </c>
      <c r="J54" s="562">
        <v>10</v>
      </c>
      <c r="K54" s="314"/>
      <c r="L54" s="42">
        <f>'Données normes'!$D$130</f>
        <v>41</v>
      </c>
      <c r="M54" s="148">
        <f>L54*J54</f>
        <v>410</v>
      </c>
      <c r="N54" s="733"/>
      <c r="O54" s="1502" t="s">
        <v>374</v>
      </c>
      <c r="P54" s="144" t="str">
        <f>'Données normes'!$B$130</f>
        <v>Tracteur arboricole 4 roues motrices</v>
      </c>
      <c r="Q54" s="562">
        <v>10</v>
      </c>
      <c r="R54" s="314"/>
      <c r="S54" s="42">
        <f>'Données normes'!$D$130</f>
        <v>41</v>
      </c>
      <c r="T54" s="148">
        <f>S54*Q54</f>
        <v>410</v>
      </c>
      <c r="U54" s="733"/>
      <c r="V54" s="1502" t="s">
        <v>374</v>
      </c>
      <c r="W54" s="144" t="str">
        <f>'Données normes'!$B$130</f>
        <v>Tracteur arboricole 4 roues motrices</v>
      </c>
      <c r="X54" s="562">
        <v>10</v>
      </c>
      <c r="Y54" s="314"/>
      <c r="Z54" s="42">
        <f>'Données normes'!$D$130</f>
        <v>41</v>
      </c>
      <c r="AA54" s="148">
        <f>Z54*X54</f>
        <v>410</v>
      </c>
      <c r="AB54" s="733"/>
      <c r="AC54" s="1502" t="s">
        <v>374</v>
      </c>
      <c r="AD54" s="144" t="str">
        <f>'Données normes'!$B$130</f>
        <v>Tracteur arboricole 4 roues motrices</v>
      </c>
      <c r="AE54" s="562">
        <v>10</v>
      </c>
      <c r="AF54" s="314"/>
      <c r="AG54" s="42">
        <f>'Données normes'!$D$130</f>
        <v>41</v>
      </c>
      <c r="AH54" s="148">
        <f>AG54*AE54</f>
        <v>410</v>
      </c>
      <c r="AI54" s="733"/>
      <c r="AJ54" s="1502" t="s">
        <v>374</v>
      </c>
      <c r="AK54" s="144" t="str">
        <f>'Données normes'!$B$130</f>
        <v>Tracteur arboricole 4 roues motrices</v>
      </c>
      <c r="AL54" s="562">
        <v>10</v>
      </c>
      <c r="AM54" s="314"/>
      <c r="AN54" s="42">
        <f>'Données normes'!$D$130</f>
        <v>41</v>
      </c>
      <c r="AO54" s="148">
        <f>AN54*AL54</f>
        <v>410</v>
      </c>
      <c r="AP54" s="733"/>
      <c r="AQ54" s="1502" t="s">
        <v>374</v>
      </c>
      <c r="AR54" s="144" t="str">
        <f>'Données normes'!$B$130</f>
        <v>Tracteur arboricole 4 roues motrices</v>
      </c>
      <c r="AS54" s="562">
        <v>10</v>
      </c>
      <c r="AT54" s="314"/>
      <c r="AU54" s="42">
        <f>'Données normes'!$D$130</f>
        <v>41</v>
      </c>
      <c r="AV54" s="148">
        <f>AU54*AS54</f>
        <v>410</v>
      </c>
      <c r="AW54" s="733"/>
      <c r="AX54" s="1502" t="s">
        <v>374</v>
      </c>
      <c r="AY54" s="144" t="str">
        <f>'Données normes'!$B$130</f>
        <v>Tracteur arboricole 4 roues motrices</v>
      </c>
      <c r="AZ54" s="562">
        <v>10</v>
      </c>
      <c r="BA54" s="314"/>
      <c r="BB54" s="42">
        <f>'Données normes'!$D$130</f>
        <v>41</v>
      </c>
      <c r="BC54" s="148">
        <f>BB54*AZ54</f>
        <v>410</v>
      </c>
      <c r="BD54" s="733"/>
      <c r="BE54" s="1502" t="s">
        <v>374</v>
      </c>
      <c r="BF54" s="144" t="str">
        <f>'Données normes'!$B$130</f>
        <v>Tracteur arboricole 4 roues motrices</v>
      </c>
      <c r="BG54" s="562">
        <v>10</v>
      </c>
      <c r="BH54" s="314"/>
      <c r="BI54" s="42">
        <f>'Données normes'!$D$130</f>
        <v>41</v>
      </c>
      <c r="BJ54" s="148">
        <f>BI54*BG54</f>
        <v>410</v>
      </c>
      <c r="BK54" s="733"/>
      <c r="BL54" s="1502" t="s">
        <v>374</v>
      </c>
      <c r="BM54" s="144" t="str">
        <f>'Données normes'!$B$130</f>
        <v>Tracteur arboricole 4 roues motrices</v>
      </c>
      <c r="BN54" s="562">
        <v>10</v>
      </c>
      <c r="BO54" s="314"/>
      <c r="BP54" s="42">
        <f>'Données normes'!$D$130</f>
        <v>41</v>
      </c>
      <c r="BQ54" s="148">
        <f>BP54*BN54</f>
        <v>410</v>
      </c>
      <c r="BR54" s="733"/>
      <c r="BS54" s="1502" t="s">
        <v>374</v>
      </c>
      <c r="BT54" s="144" t="str">
        <f>'Données normes'!$B$130</f>
        <v>Tracteur arboricole 4 roues motrices</v>
      </c>
      <c r="BU54" s="562">
        <v>10</v>
      </c>
      <c r="BV54" s="314"/>
      <c r="BW54" s="42">
        <f>'Données normes'!$D$130</f>
        <v>41</v>
      </c>
      <c r="BX54" s="148">
        <f>BW54*BU54</f>
        <v>410</v>
      </c>
      <c r="BY54" s="733"/>
      <c r="BZ54" s="1502" t="s">
        <v>374</v>
      </c>
      <c r="CA54" s="144" t="str">
        <f>'Données normes'!$B$130</f>
        <v>Tracteur arboricole 4 roues motrices</v>
      </c>
      <c r="CB54" s="562">
        <v>10</v>
      </c>
      <c r="CC54" s="314"/>
      <c r="CD54" s="42">
        <f>'Données normes'!$D$130</f>
        <v>41</v>
      </c>
      <c r="CE54" s="148">
        <f>CD54*CB54</f>
        <v>410</v>
      </c>
      <c r="CF54" s="733"/>
      <c r="CG54" s="1502" t="s">
        <v>374</v>
      </c>
      <c r="CH54" s="144" t="str">
        <f>'Données normes'!$B$130</f>
        <v>Tracteur arboricole 4 roues motrices</v>
      </c>
      <c r="CI54" s="562">
        <v>10</v>
      </c>
      <c r="CJ54" s="314"/>
      <c r="CK54" s="42">
        <f>'Données normes'!$D$130</f>
        <v>41</v>
      </c>
      <c r="CL54" s="148">
        <f>CK54*CI54</f>
        <v>410</v>
      </c>
      <c r="CM54" s="733"/>
      <c r="CN54" s="1502" t="s">
        <v>374</v>
      </c>
      <c r="CO54" s="144" t="str">
        <f>'Données normes'!$B$130</f>
        <v>Tracteur arboricole 4 roues motrices</v>
      </c>
      <c r="CP54" s="562">
        <v>10</v>
      </c>
      <c r="CQ54" s="314"/>
      <c r="CR54" s="42">
        <f>'Données normes'!$D$130</f>
        <v>41</v>
      </c>
      <c r="CS54" s="148">
        <f>CR54*CP54</f>
        <v>410</v>
      </c>
      <c r="CT54" s="733"/>
      <c r="CU54" s="1502" t="s">
        <v>374</v>
      </c>
      <c r="CV54" s="144" t="str">
        <f>'Données normes'!$B$130</f>
        <v>Tracteur arboricole 4 roues motrices</v>
      </c>
      <c r="CW54" s="562">
        <v>10</v>
      </c>
      <c r="CX54" s="314"/>
      <c r="CY54" s="42">
        <f>'Données normes'!$D$130</f>
        <v>41</v>
      </c>
      <c r="CZ54" s="148">
        <f>CY54*CW54</f>
        <v>410</v>
      </c>
      <c r="DA54" s="733"/>
    </row>
    <row r="55" spans="1:105" s="1" customFormat="1" ht="12.5" x14ac:dyDescent="0.25">
      <c r="A55" s="1502"/>
      <c r="B55" s="144" t="s">
        <v>308</v>
      </c>
      <c r="C55" s="562">
        <v>10</v>
      </c>
      <c r="D55" s="314"/>
      <c r="E55" s="42">
        <f>'Données normes'!D150</f>
        <v>19.100000000000001</v>
      </c>
      <c r="F55" s="148">
        <f>E55*C55</f>
        <v>191</v>
      </c>
      <c r="G55" s="733">
        <f t="shared" si="23"/>
        <v>1.629513496032297E-2</v>
      </c>
      <c r="H55" s="1502"/>
      <c r="I55" s="144" t="s">
        <v>308</v>
      </c>
      <c r="J55" s="562">
        <v>10</v>
      </c>
      <c r="K55" s="314"/>
      <c r="L55" s="42">
        <f>'Données normes'!D150</f>
        <v>19.100000000000001</v>
      </c>
      <c r="M55" s="148">
        <f>L55*J55</f>
        <v>191</v>
      </c>
      <c r="N55" s="733"/>
      <c r="O55" s="1502"/>
      <c r="P55" s="144" t="s">
        <v>308</v>
      </c>
      <c r="Q55" s="562">
        <v>10</v>
      </c>
      <c r="R55" s="314"/>
      <c r="S55" s="42">
        <f>'Données normes'!D150</f>
        <v>19.100000000000001</v>
      </c>
      <c r="T55" s="148">
        <f>S55*Q55</f>
        <v>191</v>
      </c>
      <c r="U55" s="733"/>
      <c r="V55" s="1502"/>
      <c r="W55" s="144" t="s">
        <v>308</v>
      </c>
      <c r="X55" s="562">
        <v>10</v>
      </c>
      <c r="Y55" s="314"/>
      <c r="Z55" s="42">
        <f>'Données normes'!D150</f>
        <v>19.100000000000001</v>
      </c>
      <c r="AA55" s="148">
        <f>Z55*X55</f>
        <v>191</v>
      </c>
      <c r="AB55" s="733"/>
      <c r="AC55" s="1502"/>
      <c r="AD55" s="144" t="s">
        <v>308</v>
      </c>
      <c r="AE55" s="562">
        <v>10</v>
      </c>
      <c r="AF55" s="314"/>
      <c r="AG55" s="42">
        <f>'Données normes'!D150</f>
        <v>19.100000000000001</v>
      </c>
      <c r="AH55" s="148">
        <f>AG55*AE55</f>
        <v>191</v>
      </c>
      <c r="AI55" s="733"/>
      <c r="AJ55" s="1502"/>
      <c r="AK55" s="144" t="s">
        <v>308</v>
      </c>
      <c r="AL55" s="562">
        <v>10</v>
      </c>
      <c r="AM55" s="314"/>
      <c r="AN55" s="42">
        <f>'Données normes'!D150</f>
        <v>19.100000000000001</v>
      </c>
      <c r="AO55" s="148">
        <f>AN55*AL55</f>
        <v>191</v>
      </c>
      <c r="AP55" s="733"/>
      <c r="AQ55" s="1502"/>
      <c r="AR55" s="144" t="s">
        <v>308</v>
      </c>
      <c r="AS55" s="562">
        <v>10</v>
      </c>
      <c r="AT55" s="314"/>
      <c r="AU55" s="42">
        <f>'Données normes'!D150</f>
        <v>19.100000000000001</v>
      </c>
      <c r="AV55" s="148">
        <f>AU55*AS55</f>
        <v>191</v>
      </c>
      <c r="AW55" s="733"/>
      <c r="AX55" s="1502"/>
      <c r="AY55" s="144" t="s">
        <v>308</v>
      </c>
      <c r="AZ55" s="562">
        <v>10</v>
      </c>
      <c r="BA55" s="314"/>
      <c r="BB55" s="42">
        <f>'Données normes'!D150</f>
        <v>19.100000000000001</v>
      </c>
      <c r="BC55" s="148">
        <f>BB55*AZ55</f>
        <v>191</v>
      </c>
      <c r="BD55" s="733"/>
      <c r="BE55" s="1502"/>
      <c r="BF55" s="144" t="s">
        <v>308</v>
      </c>
      <c r="BG55" s="562">
        <v>10</v>
      </c>
      <c r="BH55" s="314"/>
      <c r="BI55" s="42">
        <f>'Données normes'!D150</f>
        <v>19.100000000000001</v>
      </c>
      <c r="BJ55" s="148">
        <f>BI55*BG55</f>
        <v>191</v>
      </c>
      <c r="BK55" s="733"/>
      <c r="BL55" s="1502"/>
      <c r="BM55" s="144" t="s">
        <v>308</v>
      </c>
      <c r="BN55" s="562">
        <v>10</v>
      </c>
      <c r="BO55" s="314"/>
      <c r="BP55" s="42">
        <f>'Données normes'!D150</f>
        <v>19.100000000000001</v>
      </c>
      <c r="BQ55" s="148">
        <f>BP55*BN55</f>
        <v>191</v>
      </c>
      <c r="BR55" s="733"/>
      <c r="BS55" s="1502"/>
      <c r="BT55" s="144" t="s">
        <v>308</v>
      </c>
      <c r="BU55" s="562">
        <v>10</v>
      </c>
      <c r="BV55" s="314"/>
      <c r="BW55" s="42">
        <f>'Données normes'!D150</f>
        <v>19.100000000000001</v>
      </c>
      <c r="BX55" s="148">
        <f>BW55*BU55</f>
        <v>191</v>
      </c>
      <c r="BY55" s="733"/>
      <c r="BZ55" s="1502"/>
      <c r="CA55" s="144" t="s">
        <v>308</v>
      </c>
      <c r="CB55" s="562">
        <v>10</v>
      </c>
      <c r="CC55" s="314"/>
      <c r="CD55" s="42">
        <f>'Données normes'!D150</f>
        <v>19.100000000000001</v>
      </c>
      <c r="CE55" s="148">
        <f>CD55*CB55</f>
        <v>191</v>
      </c>
      <c r="CF55" s="733"/>
      <c r="CG55" s="1502"/>
      <c r="CH55" s="144" t="s">
        <v>308</v>
      </c>
      <c r="CI55" s="562">
        <v>10</v>
      </c>
      <c r="CJ55" s="314"/>
      <c r="CK55" s="42">
        <f>'Données normes'!D150</f>
        <v>19.100000000000001</v>
      </c>
      <c r="CL55" s="148">
        <f>CK55*CI55</f>
        <v>191</v>
      </c>
      <c r="CM55" s="733"/>
      <c r="CN55" s="1502"/>
      <c r="CO55" s="144" t="s">
        <v>308</v>
      </c>
      <c r="CP55" s="562">
        <v>10</v>
      </c>
      <c r="CQ55" s="314"/>
      <c r="CR55" s="42">
        <f>'Données normes'!D150</f>
        <v>19.100000000000001</v>
      </c>
      <c r="CS55" s="148">
        <f>CR55*CP55</f>
        <v>191</v>
      </c>
      <c r="CT55" s="733"/>
      <c r="CU55" s="1502"/>
      <c r="CV55" s="144" t="s">
        <v>308</v>
      </c>
      <c r="CW55" s="562">
        <v>10</v>
      </c>
      <c r="CX55" s="314"/>
      <c r="CY55" s="42">
        <f>'Données normes'!D150</f>
        <v>19.100000000000001</v>
      </c>
      <c r="CZ55" s="148">
        <f>CY55*CW55</f>
        <v>191</v>
      </c>
      <c r="DA55" s="733"/>
    </row>
    <row r="56" spans="1:105" s="1" customFormat="1" ht="13" thickBot="1" x14ac:dyDescent="0.3">
      <c r="A56" s="752"/>
      <c r="B56" s="39" t="str">
        <f>'Données normes'!$B$140</f>
        <v>Divers petits appareils</v>
      </c>
      <c r="C56" s="41"/>
      <c r="D56" s="41"/>
      <c r="E56" s="42"/>
      <c r="F56" s="582">
        <f>'Données normes'!D140</f>
        <v>350</v>
      </c>
      <c r="G56" s="733">
        <f t="shared" si="23"/>
        <v>2.9860194953471409E-2</v>
      </c>
      <c r="H56" s="752"/>
      <c r="I56" s="39" t="str">
        <f>'Données normes'!$B$140</f>
        <v>Divers petits appareils</v>
      </c>
      <c r="J56" s="41"/>
      <c r="K56" s="41"/>
      <c r="L56" s="42"/>
      <c r="M56" s="582">
        <f>'Données normes'!D140</f>
        <v>350</v>
      </c>
      <c r="N56" s="733">
        <f t="shared" si="24"/>
        <v>2.5169313495448389E-2</v>
      </c>
      <c r="O56" s="752"/>
      <c r="P56" s="39" t="str">
        <f>'Données normes'!$B$140</f>
        <v>Divers petits appareils</v>
      </c>
      <c r="Q56" s="41"/>
      <c r="R56" s="41"/>
      <c r="S56" s="42"/>
      <c r="T56" s="582">
        <f>'Données normes'!D140</f>
        <v>350</v>
      </c>
      <c r="U56" s="733">
        <f t="shared" si="25"/>
        <v>1.3340352352732385E-2</v>
      </c>
      <c r="V56" s="752"/>
      <c r="W56" s="39" t="str">
        <f>'Données normes'!$B$140</f>
        <v>Divers petits appareils</v>
      </c>
      <c r="X56" s="41"/>
      <c r="Y56" s="41"/>
      <c r="Z56" s="42"/>
      <c r="AA56" s="582">
        <f>'Données normes'!D140</f>
        <v>350</v>
      </c>
      <c r="AB56" s="733">
        <f t="shared" si="26"/>
        <v>1.2270459278965995E-2</v>
      </c>
      <c r="AC56" s="752"/>
      <c r="AD56" s="39" t="str">
        <f>'Données normes'!$B$140</f>
        <v>Divers petits appareils</v>
      </c>
      <c r="AE56" s="41"/>
      <c r="AF56" s="41"/>
      <c r="AG56" s="42"/>
      <c r="AH56" s="582">
        <f>'Données normes'!D140</f>
        <v>350</v>
      </c>
      <c r="AI56" s="733">
        <f t="shared" si="27"/>
        <v>1.1230295678560282E-2</v>
      </c>
      <c r="AJ56" s="752"/>
      <c r="AK56" s="39" t="str">
        <f>'Données normes'!$B$140</f>
        <v>Divers petits appareils</v>
      </c>
      <c r="AL56" s="41"/>
      <c r="AM56" s="41"/>
      <c r="AN56" s="42"/>
      <c r="AO56" s="582">
        <f>'Données normes'!D140</f>
        <v>350</v>
      </c>
      <c r="AP56" s="733">
        <f t="shared" si="13"/>
        <v>1.0381849070617157E-2</v>
      </c>
      <c r="AQ56" s="752"/>
      <c r="AR56" s="39" t="str">
        <f>'Données normes'!$B$140</f>
        <v>Divers petits appareils</v>
      </c>
      <c r="AS56" s="41"/>
      <c r="AT56" s="41"/>
      <c r="AU56" s="42"/>
      <c r="AV56" s="582">
        <f>'Données normes'!D140</f>
        <v>350</v>
      </c>
      <c r="AW56" s="733">
        <f t="shared" si="14"/>
        <v>1.0417782997821751E-2</v>
      </c>
      <c r="AX56" s="752"/>
      <c r="AY56" s="39" t="str">
        <f>'Données normes'!$B$140</f>
        <v>Divers petits appareils</v>
      </c>
      <c r="AZ56" s="41"/>
      <c r="BA56" s="41"/>
      <c r="BB56" s="42"/>
      <c r="BC56" s="582">
        <f>'Données normes'!D140</f>
        <v>350</v>
      </c>
      <c r="BD56" s="733">
        <f t="shared" si="15"/>
        <v>1.0454511206518564E-2</v>
      </c>
      <c r="BE56" s="752"/>
      <c r="BF56" s="39" t="str">
        <f>'Données normes'!$B$140</f>
        <v>Divers petits appareils</v>
      </c>
      <c r="BG56" s="41"/>
      <c r="BH56" s="41"/>
      <c r="BI56" s="42"/>
      <c r="BJ56" s="582">
        <f>'Données normes'!D140</f>
        <v>350</v>
      </c>
      <c r="BK56" s="733">
        <f t="shared" si="16"/>
        <v>1.049205611825779E-2</v>
      </c>
      <c r="BL56" s="752"/>
      <c r="BM56" s="39" t="str">
        <f>'Données normes'!$B$140</f>
        <v>Divers petits appareils</v>
      </c>
      <c r="BN56" s="41"/>
      <c r="BO56" s="41"/>
      <c r="BP56" s="42"/>
      <c r="BQ56" s="582">
        <f>'Données normes'!D140</f>
        <v>350</v>
      </c>
      <c r="BR56" s="733">
        <f t="shared" si="17"/>
        <v>1.0530440977799833E-2</v>
      </c>
      <c r="BS56" s="752"/>
      <c r="BT56" s="39" t="str">
        <f>'Données normes'!$B$140</f>
        <v>Divers petits appareils</v>
      </c>
      <c r="BU56" s="41"/>
      <c r="BV56" s="41"/>
      <c r="BW56" s="42"/>
      <c r="BX56" s="582">
        <f>'Données normes'!D140</f>
        <v>350</v>
      </c>
      <c r="BY56" s="733">
        <f t="shared" si="18"/>
        <v>1.0562477013754611E-2</v>
      </c>
      <c r="BZ56" s="752"/>
      <c r="CA56" s="39" t="str">
        <f>'Données normes'!$B$140</f>
        <v>Divers petits appareils</v>
      </c>
      <c r="CB56" s="41"/>
      <c r="CC56" s="41"/>
      <c r="CD56" s="42"/>
      <c r="CE56" s="582">
        <f>'Données normes'!D140</f>
        <v>350</v>
      </c>
      <c r="CF56" s="733">
        <f t="shared" si="19"/>
        <v>1.0595193537388768E-2</v>
      </c>
      <c r="CG56" s="752"/>
      <c r="CH56" s="39" t="str">
        <f>'Données normes'!$B$140</f>
        <v>Divers petits appareils</v>
      </c>
      <c r="CI56" s="41"/>
      <c r="CJ56" s="41"/>
      <c r="CK56" s="42"/>
      <c r="CL56" s="582">
        <f>'Données normes'!D140</f>
        <v>350</v>
      </c>
      <c r="CM56" s="733">
        <f t="shared" si="20"/>
        <v>1.0628608719721757E-2</v>
      </c>
      <c r="CN56" s="752"/>
      <c r="CO56" s="39" t="str">
        <f>'Données normes'!$B$140</f>
        <v>Divers petits appareils</v>
      </c>
      <c r="CP56" s="41"/>
      <c r="CQ56" s="41"/>
      <c r="CR56" s="42"/>
      <c r="CS56" s="582">
        <f>'Données normes'!D140</f>
        <v>350</v>
      </c>
      <c r="CT56" s="733">
        <f t="shared" si="21"/>
        <v>1.0655400966760716E-2</v>
      </c>
      <c r="CU56" s="752"/>
      <c r="CV56" s="39" t="str">
        <f>'Données normes'!$B$140</f>
        <v>Divers petits appareils</v>
      </c>
      <c r="CW56" s="41"/>
      <c r="CX56" s="41"/>
      <c r="CY56" s="42"/>
      <c r="CZ56" s="582">
        <f>'Données normes'!D140</f>
        <v>350</v>
      </c>
      <c r="DA56" s="733">
        <f t="shared" si="22"/>
        <v>8.9142109650360776E-3</v>
      </c>
    </row>
    <row r="57" spans="1:105" s="1" customFormat="1" ht="13" x14ac:dyDescent="0.3">
      <c r="A57" s="616"/>
      <c r="B57" s="4"/>
      <c r="C57" s="33"/>
      <c r="D57" s="33"/>
      <c r="E57" s="45"/>
      <c r="F57" s="52">
        <f>SUM(F52:F56)</f>
        <v>2441.1999999999998</v>
      </c>
      <c r="G57" s="730">
        <f t="shared" si="23"/>
        <v>0.20827059405832685</v>
      </c>
      <c r="H57" s="616"/>
      <c r="I57" s="4"/>
      <c r="J57" s="33"/>
      <c r="K57" s="33"/>
      <c r="L57" s="45"/>
      <c r="M57" s="52">
        <f>SUM(M52:M56)</f>
        <v>2671.3221590909088</v>
      </c>
      <c r="N57" s="730">
        <f t="shared" si="24"/>
        <v>0.19210098534142042</v>
      </c>
      <c r="O57" s="616"/>
      <c r="P57" s="4"/>
      <c r="Q57" s="33"/>
      <c r="R57" s="33"/>
      <c r="S57" s="45"/>
      <c r="T57" s="52">
        <f>SUM(T52:T56)</f>
        <v>5076.039772727273</v>
      </c>
      <c r="U57" s="730">
        <f t="shared" si="25"/>
        <v>0.19347474035618697</v>
      </c>
      <c r="V57" s="616"/>
      <c r="W57" s="4"/>
      <c r="X57" s="33"/>
      <c r="Y57" s="33"/>
      <c r="Z57" s="45"/>
      <c r="AA57" s="52">
        <f>SUM(AA52:AA56)</f>
        <v>5549.0107954545456</v>
      </c>
      <c r="AB57" s="730">
        <f t="shared" si="26"/>
        <v>0.19453974572619345</v>
      </c>
      <c r="AC57" s="616"/>
      <c r="AD57" s="4"/>
      <c r="AE57" s="33"/>
      <c r="AF57" s="33"/>
      <c r="AG57" s="45"/>
      <c r="AH57" s="52">
        <f>SUM(AH52:AH56)</f>
        <v>5891.2551136363636</v>
      </c>
      <c r="AI57" s="730">
        <f t="shared" si="27"/>
        <v>0.18903010526847605</v>
      </c>
      <c r="AJ57" s="616"/>
      <c r="AK57" s="4"/>
      <c r="AL57" s="33"/>
      <c r="AM57" s="33"/>
      <c r="AN57" s="45"/>
      <c r="AO57" s="52">
        <f>SUM(AO52:AO56)</f>
        <v>6233.4994318181816</v>
      </c>
      <c r="AP57" s="730">
        <f t="shared" si="13"/>
        <v>0.18490071509404046</v>
      </c>
      <c r="AQ57" s="616"/>
      <c r="AR57" s="4"/>
      <c r="AS57" s="33"/>
      <c r="AT57" s="33"/>
      <c r="AU57" s="45"/>
      <c r="AV57" s="52">
        <f>SUM(AV52:AV56)</f>
        <v>6233.4994318181816</v>
      </c>
      <c r="AW57" s="730">
        <f t="shared" si="14"/>
        <v>0.18554069827921998</v>
      </c>
      <c r="AX57" s="616"/>
      <c r="AY57" s="4"/>
      <c r="AZ57" s="33"/>
      <c r="BA57" s="33"/>
      <c r="BB57" s="45"/>
      <c r="BC57" s="52">
        <f>SUM(BC52:BC56)</f>
        <v>6233.4994318181816</v>
      </c>
      <c r="BD57" s="730">
        <f t="shared" si="15"/>
        <v>0.18619482761648654</v>
      </c>
      <c r="BE57" s="616"/>
      <c r="BF57" s="4"/>
      <c r="BG57" s="33"/>
      <c r="BH57" s="33"/>
      <c r="BI57" s="45"/>
      <c r="BJ57" s="52">
        <f>SUM(BJ52:BJ56)</f>
        <v>6233.4994318181816</v>
      </c>
      <c r="BK57" s="730">
        <f t="shared" si="16"/>
        <v>0.1868635024336126</v>
      </c>
      <c r="BL57" s="616"/>
      <c r="BM57" s="4"/>
      <c r="BN57" s="33"/>
      <c r="BO57" s="33"/>
      <c r="BP57" s="45"/>
      <c r="BQ57" s="52">
        <f>SUM(BQ52:BQ56)</f>
        <v>6233.4994318181816</v>
      </c>
      <c r="BR57" s="730">
        <f t="shared" si="17"/>
        <v>0.1875471367197433</v>
      </c>
      <c r="BS57" s="616"/>
      <c r="BT57" s="4"/>
      <c r="BU57" s="33"/>
      <c r="BV57" s="33"/>
      <c r="BW57" s="45"/>
      <c r="BX57" s="52">
        <f>SUM(BX52:BX56)</f>
        <v>6233.4994318181816</v>
      </c>
      <c r="BY57" s="730">
        <f t="shared" si="18"/>
        <v>0.18811769846809134</v>
      </c>
      <c r="BZ57" s="616"/>
      <c r="CA57" s="4"/>
      <c r="CB57" s="33"/>
      <c r="CC57" s="33"/>
      <c r="CD57" s="45"/>
      <c r="CE57" s="52">
        <f>SUM(CE52:CE56)</f>
        <v>6233.4994318181816</v>
      </c>
      <c r="CF57" s="730">
        <f t="shared" si="19"/>
        <v>0.18870037970090445</v>
      </c>
      <c r="CG57" s="616"/>
      <c r="CH57" s="4"/>
      <c r="CI57" s="33"/>
      <c r="CJ57" s="33"/>
      <c r="CK57" s="45"/>
      <c r="CL57" s="52">
        <f>SUM(CL52:CL56)</f>
        <v>6233.4994318181816</v>
      </c>
      <c r="CM57" s="730">
        <f t="shared" si="20"/>
        <v>0.18929550404400955</v>
      </c>
      <c r="CN57" s="616"/>
      <c r="CO57" s="4"/>
      <c r="CP57" s="33"/>
      <c r="CQ57" s="33"/>
      <c r="CR57" s="45"/>
      <c r="CS57" s="52">
        <f>SUM(CS52:CS56)</f>
        <v>6233.4994318181816</v>
      </c>
      <c r="CT57" s="730">
        <f t="shared" si="21"/>
        <v>0.18977267392027949</v>
      </c>
      <c r="CU57" s="616"/>
      <c r="CV57" s="4"/>
      <c r="CW57" s="33"/>
      <c r="CX57" s="33"/>
      <c r="CY57" s="45"/>
      <c r="CZ57" s="52">
        <f>SUM(CZ52:CZ56)</f>
        <v>6233.4994318181816</v>
      </c>
      <c r="DA57" s="730">
        <f t="shared" si="22"/>
        <v>0.15876208281617082</v>
      </c>
    </row>
    <row r="58" spans="1:105" s="13" customFormat="1" ht="19.5" customHeight="1" x14ac:dyDescent="0.25">
      <c r="B58" s="28"/>
      <c r="C58" s="41"/>
      <c r="D58" s="117" t="s">
        <v>309</v>
      </c>
      <c r="E58" s="300" t="s">
        <v>52</v>
      </c>
      <c r="F58" s="298" t="s">
        <v>53</v>
      </c>
      <c r="G58" s="734"/>
      <c r="I58" s="28"/>
      <c r="J58" s="41"/>
      <c r="K58" s="117" t="s">
        <v>309</v>
      </c>
      <c r="L58" s="300" t="s">
        <v>52</v>
      </c>
      <c r="M58" s="298" t="s">
        <v>53</v>
      </c>
      <c r="N58" s="734"/>
      <c r="P58" s="28"/>
      <c r="Q58" s="41"/>
      <c r="R58" s="117" t="s">
        <v>309</v>
      </c>
      <c r="S58" s="300" t="s">
        <v>52</v>
      </c>
      <c r="T58" s="298" t="s">
        <v>53</v>
      </c>
      <c r="U58" s="734"/>
      <c r="W58" s="28"/>
      <c r="X58" s="41"/>
      <c r="Y58" s="117" t="s">
        <v>309</v>
      </c>
      <c r="Z58" s="300" t="s">
        <v>52</v>
      </c>
      <c r="AA58" s="298" t="s">
        <v>53</v>
      </c>
      <c r="AB58" s="734"/>
      <c r="AD58" s="28"/>
      <c r="AE58" s="41"/>
      <c r="AF58" s="117" t="s">
        <v>309</v>
      </c>
      <c r="AG58" s="300" t="s">
        <v>52</v>
      </c>
      <c r="AH58" s="298" t="s">
        <v>53</v>
      </c>
      <c r="AI58" s="734"/>
      <c r="AK58" s="28"/>
      <c r="AL58" s="41"/>
      <c r="AM58" s="117" t="s">
        <v>309</v>
      </c>
      <c r="AN58" s="300" t="s">
        <v>52</v>
      </c>
      <c r="AO58" s="298" t="s">
        <v>53</v>
      </c>
      <c r="AP58" s="734"/>
      <c r="AR58" s="28"/>
      <c r="AS58" s="41"/>
      <c r="AT58" s="117" t="s">
        <v>309</v>
      </c>
      <c r="AU58" s="300" t="s">
        <v>52</v>
      </c>
      <c r="AV58" s="298" t="s">
        <v>53</v>
      </c>
      <c r="AW58" s="734"/>
      <c r="AY58" s="28"/>
      <c r="AZ58" s="41"/>
      <c r="BA58" s="117" t="s">
        <v>309</v>
      </c>
      <c r="BB58" s="300" t="s">
        <v>52</v>
      </c>
      <c r="BC58" s="298" t="s">
        <v>53</v>
      </c>
      <c r="BD58" s="734"/>
      <c r="BF58" s="28"/>
      <c r="BG58" s="41"/>
      <c r="BH58" s="117" t="s">
        <v>309</v>
      </c>
      <c r="BI58" s="300" t="s">
        <v>52</v>
      </c>
      <c r="BJ58" s="298" t="s">
        <v>53</v>
      </c>
      <c r="BK58" s="734"/>
      <c r="BM58" s="28"/>
      <c r="BN58" s="41"/>
      <c r="BO58" s="117" t="s">
        <v>309</v>
      </c>
      <c r="BP58" s="300" t="s">
        <v>52</v>
      </c>
      <c r="BQ58" s="298" t="s">
        <v>53</v>
      </c>
      <c r="BR58" s="734"/>
      <c r="BT58" s="28"/>
      <c r="BU58" s="41"/>
      <c r="BV58" s="117" t="s">
        <v>309</v>
      </c>
      <c r="BW58" s="300" t="s">
        <v>52</v>
      </c>
      <c r="BX58" s="298" t="s">
        <v>53</v>
      </c>
      <c r="BY58" s="734"/>
      <c r="CA58" s="28"/>
      <c r="CB58" s="41"/>
      <c r="CC58" s="117" t="s">
        <v>309</v>
      </c>
      <c r="CD58" s="300" t="s">
        <v>52</v>
      </c>
      <c r="CE58" s="298" t="s">
        <v>53</v>
      </c>
      <c r="CF58" s="734"/>
      <c r="CH58" s="28"/>
      <c r="CI58" s="41"/>
      <c r="CJ58" s="117" t="s">
        <v>309</v>
      </c>
      <c r="CK58" s="300" t="s">
        <v>52</v>
      </c>
      <c r="CL58" s="298" t="s">
        <v>53</v>
      </c>
      <c r="CM58" s="734"/>
      <c r="CO58" s="28"/>
      <c r="CP58" s="41"/>
      <c r="CQ58" s="117" t="s">
        <v>309</v>
      </c>
      <c r="CR58" s="300" t="s">
        <v>52</v>
      </c>
      <c r="CS58" s="298" t="s">
        <v>53</v>
      </c>
      <c r="CT58" s="734"/>
      <c r="CV58" s="28"/>
      <c r="CW58" s="41"/>
      <c r="CX58" s="117" t="s">
        <v>309</v>
      </c>
      <c r="CY58" s="300" t="s">
        <v>52</v>
      </c>
      <c r="CZ58" s="298" t="s">
        <v>53</v>
      </c>
      <c r="DA58" s="734"/>
    </row>
    <row r="59" spans="1:105" s="18" customFormat="1" ht="15.75" customHeight="1" x14ac:dyDescent="0.3">
      <c r="A59" s="38" t="s">
        <v>375</v>
      </c>
      <c r="B59" s="39" t="s">
        <v>353</v>
      </c>
      <c r="C59" s="41"/>
      <c r="D59" s="360">
        <f>C46*D46</f>
        <v>0</v>
      </c>
      <c r="E59" s="42">
        <f>'Données normes'!$C$36</f>
        <v>29.5</v>
      </c>
      <c r="F59" s="43">
        <f>D59*E59</f>
        <v>0</v>
      </c>
      <c r="G59" s="733">
        <f t="shared" ref="G59:G66" si="28">F59/$F$76</f>
        <v>0</v>
      </c>
      <c r="H59" s="38" t="s">
        <v>375</v>
      </c>
      <c r="I59" s="39" t="s">
        <v>353</v>
      </c>
      <c r="J59" s="41"/>
      <c r="K59" s="360">
        <f>J46*K46</f>
        <v>1</v>
      </c>
      <c r="L59" s="42">
        <f>'Données normes'!$C$36</f>
        <v>29.5</v>
      </c>
      <c r="M59" s="43">
        <f>K59*L59</f>
        <v>29.5</v>
      </c>
      <c r="N59" s="733">
        <f>M59/$M$76</f>
        <v>2.1214135660449357E-3</v>
      </c>
      <c r="O59" s="38" t="s">
        <v>375</v>
      </c>
      <c r="P59" s="39" t="s">
        <v>353</v>
      </c>
      <c r="Q59" s="41"/>
      <c r="R59" s="360">
        <f>Q46*R46</f>
        <v>2</v>
      </c>
      <c r="S59" s="42">
        <f>'Données normes'!$C$36</f>
        <v>29.5</v>
      </c>
      <c r="T59" s="43">
        <f>R59*S59</f>
        <v>59</v>
      </c>
      <c r="U59" s="733">
        <f>T59/$T$76</f>
        <v>2.2488022537463163E-3</v>
      </c>
      <c r="V59" s="38" t="s">
        <v>375</v>
      </c>
      <c r="W59" s="39" t="s">
        <v>353</v>
      </c>
      <c r="X59" s="41"/>
      <c r="Y59" s="360">
        <f>X46*Y46</f>
        <v>2</v>
      </c>
      <c r="Z59" s="42">
        <f>'Données normes'!$C$36</f>
        <v>29.5</v>
      </c>
      <c r="AA59" s="43">
        <f t="shared" ref="AA59:AA69" si="29">Y59*Z59</f>
        <v>59</v>
      </c>
      <c r="AB59" s="733">
        <f>AA59/$AA$76</f>
        <v>2.0684488498828391E-3</v>
      </c>
      <c r="AC59" s="38" t="s">
        <v>375</v>
      </c>
      <c r="AD59" s="39" t="s">
        <v>353</v>
      </c>
      <c r="AE59" s="41"/>
      <c r="AF59" s="360">
        <f>AE46*AF46</f>
        <v>2</v>
      </c>
      <c r="AG59" s="42">
        <f>'Données normes'!$C$36</f>
        <v>29.5</v>
      </c>
      <c r="AH59" s="43">
        <f t="shared" ref="AH59:AH69" si="30">AF59*AG59</f>
        <v>59</v>
      </c>
      <c r="AI59" s="733">
        <f>AH59/$AH$76</f>
        <v>1.8931069858144475E-3</v>
      </c>
      <c r="AJ59" s="38" t="s">
        <v>375</v>
      </c>
      <c r="AK59" s="39" t="s">
        <v>353</v>
      </c>
      <c r="AL59" s="41"/>
      <c r="AM59" s="360">
        <f>AL46*AM46</f>
        <v>2</v>
      </c>
      <c r="AN59" s="42">
        <f>'Données normes'!$C$36</f>
        <v>29.5</v>
      </c>
      <c r="AO59" s="43">
        <f t="shared" ref="AO59:AO69" si="31">AM59*AN59</f>
        <v>59</v>
      </c>
      <c r="AP59" s="733">
        <f>AO59/$AO$76</f>
        <v>1.7500831290468922E-3</v>
      </c>
      <c r="AQ59" s="38" t="s">
        <v>375</v>
      </c>
      <c r="AR59" s="39" t="s">
        <v>353</v>
      </c>
      <c r="AS59" s="41"/>
      <c r="AT59" s="360">
        <f>AS46*AT46</f>
        <v>2</v>
      </c>
      <c r="AU59" s="42">
        <f>'Données normes'!$C$36</f>
        <v>29.5</v>
      </c>
      <c r="AV59" s="43">
        <f t="shared" ref="AV59:AV69" si="32">AT59*AU59</f>
        <v>59</v>
      </c>
      <c r="AW59" s="733">
        <f>AV59/$AV$76</f>
        <v>1.7561405624899522E-3</v>
      </c>
      <c r="AX59" s="38" t="s">
        <v>375</v>
      </c>
      <c r="AY59" s="39" t="s">
        <v>353</v>
      </c>
      <c r="AZ59" s="41"/>
      <c r="BA59" s="360">
        <f>AZ46*BA46</f>
        <v>2</v>
      </c>
      <c r="BB59" s="42">
        <f>'Données normes'!$C$36</f>
        <v>29.5</v>
      </c>
      <c r="BC59" s="43">
        <f t="shared" ref="BC59:BC69" si="33">BA59*BB59</f>
        <v>59</v>
      </c>
      <c r="BD59" s="733">
        <f>BC59/$BC$76</f>
        <v>1.7623318890988438E-3</v>
      </c>
      <c r="BE59" s="38" t="s">
        <v>375</v>
      </c>
      <c r="BF59" s="39" t="s">
        <v>353</v>
      </c>
      <c r="BG59" s="41"/>
      <c r="BH59" s="360">
        <f>BG46*BH46</f>
        <v>2</v>
      </c>
      <c r="BI59" s="42">
        <f>'Données normes'!$C$36</f>
        <v>29.5</v>
      </c>
      <c r="BJ59" s="43">
        <f t="shared" ref="BJ59:BJ69" si="34">BH59*BI59</f>
        <v>59</v>
      </c>
      <c r="BK59" s="733">
        <f>BJ59/$BJ$76</f>
        <v>1.7686608885063133E-3</v>
      </c>
      <c r="BL59" s="38" t="s">
        <v>375</v>
      </c>
      <c r="BM59" s="39" t="s">
        <v>353</v>
      </c>
      <c r="BN59" s="41"/>
      <c r="BO59" s="360">
        <f>BN46*BO46</f>
        <v>2</v>
      </c>
      <c r="BP59" s="42">
        <f>'Données normes'!$C$36</f>
        <v>29.5</v>
      </c>
      <c r="BQ59" s="43">
        <f t="shared" ref="BQ59:BQ69" si="35">BO59*BP59</f>
        <v>59</v>
      </c>
      <c r="BR59" s="733">
        <f>BQ59/$BQ$76</f>
        <v>1.7751314791148291E-3</v>
      </c>
      <c r="BS59" s="38" t="s">
        <v>375</v>
      </c>
      <c r="BT59" s="39" t="s">
        <v>353</v>
      </c>
      <c r="BU59" s="41"/>
      <c r="BV59" s="360">
        <f>BU46*BV46</f>
        <v>2</v>
      </c>
      <c r="BW59" s="42">
        <f>'Données normes'!$C$36</f>
        <v>29.5</v>
      </c>
      <c r="BX59" s="43">
        <f t="shared" ref="BX59:BX69" si="36">BV59*BW59</f>
        <v>59</v>
      </c>
      <c r="BY59" s="733">
        <f>BX59/$BX$76</f>
        <v>1.7805318394614915E-3</v>
      </c>
      <c r="BZ59" s="38" t="s">
        <v>375</v>
      </c>
      <c r="CA59" s="39" t="s">
        <v>353</v>
      </c>
      <c r="CB59" s="41"/>
      <c r="CC59" s="360">
        <f>CB46*CC46</f>
        <v>2</v>
      </c>
      <c r="CD59" s="42">
        <f>'Données normes'!$C$36</f>
        <v>29.5</v>
      </c>
      <c r="CE59" s="43">
        <f t="shared" ref="CE59:CE69" si="37">CC59*CD59</f>
        <v>59</v>
      </c>
      <c r="CF59" s="733">
        <f>CE59/$CE$76</f>
        <v>1.7860469105883924E-3</v>
      </c>
      <c r="CG59" s="38" t="s">
        <v>375</v>
      </c>
      <c r="CH59" s="39" t="s">
        <v>353</v>
      </c>
      <c r="CI59" s="41"/>
      <c r="CJ59" s="360">
        <f>CI46*CJ46</f>
        <v>2</v>
      </c>
      <c r="CK59" s="42">
        <f>'Données normes'!$C$36</f>
        <v>29.5</v>
      </c>
      <c r="CL59" s="43">
        <f t="shared" ref="CL59:CL69" si="38">CJ59*CK59</f>
        <v>59</v>
      </c>
      <c r="CM59" s="733">
        <f>CL59/$CL$76</f>
        <v>1.7916797556102391E-3</v>
      </c>
      <c r="CN59" s="38" t="s">
        <v>375</v>
      </c>
      <c r="CO59" s="39" t="s">
        <v>353</v>
      </c>
      <c r="CP59" s="41"/>
      <c r="CQ59" s="360">
        <f>CP46*CQ46</f>
        <v>2</v>
      </c>
      <c r="CR59" s="42">
        <f>'Données normes'!$C$36</f>
        <v>29.5</v>
      </c>
      <c r="CS59" s="43">
        <f t="shared" ref="CS59:CS69" si="39">CQ59*CR59</f>
        <v>59</v>
      </c>
      <c r="CT59" s="733">
        <f>CS59/$CS$76</f>
        <v>1.7961961629682349E-3</v>
      </c>
      <c r="CU59" s="38" t="s">
        <v>375</v>
      </c>
      <c r="CV59" s="39" t="s">
        <v>353</v>
      </c>
      <c r="CW59" s="41"/>
      <c r="CX59" s="360">
        <f>CW46*CX46</f>
        <v>2</v>
      </c>
      <c r="CY59" s="42">
        <f>'Données normes'!$C$36</f>
        <v>29.5</v>
      </c>
      <c r="CZ59" s="43">
        <f t="shared" ref="CZ59:CZ69" si="40">CX59*CY59</f>
        <v>59</v>
      </c>
      <c r="DA59" s="733">
        <f>CZ59/$CZ$76</f>
        <v>1.5026812769632243E-3</v>
      </c>
    </row>
    <row r="60" spans="1:105" s="1" customFormat="1" ht="13" x14ac:dyDescent="0.3">
      <c r="A60" s="245"/>
      <c r="B60" s="39" t="s">
        <v>453</v>
      </c>
      <c r="C60" s="18"/>
      <c r="D60" s="37">
        <f>((C44*D44)+(C45*D45))+'Données normes'!$B$93+'Données normes'!$C$93</f>
        <v>23</v>
      </c>
      <c r="E60" s="42">
        <f>'Données normes'!$C$36</f>
        <v>29.5</v>
      </c>
      <c r="F60" s="43">
        <f t="shared" ref="F60:F69" si="41">D60*E60</f>
        <v>678.5</v>
      </c>
      <c r="G60" s="733">
        <f t="shared" si="28"/>
        <v>5.7886120788372429E-2</v>
      </c>
      <c r="H60" s="245"/>
      <c r="I60" s="39" t="s">
        <v>453</v>
      </c>
      <c r="J60" s="18"/>
      <c r="K60" s="37">
        <f>((J44*K44)+(J45*K45))+'Données normes'!$B$93+'Données normes'!$C$93</f>
        <v>23</v>
      </c>
      <c r="L60" s="42">
        <f>'Données normes'!$C$36</f>
        <v>29.5</v>
      </c>
      <c r="M60" s="43">
        <f t="shared" ref="M60:M69" si="42">K60*L60</f>
        <v>678.5</v>
      </c>
      <c r="N60" s="733">
        <f>M60/$M$76</f>
        <v>4.8792512019033521E-2</v>
      </c>
      <c r="O60" s="245"/>
      <c r="P60" s="39" t="s">
        <v>453</v>
      </c>
      <c r="Q60" s="18"/>
      <c r="R60" s="37">
        <f>((Q44*R44)+(Q45*R45))+'Données normes'!$B$93+'Données normes'!$C$93</f>
        <v>43</v>
      </c>
      <c r="S60" s="42">
        <f>'Données normes'!$C$36</f>
        <v>29.5</v>
      </c>
      <c r="T60" s="43">
        <f t="shared" ref="T60:T69" si="43">R60*S60</f>
        <v>1268.5</v>
      </c>
      <c r="U60" s="733">
        <f>T60/$T$76</f>
        <v>4.83492484555458E-2</v>
      </c>
      <c r="V60" s="245"/>
      <c r="W60" s="39" t="s">
        <v>453</v>
      </c>
      <c r="X60" s="18"/>
      <c r="Y60" s="37">
        <f>((X44*Y44)+(X45*Y45))+'Données normes'!$B$93+'Données normes'!$C$93</f>
        <v>43</v>
      </c>
      <c r="Z60" s="42">
        <f>'Données normes'!$C$36</f>
        <v>29.5</v>
      </c>
      <c r="AA60" s="43">
        <f t="shared" si="29"/>
        <v>1268.5</v>
      </c>
      <c r="AB60" s="733">
        <f>AA60/$AA$76</f>
        <v>4.4471650272481039E-2</v>
      </c>
      <c r="AC60" s="245"/>
      <c r="AD60" s="39" t="s">
        <v>453</v>
      </c>
      <c r="AE60" s="18"/>
      <c r="AF60" s="37">
        <f>((AE44*AF44)+(AE45*AF45))+'Données normes'!$B$93+'Données normes'!$C$93</f>
        <v>43</v>
      </c>
      <c r="AG60" s="42">
        <f>'Données normes'!$C$36</f>
        <v>29.5</v>
      </c>
      <c r="AH60" s="43">
        <f t="shared" si="30"/>
        <v>1268.5</v>
      </c>
      <c r="AI60" s="733">
        <f>AH60/$AH$76</f>
        <v>4.0701800195010622E-2</v>
      </c>
      <c r="AJ60" s="245"/>
      <c r="AK60" s="39" t="s">
        <v>453</v>
      </c>
      <c r="AL60" s="18"/>
      <c r="AM60" s="37">
        <f>((AL44*AM44)+(AL45*AM45))+'Données normes'!$B$93+'Données normes'!$C$93</f>
        <v>43</v>
      </c>
      <c r="AN60" s="42">
        <f>'Données normes'!$C$36</f>
        <v>29.5</v>
      </c>
      <c r="AO60" s="43">
        <f t="shared" si="31"/>
        <v>1268.5</v>
      </c>
      <c r="AP60" s="733">
        <f>AO60/$AO$76</f>
        <v>3.7626787274508182E-2</v>
      </c>
      <c r="AQ60" s="245"/>
      <c r="AR60" s="39" t="s">
        <v>453</v>
      </c>
      <c r="AS60" s="18"/>
      <c r="AT60" s="37">
        <f>((AS44*AT44)+(AS45*AT45))+'Données normes'!$B$93+'Données normes'!$C$93</f>
        <v>43</v>
      </c>
      <c r="AU60" s="42">
        <f>'Données normes'!$C$36</f>
        <v>29.5</v>
      </c>
      <c r="AV60" s="43">
        <f t="shared" si="32"/>
        <v>1268.5</v>
      </c>
      <c r="AW60" s="733">
        <f>AV60/$AV$76</f>
        <v>3.7757022093533973E-2</v>
      </c>
      <c r="AX60" s="245"/>
      <c r="AY60" s="39" t="s">
        <v>453</v>
      </c>
      <c r="AZ60" s="18"/>
      <c r="BA60" s="37">
        <f>((AZ44*BA44)+(AZ45*BA45))+'Données normes'!$B$93+'Données normes'!$C$93</f>
        <v>43</v>
      </c>
      <c r="BB60" s="42">
        <f>'Données normes'!$C$36</f>
        <v>29.5</v>
      </c>
      <c r="BC60" s="43">
        <f t="shared" si="33"/>
        <v>1268.5</v>
      </c>
      <c r="BD60" s="733">
        <f>BC60/$BC$76</f>
        <v>3.789013561562514E-2</v>
      </c>
      <c r="BE60" s="245"/>
      <c r="BF60" s="39" t="s">
        <v>453</v>
      </c>
      <c r="BG60" s="18"/>
      <c r="BH60" s="37">
        <f>((BG44*BH44)+(BG45*BH45))+'Données normes'!$B$93+'Données normes'!$C$93</f>
        <v>43</v>
      </c>
      <c r="BI60" s="42">
        <f>'Données normes'!$C$36</f>
        <v>29.5</v>
      </c>
      <c r="BJ60" s="43">
        <f t="shared" si="34"/>
        <v>1268.5</v>
      </c>
      <c r="BK60" s="733">
        <f>BJ60/$BJ$76</f>
        <v>3.8026209102885733E-2</v>
      </c>
      <c r="BL60" s="245"/>
      <c r="BM60" s="39" t="s">
        <v>453</v>
      </c>
      <c r="BN60" s="18"/>
      <c r="BO60" s="37">
        <f>((BN44*BO44)+(BN45*BO45))+'Données normes'!$B$93+'Données normes'!$C$93</f>
        <v>43</v>
      </c>
      <c r="BP60" s="42">
        <f>'Données normes'!$C$36</f>
        <v>29.5</v>
      </c>
      <c r="BQ60" s="43">
        <f t="shared" si="35"/>
        <v>1268.5</v>
      </c>
      <c r="BR60" s="733">
        <f>BQ60/$BQ$76</f>
        <v>3.8165326800968825E-2</v>
      </c>
      <c r="BS60" s="245"/>
      <c r="BT60" s="39" t="s">
        <v>453</v>
      </c>
      <c r="BU60" s="18"/>
      <c r="BV60" s="37">
        <f>((BU44*BV44)+(BU45*BV45))+'Données normes'!$B$93+'Données normes'!$C$93</f>
        <v>43</v>
      </c>
      <c r="BW60" s="42">
        <f>'Données normes'!$C$36</f>
        <v>29.5</v>
      </c>
      <c r="BX60" s="43">
        <f t="shared" si="36"/>
        <v>1268.5</v>
      </c>
      <c r="BY60" s="733">
        <f>BX60/$BX$76</f>
        <v>3.8281434548422068E-2</v>
      </c>
      <c r="BZ60" s="245"/>
      <c r="CA60" s="39" t="s">
        <v>453</v>
      </c>
      <c r="CB60" s="18"/>
      <c r="CC60" s="37">
        <f>((CB44*CC44)+(CB45*CC45))+'Données normes'!$B$93+'Données normes'!$C$93</f>
        <v>43</v>
      </c>
      <c r="CD60" s="42">
        <f>'Données normes'!$C$36</f>
        <v>29.5</v>
      </c>
      <c r="CE60" s="43">
        <f t="shared" si="37"/>
        <v>1268.5</v>
      </c>
      <c r="CF60" s="733">
        <f>CE60/$CE$76</f>
        <v>3.8400008577650434E-2</v>
      </c>
      <c r="CG60" s="245"/>
      <c r="CH60" s="39" t="s">
        <v>453</v>
      </c>
      <c r="CI60" s="18"/>
      <c r="CJ60" s="37">
        <f>((CI44*CJ44)+(CI45*CJ45))+'Données normes'!$B$93+'Données normes'!$C$93</f>
        <v>43</v>
      </c>
      <c r="CK60" s="42">
        <f>'Données normes'!$C$36</f>
        <v>29.5</v>
      </c>
      <c r="CL60" s="43">
        <f t="shared" si="38"/>
        <v>1268.5</v>
      </c>
      <c r="CM60" s="733">
        <f>CL60/$CL$76</f>
        <v>3.8521114745620137E-2</v>
      </c>
      <c r="CN60" s="245"/>
      <c r="CO60" s="39" t="s">
        <v>453</v>
      </c>
      <c r="CP60" s="18"/>
      <c r="CQ60" s="37">
        <f>((CP44*CQ44)+(CP45*CQ45))+'Données normes'!$B$93+'Données normes'!$C$93</f>
        <v>43</v>
      </c>
      <c r="CR60" s="42">
        <f>'Données normes'!$C$36</f>
        <v>29.5</v>
      </c>
      <c r="CS60" s="43">
        <f t="shared" si="39"/>
        <v>1268.5</v>
      </c>
      <c r="CT60" s="733">
        <f>CS60/$CS$76</f>
        <v>3.8618217503817047E-2</v>
      </c>
      <c r="CU60" s="245"/>
      <c r="CV60" s="39" t="s">
        <v>453</v>
      </c>
      <c r="CW60" s="18"/>
      <c r="CX60" s="37">
        <f>((CW44*CX44)+(CW45*CX45))+'Données normes'!$B$93+'Données normes'!$C$93</f>
        <v>43</v>
      </c>
      <c r="CY60" s="42">
        <f>'Données normes'!$C$36</f>
        <v>29.5</v>
      </c>
      <c r="CZ60" s="43">
        <f t="shared" si="40"/>
        <v>1268.5</v>
      </c>
      <c r="DA60" s="733">
        <f>CZ60/$CZ$76</f>
        <v>3.2307647454709328E-2</v>
      </c>
    </row>
    <row r="61" spans="1:105" s="1" customFormat="1" ht="13" x14ac:dyDescent="0.3">
      <c r="A61" s="245"/>
      <c r="B61" s="39" t="str">
        <f>'Données normes'!$D$90</f>
        <v>Taille 
(été + hiver)</v>
      </c>
      <c r="C61" s="41"/>
      <c r="D61" s="37">
        <f>'Données normes'!D94</f>
        <v>100</v>
      </c>
      <c r="E61" s="42">
        <f>'Données normes'!$C$36</f>
        <v>29.5</v>
      </c>
      <c r="F61" s="43">
        <f t="shared" si="41"/>
        <v>2950</v>
      </c>
      <c r="G61" s="733">
        <f t="shared" si="28"/>
        <v>0.25167878603640187</v>
      </c>
      <c r="H61" s="245"/>
      <c r="I61" s="39" t="str">
        <f>'Données normes'!$D$90</f>
        <v>Taille 
(été + hiver)</v>
      </c>
      <c r="J61" s="41"/>
      <c r="K61" s="37">
        <f>'Données normes'!D95</f>
        <v>100</v>
      </c>
      <c r="L61" s="42">
        <f>'Données normes'!$C$36</f>
        <v>29.5</v>
      </c>
      <c r="M61" s="43">
        <f t="shared" si="42"/>
        <v>2950</v>
      </c>
      <c r="N61" s="733">
        <f>M61/$M$76</f>
        <v>0.21214135660449357</v>
      </c>
      <c r="O61" s="245"/>
      <c r="P61" s="39" t="str">
        <f>'Données normes'!$D$90</f>
        <v>Taille 
(été + hiver)</v>
      </c>
      <c r="Q61" s="41"/>
      <c r="R61" s="37">
        <f>'Données normes'!D93</f>
        <v>100</v>
      </c>
      <c r="S61" s="42">
        <f>'Données normes'!$C$36</f>
        <v>29.5</v>
      </c>
      <c r="T61" s="43">
        <f t="shared" si="43"/>
        <v>2950</v>
      </c>
      <c r="U61" s="733">
        <f>T61/$T$76</f>
        <v>0.11244011268731582</v>
      </c>
      <c r="V61" s="245"/>
      <c r="W61" s="39" t="str">
        <f>'Données normes'!$D$90</f>
        <v>Taille 
(été + hiver)</v>
      </c>
      <c r="X61" s="41"/>
      <c r="Y61" s="37">
        <f>'Données normes'!$D$93</f>
        <v>100</v>
      </c>
      <c r="Z61" s="42">
        <f>'Données normes'!$C$36</f>
        <v>29.5</v>
      </c>
      <c r="AA61" s="43">
        <f t="shared" si="29"/>
        <v>2950</v>
      </c>
      <c r="AB61" s="733">
        <f>AA61/$AA$76</f>
        <v>0.10342244249414195</v>
      </c>
      <c r="AC61" s="245"/>
      <c r="AD61" s="39" t="str">
        <f>'Données normes'!$D$90</f>
        <v>Taille 
(été + hiver)</v>
      </c>
      <c r="AE61" s="41"/>
      <c r="AF61" s="37">
        <f>'Données normes'!$D$93</f>
        <v>100</v>
      </c>
      <c r="AG61" s="42">
        <f>'Données normes'!$C$36</f>
        <v>29.5</v>
      </c>
      <c r="AH61" s="43">
        <f t="shared" si="30"/>
        <v>2950</v>
      </c>
      <c r="AI61" s="733">
        <f>AH61/$AH$76</f>
        <v>9.4655349290722376E-2</v>
      </c>
      <c r="AJ61" s="245"/>
      <c r="AK61" s="39" t="str">
        <f>'Données normes'!$D$90</f>
        <v>Taille 
(été + hiver)</v>
      </c>
      <c r="AL61" s="41"/>
      <c r="AM61" s="37">
        <f>'Données normes'!$D$93</f>
        <v>100</v>
      </c>
      <c r="AN61" s="42">
        <f>'Données normes'!$C$36</f>
        <v>29.5</v>
      </c>
      <c r="AO61" s="43">
        <f t="shared" si="31"/>
        <v>2950</v>
      </c>
      <c r="AP61" s="733">
        <f>AO61/$AO$76</f>
        <v>8.7504156452344606E-2</v>
      </c>
      <c r="AQ61" s="245"/>
      <c r="AR61" s="39" t="str">
        <f>'Données normes'!$D$90</f>
        <v>Taille 
(été + hiver)</v>
      </c>
      <c r="AS61" s="41"/>
      <c r="AT61" s="37">
        <f>'Données normes'!$D$93</f>
        <v>100</v>
      </c>
      <c r="AU61" s="42">
        <f>'Données normes'!$C$36</f>
        <v>29.5</v>
      </c>
      <c r="AV61" s="43">
        <f t="shared" si="32"/>
        <v>2950</v>
      </c>
      <c r="AW61" s="733">
        <f>AV61/$AV$76</f>
        <v>8.7807028124497616E-2</v>
      </c>
      <c r="AX61" s="245"/>
      <c r="AY61" s="39" t="str">
        <f>'Données normes'!$D$90</f>
        <v>Taille 
(été + hiver)</v>
      </c>
      <c r="AZ61" s="41"/>
      <c r="BA61" s="37">
        <f>'Données normes'!$D$93</f>
        <v>100</v>
      </c>
      <c r="BB61" s="42">
        <f>'Données normes'!$C$36</f>
        <v>29.5</v>
      </c>
      <c r="BC61" s="43">
        <f t="shared" si="33"/>
        <v>2950</v>
      </c>
      <c r="BD61" s="733">
        <f>BC61/$BC$76</f>
        <v>8.8116594454942188E-2</v>
      </c>
      <c r="BE61" s="245"/>
      <c r="BF61" s="39" t="str">
        <f>'Données normes'!$D$90</f>
        <v>Taille 
(été + hiver)</v>
      </c>
      <c r="BG61" s="41"/>
      <c r="BH61" s="37">
        <f>'Données normes'!$D$93</f>
        <v>100</v>
      </c>
      <c r="BI61" s="42">
        <f>'Données normes'!$C$36</f>
        <v>29.5</v>
      </c>
      <c r="BJ61" s="43">
        <f t="shared" si="34"/>
        <v>2950</v>
      </c>
      <c r="BK61" s="733">
        <f>BJ61/$BJ$76</f>
        <v>8.843304442531566E-2</v>
      </c>
      <c r="BL61" s="245"/>
      <c r="BM61" s="39" t="str">
        <f>'Données normes'!$D$90</f>
        <v>Taille 
(été + hiver)</v>
      </c>
      <c r="BN61" s="41"/>
      <c r="BO61" s="37">
        <f>'Données normes'!$D$93</f>
        <v>100</v>
      </c>
      <c r="BP61" s="42">
        <f>'Données normes'!$C$36</f>
        <v>29.5</v>
      </c>
      <c r="BQ61" s="43">
        <f t="shared" si="35"/>
        <v>2950</v>
      </c>
      <c r="BR61" s="733">
        <f>BQ61/$BQ$76</f>
        <v>8.875657395574145E-2</v>
      </c>
      <c r="BS61" s="245"/>
      <c r="BT61" s="39" t="str">
        <f>'Données normes'!$D$90</f>
        <v>Taille 
(été + hiver)</v>
      </c>
      <c r="BU61" s="41"/>
      <c r="BV61" s="37">
        <f>'Données normes'!$D$93</f>
        <v>100</v>
      </c>
      <c r="BW61" s="42">
        <f>'Données normes'!$C$36</f>
        <v>29.5</v>
      </c>
      <c r="BX61" s="43">
        <f t="shared" si="36"/>
        <v>2950</v>
      </c>
      <c r="BY61" s="733">
        <f>BX61/$BX$76</f>
        <v>8.9026591973074581E-2</v>
      </c>
      <c r="BZ61" s="245"/>
      <c r="CA61" s="39" t="str">
        <f>'Données normes'!$D$90</f>
        <v>Taille 
(été + hiver)</v>
      </c>
      <c r="CB61" s="41"/>
      <c r="CC61" s="37">
        <f>'Données normes'!$D$93</f>
        <v>100</v>
      </c>
      <c r="CD61" s="42">
        <f>'Données normes'!$C$36</f>
        <v>29.5</v>
      </c>
      <c r="CE61" s="43">
        <f t="shared" si="37"/>
        <v>2950</v>
      </c>
      <c r="CF61" s="733">
        <f>CE61/$CE$76</f>
        <v>8.9302345529419611E-2</v>
      </c>
      <c r="CG61" s="245"/>
      <c r="CH61" s="39" t="str">
        <f>'Données normes'!$D$90</f>
        <v>Taille 
(été + hiver)</v>
      </c>
      <c r="CI61" s="41"/>
      <c r="CJ61" s="37">
        <f>'Données normes'!$D$93</f>
        <v>100</v>
      </c>
      <c r="CK61" s="42">
        <f>'Données normes'!$C$36</f>
        <v>29.5</v>
      </c>
      <c r="CL61" s="43">
        <f t="shared" si="38"/>
        <v>2950</v>
      </c>
      <c r="CM61" s="733">
        <f>CL61/$CL$76</f>
        <v>8.9583987780511951E-2</v>
      </c>
      <c r="CN61" s="245"/>
      <c r="CO61" s="39" t="str">
        <f>'Données normes'!$D$90</f>
        <v>Taille 
(été + hiver)</v>
      </c>
      <c r="CP61" s="41"/>
      <c r="CQ61" s="37">
        <f>'Données normes'!$D$93</f>
        <v>100</v>
      </c>
      <c r="CR61" s="42">
        <f>'Données normes'!$C$36</f>
        <v>29.5</v>
      </c>
      <c r="CS61" s="43">
        <f t="shared" si="39"/>
        <v>2950</v>
      </c>
      <c r="CT61" s="733">
        <f>CS61/$CS$76</f>
        <v>8.9809808148411746E-2</v>
      </c>
      <c r="CU61" s="245"/>
      <c r="CV61" s="39" t="str">
        <f>'Données normes'!$D$90</f>
        <v>Taille 
(été + hiver)</v>
      </c>
      <c r="CW61" s="41"/>
      <c r="CX61" s="37">
        <f>'Données normes'!$D$93</f>
        <v>100</v>
      </c>
      <c r="CY61" s="42">
        <f>'Données normes'!$C$36</f>
        <v>29.5</v>
      </c>
      <c r="CZ61" s="43">
        <f t="shared" si="40"/>
        <v>2950</v>
      </c>
      <c r="DA61" s="733">
        <f>CZ61/$CZ$76</f>
        <v>7.5134063848161223E-2</v>
      </c>
    </row>
    <row r="62" spans="1:105" s="1" customFormat="1" ht="13" x14ac:dyDescent="0.3">
      <c r="A62" s="38"/>
      <c r="B62" s="39" t="s">
        <v>390</v>
      </c>
      <c r="C62" s="41"/>
      <c r="D62" s="360">
        <f>(C50*D50)+(C51*D51)</f>
        <v>7</v>
      </c>
      <c r="E62" s="42">
        <f>'Données normes'!$C$36</f>
        <v>29.5</v>
      </c>
      <c r="F62" s="43">
        <f t="shared" si="41"/>
        <v>206.5</v>
      </c>
      <c r="G62" s="733">
        <f t="shared" si="28"/>
        <v>1.761751502254813E-2</v>
      </c>
      <c r="H62" s="38"/>
      <c r="I62" s="39" t="s">
        <v>390</v>
      </c>
      <c r="J62" s="41"/>
      <c r="K62" s="360">
        <f>(J50*K50)+(J51*K51)</f>
        <v>7</v>
      </c>
      <c r="L62" s="42">
        <f>'Données normes'!$C$36</f>
        <v>29.5</v>
      </c>
      <c r="M62" s="43">
        <f t="shared" si="42"/>
        <v>206.5</v>
      </c>
      <c r="N62" s="733">
        <f>M62/$M$76</f>
        <v>1.484989496231455E-2</v>
      </c>
      <c r="O62" s="38"/>
      <c r="P62" s="39" t="s">
        <v>390</v>
      </c>
      <c r="Q62" s="41"/>
      <c r="R62" s="360">
        <f>(Q50*R50)+(Q51*R51)</f>
        <v>7</v>
      </c>
      <c r="S62" s="42">
        <f>'Données normes'!$C$36</f>
        <v>29.5</v>
      </c>
      <c r="T62" s="43">
        <f t="shared" si="43"/>
        <v>206.5</v>
      </c>
      <c r="U62" s="733">
        <f>T62/$T$76</f>
        <v>7.8708078881121069E-3</v>
      </c>
      <c r="V62" s="38"/>
      <c r="W62" s="39" t="s">
        <v>390</v>
      </c>
      <c r="X62" s="41"/>
      <c r="Y62" s="360">
        <f>(X50*Y50)+(X51*Y51)</f>
        <v>9</v>
      </c>
      <c r="Z62" s="42">
        <f>'Données normes'!$C$36</f>
        <v>29.5</v>
      </c>
      <c r="AA62" s="43">
        <f t="shared" si="29"/>
        <v>265.5</v>
      </c>
      <c r="AB62" s="733">
        <f>AA62/$AA$76</f>
        <v>9.3080198244727755E-3</v>
      </c>
      <c r="AC62" s="38"/>
      <c r="AD62" s="39" t="s">
        <v>390</v>
      </c>
      <c r="AE62" s="41"/>
      <c r="AF62" s="360">
        <f>(AE50*AF50)+(AE51*AF51)</f>
        <v>9</v>
      </c>
      <c r="AG62" s="42">
        <f>'Données normes'!$C$36</f>
        <v>29.5</v>
      </c>
      <c r="AH62" s="43">
        <f t="shared" si="30"/>
        <v>265.5</v>
      </c>
      <c r="AI62" s="733">
        <f>AH62/$AH$76</f>
        <v>8.518981436165014E-3</v>
      </c>
      <c r="AJ62" s="38"/>
      <c r="AK62" s="39" t="s">
        <v>390</v>
      </c>
      <c r="AL62" s="41"/>
      <c r="AM62" s="360">
        <f>(AL50*AM50)+(AL51*AM51)</f>
        <v>9</v>
      </c>
      <c r="AN62" s="42">
        <f>'Données normes'!$C$36</f>
        <v>29.5</v>
      </c>
      <c r="AO62" s="43">
        <f t="shared" si="31"/>
        <v>265.5</v>
      </c>
      <c r="AP62" s="733">
        <f>AO62/$AO$76</f>
        <v>7.8753740807110152E-3</v>
      </c>
      <c r="AQ62" s="38"/>
      <c r="AR62" s="39" t="s">
        <v>390</v>
      </c>
      <c r="AS62" s="41"/>
      <c r="AT62" s="360">
        <f>(AS50*AT50)+(AS51*AT51)</f>
        <v>9</v>
      </c>
      <c r="AU62" s="42">
        <f>'Données normes'!$C$36</f>
        <v>29.5</v>
      </c>
      <c r="AV62" s="43">
        <f t="shared" si="32"/>
        <v>265.5</v>
      </c>
      <c r="AW62" s="733">
        <f>AV62/$AV$76</f>
        <v>7.9026325312047847E-3</v>
      </c>
      <c r="AX62" s="38"/>
      <c r="AY62" s="39" t="s">
        <v>390</v>
      </c>
      <c r="AZ62" s="41"/>
      <c r="BA62" s="360">
        <f>(AZ50*BA50)+(AZ51*BA51)</f>
        <v>9</v>
      </c>
      <c r="BB62" s="42">
        <f>'Données normes'!$C$36</f>
        <v>29.5</v>
      </c>
      <c r="BC62" s="43">
        <f t="shared" si="33"/>
        <v>265.5</v>
      </c>
      <c r="BD62" s="733">
        <f>BC62/$BC$76</f>
        <v>7.9304935009447963E-3</v>
      </c>
      <c r="BE62" s="38"/>
      <c r="BF62" s="39" t="s">
        <v>390</v>
      </c>
      <c r="BG62" s="41"/>
      <c r="BH62" s="360">
        <f>(BG50*BH50)+(BG51*BH51)</f>
        <v>9</v>
      </c>
      <c r="BI62" s="42">
        <f>'Données normes'!$C$36</f>
        <v>29.5</v>
      </c>
      <c r="BJ62" s="43">
        <f t="shared" si="34"/>
        <v>265.5</v>
      </c>
      <c r="BK62" s="733">
        <f>BJ62/$BJ$76</f>
        <v>7.958973998278409E-3</v>
      </c>
      <c r="BL62" s="38"/>
      <c r="BM62" s="39" t="s">
        <v>390</v>
      </c>
      <c r="BN62" s="41"/>
      <c r="BO62" s="360">
        <f>(BN50*BO50)+(BN51*BO51)</f>
        <v>9</v>
      </c>
      <c r="BP62" s="42">
        <f>'Données normes'!$C$36</f>
        <v>29.5</v>
      </c>
      <c r="BQ62" s="43">
        <f t="shared" si="35"/>
        <v>265.5</v>
      </c>
      <c r="BR62" s="733">
        <f>BQ62/$BQ$76</f>
        <v>7.9880916560167298E-3</v>
      </c>
      <c r="BS62" s="38"/>
      <c r="BT62" s="39" t="s">
        <v>390</v>
      </c>
      <c r="BU62" s="41"/>
      <c r="BV62" s="360">
        <f>(BU50*BV50)+(BU51*BV51)</f>
        <v>9</v>
      </c>
      <c r="BW62" s="42">
        <f>'Données normes'!$C$36</f>
        <v>29.5</v>
      </c>
      <c r="BX62" s="43">
        <f t="shared" si="36"/>
        <v>265.5</v>
      </c>
      <c r="BY62" s="733">
        <f>BX62/$BX$76</f>
        <v>8.0123932775767112E-3</v>
      </c>
      <c r="BZ62" s="38"/>
      <c r="CA62" s="39" t="s">
        <v>390</v>
      </c>
      <c r="CB62" s="41"/>
      <c r="CC62" s="360">
        <f>(CB50*CC50)+(CB51*CC51)</f>
        <v>9</v>
      </c>
      <c r="CD62" s="42">
        <f>'Données normes'!$C$36</f>
        <v>29.5</v>
      </c>
      <c r="CE62" s="43">
        <f t="shared" si="37"/>
        <v>265.5</v>
      </c>
      <c r="CF62" s="733">
        <f>CE62/$CE$76</f>
        <v>8.0372110976477656E-3</v>
      </c>
      <c r="CG62" s="38"/>
      <c r="CH62" s="39" t="s">
        <v>390</v>
      </c>
      <c r="CI62" s="41"/>
      <c r="CJ62" s="360">
        <f>(CI50*CJ50)+(CI51*CJ51)</f>
        <v>9</v>
      </c>
      <c r="CK62" s="42">
        <f>'Données normes'!$C$36</f>
        <v>29.5</v>
      </c>
      <c r="CL62" s="43">
        <f t="shared" si="38"/>
        <v>265.5</v>
      </c>
      <c r="CM62" s="733">
        <f>CL62/$CL$76</f>
        <v>8.0625589002460748E-3</v>
      </c>
      <c r="CN62" s="38"/>
      <c r="CO62" s="39" t="s">
        <v>390</v>
      </c>
      <c r="CP62" s="41"/>
      <c r="CQ62" s="360">
        <f>(CP50*CQ50)+(CP51*CQ51)</f>
        <v>9</v>
      </c>
      <c r="CR62" s="42">
        <f>'Données normes'!$C$36</f>
        <v>29.5</v>
      </c>
      <c r="CS62" s="43">
        <f t="shared" si="39"/>
        <v>265.5</v>
      </c>
      <c r="CT62" s="733">
        <f>CS62/$CS$76</f>
        <v>8.0828827333570569E-3</v>
      </c>
      <c r="CU62" s="38"/>
      <c r="CV62" s="39" t="s">
        <v>390</v>
      </c>
      <c r="CW62" s="41"/>
      <c r="CX62" s="360">
        <f>(CW50*CX50)+(CW51*CX51)</f>
        <v>9</v>
      </c>
      <c r="CY62" s="42">
        <f>'Données normes'!$C$36</f>
        <v>29.5</v>
      </c>
      <c r="CZ62" s="43">
        <f t="shared" si="40"/>
        <v>265.5</v>
      </c>
      <c r="DA62" s="733">
        <f>CZ62/$CZ$76</f>
        <v>6.7620657463345101E-3</v>
      </c>
    </row>
    <row r="63" spans="1:105" s="1" customFormat="1" ht="13" x14ac:dyDescent="0.3">
      <c r="A63" s="38"/>
      <c r="B63" s="315" t="str">
        <f>'Données normes'!E90</f>
        <v>Régulation de la charge (manuelle)</v>
      </c>
      <c r="C63" s="18"/>
      <c r="D63" s="37">
        <f>'Données normes'!E94</f>
        <v>0</v>
      </c>
      <c r="E63" s="42">
        <f>'Données normes'!$C$35</f>
        <v>25.25</v>
      </c>
      <c r="F63" s="43">
        <f t="shared" si="41"/>
        <v>0</v>
      </c>
      <c r="G63" s="733">
        <f t="shared" si="28"/>
        <v>0</v>
      </c>
      <c r="H63" s="38"/>
      <c r="I63" s="315" t="str">
        <f>'Données normes'!$E$90</f>
        <v>Régulation de la charge (manuelle)</v>
      </c>
      <c r="J63" s="18"/>
      <c r="K63" s="37">
        <f>'Données normes'!E95</f>
        <v>20</v>
      </c>
      <c r="L63" s="42">
        <f>'Données normes'!$C$35</f>
        <v>25.25</v>
      </c>
      <c r="M63" s="43">
        <f t="shared" si="42"/>
        <v>505</v>
      </c>
      <c r="N63" s="733">
        <f>M63/$M$76</f>
        <v>3.6315723757718389E-2</v>
      </c>
      <c r="O63" s="38"/>
      <c r="P63" s="315" t="str">
        <f>'Données normes'!$E$90</f>
        <v>Régulation de la charge (manuelle)</v>
      </c>
      <c r="Q63" s="18"/>
      <c r="R63" s="37">
        <f>'Données normes'!$E$93</f>
        <v>70</v>
      </c>
      <c r="S63" s="42">
        <f>'Données normes'!$C$35</f>
        <v>25.25</v>
      </c>
      <c r="T63" s="43">
        <f t="shared" si="43"/>
        <v>1767.5</v>
      </c>
      <c r="U63" s="733">
        <f>T63/$T$76</f>
        <v>6.7368779381298552E-2</v>
      </c>
      <c r="V63" s="38"/>
      <c r="W63" s="315" t="str">
        <f>'Données normes'!$E$90</f>
        <v>Régulation de la charge (manuelle)</v>
      </c>
      <c r="X63" s="18"/>
      <c r="Y63" s="37">
        <f>'Données normes'!$E$93</f>
        <v>70</v>
      </c>
      <c r="Z63" s="42">
        <f>'Données normes'!$C$35</f>
        <v>25.25</v>
      </c>
      <c r="AA63" s="43">
        <f t="shared" si="29"/>
        <v>1767.5</v>
      </c>
      <c r="AB63" s="733">
        <f>AA63/$AA$76</f>
        <v>6.1965819358778276E-2</v>
      </c>
      <c r="AC63" s="38"/>
      <c r="AD63" s="315" t="str">
        <f>'Données normes'!$E$90</f>
        <v>Régulation de la charge (manuelle)</v>
      </c>
      <c r="AE63" s="18"/>
      <c r="AF63" s="37">
        <f>'Données normes'!$E$93</f>
        <v>70</v>
      </c>
      <c r="AG63" s="42">
        <f>'Données normes'!$C$35</f>
        <v>25.25</v>
      </c>
      <c r="AH63" s="43">
        <f t="shared" si="30"/>
        <v>1767.5</v>
      </c>
      <c r="AI63" s="733">
        <f>AH63/$AH$76</f>
        <v>5.6712993176729419E-2</v>
      </c>
      <c r="AJ63" s="38"/>
      <c r="AK63" s="315" t="str">
        <f>'Données normes'!$E$90</f>
        <v>Régulation de la charge (manuelle)</v>
      </c>
      <c r="AL63" s="18"/>
      <c r="AM63" s="37">
        <f>'Données normes'!$E$93</f>
        <v>70</v>
      </c>
      <c r="AN63" s="42">
        <f>'Données normes'!$C$35</f>
        <v>25.25</v>
      </c>
      <c r="AO63" s="43">
        <f t="shared" si="31"/>
        <v>1767.5</v>
      </c>
      <c r="AP63" s="733">
        <f>AO63/$AO$76</f>
        <v>5.242833780661664E-2</v>
      </c>
      <c r="AQ63" s="38"/>
      <c r="AR63" s="315" t="str">
        <f>'Données normes'!$E$90</f>
        <v>Régulation de la charge (manuelle)</v>
      </c>
      <c r="AS63" s="18"/>
      <c r="AT63" s="37">
        <f>'Données normes'!$E$93</f>
        <v>70</v>
      </c>
      <c r="AU63" s="42">
        <f>'Données normes'!$C$35</f>
        <v>25.25</v>
      </c>
      <c r="AV63" s="43">
        <f t="shared" si="32"/>
        <v>1767.5</v>
      </c>
      <c r="AW63" s="733">
        <f>AV63/$AV$76</f>
        <v>5.2609804138999842E-2</v>
      </c>
      <c r="AX63" s="38"/>
      <c r="AY63" s="315" t="str">
        <f>'Données normes'!$E$90</f>
        <v>Régulation de la charge (manuelle)</v>
      </c>
      <c r="AZ63" s="18"/>
      <c r="BA63" s="37">
        <f>'Données normes'!$E$93</f>
        <v>70</v>
      </c>
      <c r="BB63" s="42">
        <f>'Données normes'!$C$35</f>
        <v>25.25</v>
      </c>
      <c r="BC63" s="43">
        <f t="shared" si="33"/>
        <v>1767.5</v>
      </c>
      <c r="BD63" s="733">
        <f>BC63/$BC$76</f>
        <v>5.2795281592918755E-2</v>
      </c>
      <c r="BE63" s="38"/>
      <c r="BF63" s="315" t="str">
        <f>'Données normes'!$E$90</f>
        <v>Régulation de la charge (manuelle)</v>
      </c>
      <c r="BG63" s="18"/>
      <c r="BH63" s="37">
        <f>'Données normes'!$E$93</f>
        <v>70</v>
      </c>
      <c r="BI63" s="42">
        <f>'Données normes'!$C$35</f>
        <v>25.25</v>
      </c>
      <c r="BJ63" s="43">
        <f t="shared" si="34"/>
        <v>1767.5</v>
      </c>
      <c r="BK63" s="733">
        <f>BJ63/$BJ$76</f>
        <v>5.2984883397201844E-2</v>
      </c>
      <c r="BL63" s="38"/>
      <c r="BM63" s="315" t="str">
        <f>'Données normes'!$E$90</f>
        <v>Régulation de la charge (manuelle)</v>
      </c>
      <c r="BN63" s="18"/>
      <c r="BO63" s="37">
        <f>'Données normes'!$E$93</f>
        <v>70</v>
      </c>
      <c r="BP63" s="42">
        <f>'Données normes'!$C$35</f>
        <v>25.25</v>
      </c>
      <c r="BQ63" s="43">
        <f t="shared" si="35"/>
        <v>1767.5</v>
      </c>
      <c r="BR63" s="733">
        <f>BQ63/$BQ$76</f>
        <v>5.3178726937889158E-2</v>
      </c>
      <c r="BS63" s="38"/>
      <c r="BT63" s="315" t="str">
        <f>'Données normes'!$E$90</f>
        <v>Régulation de la charge (manuelle)</v>
      </c>
      <c r="BU63" s="18"/>
      <c r="BV63" s="37">
        <f>'Données normes'!$E$93</f>
        <v>70</v>
      </c>
      <c r="BW63" s="42">
        <f>'Données normes'!$C$35</f>
        <v>25.25</v>
      </c>
      <c r="BX63" s="43">
        <f t="shared" si="36"/>
        <v>1767.5</v>
      </c>
      <c r="BY63" s="733">
        <f>BX63/$BX$76</f>
        <v>5.3340508919460787E-2</v>
      </c>
      <c r="BZ63" s="38"/>
      <c r="CA63" s="315" t="str">
        <f>'Données normes'!$E$90</f>
        <v>Régulation de la charge (manuelle)</v>
      </c>
      <c r="CB63" s="18"/>
      <c r="CC63" s="37">
        <f>'Données normes'!$E$93</f>
        <v>70</v>
      </c>
      <c r="CD63" s="42">
        <f>'Données normes'!$C$35</f>
        <v>25.25</v>
      </c>
      <c r="CE63" s="43">
        <f t="shared" si="37"/>
        <v>1767.5</v>
      </c>
      <c r="CF63" s="733">
        <f>CE63/$CE$76</f>
        <v>5.3505727363813274E-2</v>
      </c>
      <c r="CG63" s="38"/>
      <c r="CH63" s="315" t="str">
        <f>'Données normes'!$E$90</f>
        <v>Régulation de la charge (manuelle)</v>
      </c>
      <c r="CI63" s="18"/>
      <c r="CJ63" s="37">
        <f>'Données normes'!$E$93</f>
        <v>70</v>
      </c>
      <c r="CK63" s="42">
        <f>'Données normes'!$C$35</f>
        <v>25.25</v>
      </c>
      <c r="CL63" s="43">
        <f t="shared" si="38"/>
        <v>1767.5</v>
      </c>
      <c r="CM63" s="733">
        <f>CL63/$CL$76</f>
        <v>5.3674474034594875E-2</v>
      </c>
      <c r="CN63" s="38"/>
      <c r="CO63" s="315" t="str">
        <f>'Données normes'!$E$90</f>
        <v>Régulation de la charge (manuelle)</v>
      </c>
      <c r="CP63" s="18"/>
      <c r="CQ63" s="37">
        <f>'Données normes'!$E$93</f>
        <v>70</v>
      </c>
      <c r="CR63" s="42">
        <f>'Données normes'!$C$35</f>
        <v>25.25</v>
      </c>
      <c r="CS63" s="43">
        <f t="shared" si="39"/>
        <v>1767.5</v>
      </c>
      <c r="CT63" s="733">
        <f>CS63/$CS$76</f>
        <v>5.3809774882141614E-2</v>
      </c>
      <c r="CU63" s="38"/>
      <c r="CV63" s="315" t="str">
        <f>'Données normes'!$E$90</f>
        <v>Régulation de la charge (manuelle)</v>
      </c>
      <c r="CW63" s="18"/>
      <c r="CX63" s="37">
        <f>'Données normes'!$E$93</f>
        <v>70</v>
      </c>
      <c r="CY63" s="42">
        <f>'Données normes'!$C$35</f>
        <v>25.25</v>
      </c>
      <c r="CZ63" s="43">
        <f t="shared" si="40"/>
        <v>1767.5</v>
      </c>
      <c r="DA63" s="733">
        <f>CZ63/$CZ$76</f>
        <v>4.5016765373432188E-2</v>
      </c>
    </row>
    <row r="64" spans="1:105" s="1" customFormat="1" ht="13" x14ac:dyDescent="0.3">
      <c r="A64" s="38"/>
      <c r="B64" s="315" t="s">
        <v>388</v>
      </c>
      <c r="C64" s="268">
        <f>'Page variable'!$B$37</f>
        <v>0</v>
      </c>
      <c r="D64" s="905">
        <v>15</v>
      </c>
      <c r="E64" s="42">
        <f>'Données normes'!$C$35</f>
        <v>25.25</v>
      </c>
      <c r="F64" s="43">
        <f>C64*D64*E64</f>
        <v>0</v>
      </c>
      <c r="G64" s="734">
        <f t="shared" si="28"/>
        <v>0</v>
      </c>
      <c r="H64" s="38"/>
      <c r="I64" s="315" t="s">
        <v>388</v>
      </c>
      <c r="J64" s="268">
        <f>'Page variable'!$B$37</f>
        <v>0</v>
      </c>
      <c r="K64" s="905">
        <v>15</v>
      </c>
      <c r="L64" s="42">
        <f>'Données normes'!$C$35</f>
        <v>25.25</v>
      </c>
      <c r="M64" s="43">
        <f>J64*K64*L64</f>
        <v>0</v>
      </c>
      <c r="N64" s="734"/>
      <c r="O64" s="38"/>
      <c r="P64" s="315" t="s">
        <v>388</v>
      </c>
      <c r="Q64" s="268">
        <f>'Page variable'!$B$37</f>
        <v>0</v>
      </c>
      <c r="R64" s="905">
        <v>15</v>
      </c>
      <c r="S64" s="42">
        <f>'Données normes'!$C$35</f>
        <v>25.25</v>
      </c>
      <c r="T64" s="43">
        <f>Q64*R64*S64</f>
        <v>0</v>
      </c>
      <c r="U64" s="734"/>
      <c r="V64" s="38"/>
      <c r="W64" s="315" t="s">
        <v>388</v>
      </c>
      <c r="X64" s="268">
        <f>'Page variable'!$B$37</f>
        <v>0</v>
      </c>
      <c r="Y64" s="905">
        <v>15</v>
      </c>
      <c r="Z64" s="42">
        <f>'Données normes'!$C$35</f>
        <v>25.25</v>
      </c>
      <c r="AA64" s="43">
        <f>X64*Y64*Z64</f>
        <v>0</v>
      </c>
      <c r="AB64" s="734"/>
      <c r="AC64" s="38"/>
      <c r="AD64" s="315" t="s">
        <v>388</v>
      </c>
      <c r="AE64" s="268">
        <f>'Page variable'!$B$37</f>
        <v>0</v>
      </c>
      <c r="AF64" s="905">
        <v>15</v>
      </c>
      <c r="AG64" s="42">
        <f>'Données normes'!$C$35</f>
        <v>25.25</v>
      </c>
      <c r="AH64" s="43">
        <f>AE64*AF64*AG64</f>
        <v>0</v>
      </c>
      <c r="AI64" s="734"/>
      <c r="AJ64" s="38"/>
      <c r="AK64" s="315" t="s">
        <v>388</v>
      </c>
      <c r="AL64" s="268">
        <f>'Page variable'!$B$37</f>
        <v>0</v>
      </c>
      <c r="AM64" s="905">
        <v>15</v>
      </c>
      <c r="AN64" s="42">
        <f>'Données normes'!$C$35</f>
        <v>25.25</v>
      </c>
      <c r="AO64" s="43">
        <f>AL64*AM64*AN64</f>
        <v>0</v>
      </c>
      <c r="AP64" s="734"/>
      <c r="AQ64" s="38"/>
      <c r="AR64" s="315" t="s">
        <v>388</v>
      </c>
      <c r="AS64" s="268">
        <f>'Page variable'!$B$37</f>
        <v>0</v>
      </c>
      <c r="AT64" s="905">
        <v>15</v>
      </c>
      <c r="AU64" s="42">
        <f>'Données normes'!$C$35</f>
        <v>25.25</v>
      </c>
      <c r="AV64" s="43">
        <f>AS64*AT64*AU64</f>
        <v>0</v>
      </c>
      <c r="AW64" s="734"/>
      <c r="AX64" s="38"/>
      <c r="AY64" s="315" t="s">
        <v>388</v>
      </c>
      <c r="AZ64" s="268">
        <f>'Page variable'!$B$37</f>
        <v>0</v>
      </c>
      <c r="BA64" s="905">
        <v>15</v>
      </c>
      <c r="BB64" s="42">
        <f>'Données normes'!$C$35</f>
        <v>25.25</v>
      </c>
      <c r="BC64" s="43">
        <f>AZ64*BA64*BB64</f>
        <v>0</v>
      </c>
      <c r="BD64" s="734"/>
      <c r="BE64" s="38"/>
      <c r="BF64" s="315" t="s">
        <v>388</v>
      </c>
      <c r="BG64" s="268">
        <f>'Page variable'!$B$37</f>
        <v>0</v>
      </c>
      <c r="BH64" s="905">
        <v>15</v>
      </c>
      <c r="BI64" s="42">
        <f>'Données normes'!$C$35</f>
        <v>25.25</v>
      </c>
      <c r="BJ64" s="43">
        <f>BG64*BH64*BI64</f>
        <v>0</v>
      </c>
      <c r="BK64" s="734"/>
      <c r="BL64" s="38"/>
      <c r="BM64" s="315" t="s">
        <v>388</v>
      </c>
      <c r="BN64" s="268">
        <f>'Page variable'!$B$37</f>
        <v>0</v>
      </c>
      <c r="BO64" s="905">
        <v>15</v>
      </c>
      <c r="BP64" s="42">
        <f>'Données normes'!$C$35</f>
        <v>25.25</v>
      </c>
      <c r="BQ64" s="43">
        <f>BN64*BO64*BP64</f>
        <v>0</v>
      </c>
      <c r="BR64" s="734"/>
      <c r="BS64" s="38"/>
      <c r="BT64" s="315" t="s">
        <v>388</v>
      </c>
      <c r="BU64" s="268">
        <f>'Page variable'!$B$37</f>
        <v>0</v>
      </c>
      <c r="BV64" s="905">
        <v>15</v>
      </c>
      <c r="BW64" s="42">
        <f>'Données normes'!$C$35</f>
        <v>25.25</v>
      </c>
      <c r="BX64" s="43">
        <f>BU64*BV64*BW64</f>
        <v>0</v>
      </c>
      <c r="BY64" s="734"/>
      <c r="BZ64" s="38"/>
      <c r="CA64" s="315" t="s">
        <v>388</v>
      </c>
      <c r="CB64" s="268">
        <f>'Page variable'!$B$37</f>
        <v>0</v>
      </c>
      <c r="CC64" s="905">
        <v>15</v>
      </c>
      <c r="CD64" s="42">
        <f>'Données normes'!$C$35</f>
        <v>25.25</v>
      </c>
      <c r="CE64" s="43">
        <f>CB64*CC64*CD64</f>
        <v>0</v>
      </c>
      <c r="CF64" s="734"/>
      <c r="CG64" s="38"/>
      <c r="CH64" s="315" t="s">
        <v>388</v>
      </c>
      <c r="CI64" s="268">
        <f>'Page variable'!$B$37</f>
        <v>0</v>
      </c>
      <c r="CJ64" s="905">
        <v>15</v>
      </c>
      <c r="CK64" s="42">
        <f>'Données normes'!$C$35</f>
        <v>25.25</v>
      </c>
      <c r="CL64" s="43">
        <f>CI64*CJ64*CK64</f>
        <v>0</v>
      </c>
      <c r="CM64" s="734"/>
      <c r="CN64" s="38"/>
      <c r="CO64" s="315" t="s">
        <v>388</v>
      </c>
      <c r="CP64" s="268">
        <f>'Page variable'!$B$37</f>
        <v>0</v>
      </c>
      <c r="CQ64" s="905">
        <v>15</v>
      </c>
      <c r="CR64" s="42">
        <f>'Données normes'!$C$35</f>
        <v>25.25</v>
      </c>
      <c r="CS64" s="43">
        <f>CP64*CQ64*CR64</f>
        <v>0</v>
      </c>
      <c r="CT64" s="734"/>
      <c r="CU64" s="38"/>
      <c r="CV64" s="315" t="s">
        <v>388</v>
      </c>
      <c r="CW64" s="268">
        <f>'Page variable'!$B$37</f>
        <v>0</v>
      </c>
      <c r="CX64" s="905">
        <v>15</v>
      </c>
      <c r="CY64" s="42">
        <f>'Données normes'!$C$35</f>
        <v>25.25</v>
      </c>
      <c r="CZ64" s="43">
        <f>CW64*CX64*CY64</f>
        <v>0</v>
      </c>
      <c r="DA64" s="734"/>
    </row>
    <row r="65" spans="1:110" s="1" customFormat="1" ht="13" x14ac:dyDescent="0.3">
      <c r="A65" s="38"/>
      <c r="B65" s="315" t="s">
        <v>389</v>
      </c>
      <c r="C65" s="268">
        <f>'Page variable'!$B$37</f>
        <v>0</v>
      </c>
      <c r="D65" s="905">
        <v>10</v>
      </c>
      <c r="E65" s="42">
        <f>'Données normes'!$C$35</f>
        <v>25.25</v>
      </c>
      <c r="F65" s="43">
        <f>C65*D65*E65</f>
        <v>0</v>
      </c>
      <c r="G65" s="734">
        <f t="shared" si="28"/>
        <v>0</v>
      </c>
      <c r="H65" s="38"/>
      <c r="I65" s="315" t="s">
        <v>389</v>
      </c>
      <c r="J65" s="268">
        <f>'Page variable'!$B$37</f>
        <v>0</v>
      </c>
      <c r="K65" s="905">
        <v>10</v>
      </c>
      <c r="L65" s="42">
        <f>'Données normes'!$C$35</f>
        <v>25.25</v>
      </c>
      <c r="M65" s="43">
        <f>J65*K65*L65</f>
        <v>0</v>
      </c>
      <c r="N65" s="734"/>
      <c r="O65" s="38"/>
      <c r="P65" s="315" t="s">
        <v>389</v>
      </c>
      <c r="Q65" s="268">
        <f>'Page variable'!$B$37</f>
        <v>0</v>
      </c>
      <c r="R65" s="905">
        <v>10</v>
      </c>
      <c r="S65" s="42">
        <f>'Données normes'!$C$35</f>
        <v>25.25</v>
      </c>
      <c r="T65" s="43">
        <f>Q65*R65*S65</f>
        <v>0</v>
      </c>
      <c r="U65" s="734"/>
      <c r="V65" s="38"/>
      <c r="W65" s="315" t="s">
        <v>389</v>
      </c>
      <c r="X65" s="268">
        <f>'Page variable'!$B$37</f>
        <v>0</v>
      </c>
      <c r="Y65" s="905">
        <v>10</v>
      </c>
      <c r="Z65" s="42">
        <f>'Données normes'!$C$35</f>
        <v>25.25</v>
      </c>
      <c r="AA65" s="43">
        <f>X65*Y65*Z65</f>
        <v>0</v>
      </c>
      <c r="AB65" s="734"/>
      <c r="AC65" s="38"/>
      <c r="AD65" s="315" t="s">
        <v>389</v>
      </c>
      <c r="AE65" s="268">
        <f>'Page variable'!$B$37</f>
        <v>0</v>
      </c>
      <c r="AF65" s="905">
        <v>10</v>
      </c>
      <c r="AG65" s="42">
        <f>'Données normes'!$C$35</f>
        <v>25.25</v>
      </c>
      <c r="AH65" s="43">
        <f>AE65*AF65*AG65</f>
        <v>0</v>
      </c>
      <c r="AI65" s="734"/>
      <c r="AJ65" s="38"/>
      <c r="AK65" s="315" t="s">
        <v>389</v>
      </c>
      <c r="AL65" s="268">
        <f>'Page variable'!$B$37</f>
        <v>0</v>
      </c>
      <c r="AM65" s="905">
        <v>10</v>
      </c>
      <c r="AN65" s="42">
        <f>'Données normes'!$C$35</f>
        <v>25.25</v>
      </c>
      <c r="AO65" s="43">
        <f>AL65*AM65*AN65</f>
        <v>0</v>
      </c>
      <c r="AP65" s="734"/>
      <c r="AQ65" s="38"/>
      <c r="AR65" s="315" t="s">
        <v>389</v>
      </c>
      <c r="AS65" s="268">
        <f>'Page variable'!$B$37</f>
        <v>0</v>
      </c>
      <c r="AT65" s="905">
        <v>10</v>
      </c>
      <c r="AU65" s="42">
        <f>'Données normes'!$C$35</f>
        <v>25.25</v>
      </c>
      <c r="AV65" s="43">
        <f>AS65*AT65*AU65</f>
        <v>0</v>
      </c>
      <c r="AW65" s="734"/>
      <c r="AX65" s="38"/>
      <c r="AY65" s="315" t="s">
        <v>389</v>
      </c>
      <c r="AZ65" s="268">
        <f>'Page variable'!$B$37</f>
        <v>0</v>
      </c>
      <c r="BA65" s="905">
        <v>10</v>
      </c>
      <c r="BB65" s="42">
        <f>'Données normes'!$C$35</f>
        <v>25.25</v>
      </c>
      <c r="BC65" s="43">
        <f>AZ65*BA65*BB65</f>
        <v>0</v>
      </c>
      <c r="BD65" s="734"/>
      <c r="BE65" s="38"/>
      <c r="BF65" s="315" t="s">
        <v>389</v>
      </c>
      <c r="BG65" s="268">
        <f>'Page variable'!$B$37</f>
        <v>0</v>
      </c>
      <c r="BH65" s="905">
        <v>10</v>
      </c>
      <c r="BI65" s="42">
        <f>'Données normes'!$C$35</f>
        <v>25.25</v>
      </c>
      <c r="BJ65" s="43">
        <f>BG65*BH65*BI65</f>
        <v>0</v>
      </c>
      <c r="BK65" s="734"/>
      <c r="BL65" s="38"/>
      <c r="BM65" s="315" t="s">
        <v>389</v>
      </c>
      <c r="BN65" s="268">
        <f>'Page variable'!$B$37</f>
        <v>0</v>
      </c>
      <c r="BO65" s="905">
        <v>10</v>
      </c>
      <c r="BP65" s="42">
        <f>'Données normes'!$C$35</f>
        <v>25.25</v>
      </c>
      <c r="BQ65" s="43">
        <f>BN65*BO65*BP65</f>
        <v>0</v>
      </c>
      <c r="BR65" s="734"/>
      <c r="BS65" s="38"/>
      <c r="BT65" s="315" t="s">
        <v>389</v>
      </c>
      <c r="BU65" s="268">
        <f>'Page variable'!$B$37</f>
        <v>0</v>
      </c>
      <c r="BV65" s="905">
        <v>10</v>
      </c>
      <c r="BW65" s="42">
        <f>'Données normes'!$C$35</f>
        <v>25.25</v>
      </c>
      <c r="BX65" s="43">
        <f>BU65*BV65*BW65</f>
        <v>0</v>
      </c>
      <c r="BY65" s="734"/>
      <c r="BZ65" s="38"/>
      <c r="CA65" s="315" t="s">
        <v>389</v>
      </c>
      <c r="CB65" s="268">
        <f>'Page variable'!$B$37</f>
        <v>0</v>
      </c>
      <c r="CC65" s="905">
        <v>10</v>
      </c>
      <c r="CD65" s="42">
        <f>'Données normes'!$C$35</f>
        <v>25.25</v>
      </c>
      <c r="CE65" s="43">
        <f>CB65*CC65*CD65</f>
        <v>0</v>
      </c>
      <c r="CF65" s="734"/>
      <c r="CG65" s="38"/>
      <c r="CH65" s="315" t="s">
        <v>389</v>
      </c>
      <c r="CI65" s="268">
        <f>'Page variable'!$B$37</f>
        <v>0</v>
      </c>
      <c r="CJ65" s="905">
        <v>10</v>
      </c>
      <c r="CK65" s="42">
        <f>'Données normes'!$C$35</f>
        <v>25.25</v>
      </c>
      <c r="CL65" s="43">
        <f>CI65*CJ65*CK65</f>
        <v>0</v>
      </c>
      <c r="CM65" s="734"/>
      <c r="CN65" s="38"/>
      <c r="CO65" s="315" t="s">
        <v>389</v>
      </c>
      <c r="CP65" s="268">
        <f>'Page variable'!$B$37</f>
        <v>0</v>
      </c>
      <c r="CQ65" s="905">
        <v>10</v>
      </c>
      <c r="CR65" s="42">
        <f>'Données normes'!$C$35</f>
        <v>25.25</v>
      </c>
      <c r="CS65" s="43">
        <f>CP65*CQ65*CR65</f>
        <v>0</v>
      </c>
      <c r="CT65" s="734"/>
      <c r="CU65" s="38"/>
      <c r="CV65" s="315" t="s">
        <v>389</v>
      </c>
      <c r="CW65" s="268">
        <f>'Page variable'!$B$37</f>
        <v>0</v>
      </c>
      <c r="CX65" s="905">
        <v>10</v>
      </c>
      <c r="CY65" s="42">
        <f>'Données normes'!$C$35</f>
        <v>25.25</v>
      </c>
      <c r="CZ65" s="43">
        <f>CW65*CX65*CY65</f>
        <v>0</v>
      </c>
      <c r="DA65" s="734"/>
    </row>
    <row r="66" spans="1:110" s="1" customFormat="1" ht="13" x14ac:dyDescent="0.3">
      <c r="A66" s="3"/>
      <c r="B66" s="294"/>
      <c r="D66" s="34"/>
      <c r="E66" s="45"/>
      <c r="F66" s="132">
        <f>SUM(F59:F65)</f>
        <v>3835</v>
      </c>
      <c r="G66" s="730">
        <f t="shared" si="28"/>
        <v>0.32718242184732244</v>
      </c>
      <c r="H66" s="3"/>
      <c r="I66" s="294"/>
      <c r="K66" s="34"/>
      <c r="L66" s="45"/>
      <c r="M66" s="132">
        <f>SUM(M59:M65)</f>
        <v>4369.5</v>
      </c>
      <c r="N66" s="730"/>
      <c r="O66" s="3"/>
      <c r="P66" s="294"/>
      <c r="R66" s="34"/>
      <c r="S66" s="45"/>
      <c r="T66" s="132">
        <f>SUM(T59:T65)</f>
        <v>6251.5</v>
      </c>
      <c r="U66" s="730"/>
      <c r="V66" s="3"/>
      <c r="W66" s="294"/>
      <c r="Y66" s="34"/>
      <c r="Z66" s="45"/>
      <c r="AA66" s="132">
        <f>SUM(AA59:AA65)</f>
        <v>6310.5</v>
      </c>
      <c r="AB66" s="730"/>
      <c r="AC66" s="3"/>
      <c r="AD66" s="294"/>
      <c r="AF66" s="34"/>
      <c r="AG66" s="45"/>
      <c r="AH66" s="132">
        <f>SUM(AH59:AH65)</f>
        <v>6310.5</v>
      </c>
      <c r="AI66" s="730"/>
      <c r="AJ66" s="3"/>
      <c r="AK66" s="294"/>
      <c r="AM66" s="34"/>
      <c r="AN66" s="45"/>
      <c r="AO66" s="132">
        <f>SUM(AO59:AO65)</f>
        <v>6310.5</v>
      </c>
      <c r="AP66" s="730"/>
      <c r="AQ66" s="3"/>
      <c r="AR66" s="294"/>
      <c r="AT66" s="34"/>
      <c r="AU66" s="45"/>
      <c r="AV66" s="132">
        <f>SUM(AV59:AV65)</f>
        <v>6310.5</v>
      </c>
      <c r="AW66" s="730"/>
      <c r="AX66" s="3"/>
      <c r="AY66" s="294"/>
      <c r="BA66" s="34"/>
      <c r="BB66" s="45"/>
      <c r="BC66" s="132">
        <f>SUM(BC59:BC65)</f>
        <v>6310.5</v>
      </c>
      <c r="BD66" s="730"/>
      <c r="BE66" s="3"/>
      <c r="BF66" s="294"/>
      <c r="BH66" s="34"/>
      <c r="BI66" s="45"/>
      <c r="BJ66" s="132">
        <f>SUM(BJ59:BJ65)</f>
        <v>6310.5</v>
      </c>
      <c r="BK66" s="730"/>
      <c r="BL66" s="3"/>
      <c r="BM66" s="294"/>
      <c r="BO66" s="34"/>
      <c r="BP66" s="45"/>
      <c r="BQ66" s="132">
        <f>SUM(BQ59:BQ65)</f>
        <v>6310.5</v>
      </c>
      <c r="BR66" s="730"/>
      <c r="BS66" s="3"/>
      <c r="BT66" s="294"/>
      <c r="BV66" s="34"/>
      <c r="BW66" s="45"/>
      <c r="BX66" s="132">
        <f>SUM(BX59:BX65)</f>
        <v>6310.5</v>
      </c>
      <c r="BY66" s="730"/>
      <c r="BZ66" s="3"/>
      <c r="CA66" s="294"/>
      <c r="CC66" s="34"/>
      <c r="CD66" s="45"/>
      <c r="CE66" s="132">
        <f>SUM(CE59:CE65)</f>
        <v>6310.5</v>
      </c>
      <c r="CF66" s="730"/>
      <c r="CG66" s="3"/>
      <c r="CH66" s="294"/>
      <c r="CJ66" s="34"/>
      <c r="CK66" s="45"/>
      <c r="CL66" s="132">
        <f>SUM(CL59:CL65)</f>
        <v>6310.5</v>
      </c>
      <c r="CM66" s="730"/>
      <c r="CN66" s="3"/>
      <c r="CO66" s="294"/>
      <c r="CQ66" s="34"/>
      <c r="CR66" s="45"/>
      <c r="CS66" s="132">
        <f>SUM(CS59:CS65)</f>
        <v>6310.5</v>
      </c>
      <c r="CT66" s="730"/>
      <c r="CU66" s="3"/>
      <c r="CV66" s="294"/>
      <c r="CX66" s="34"/>
      <c r="CY66" s="45"/>
      <c r="CZ66" s="132">
        <f>SUM(CZ59:CZ65)</f>
        <v>6310.5</v>
      </c>
      <c r="DA66" s="730"/>
    </row>
    <row r="67" spans="1:110" s="1" customFormat="1" ht="13" x14ac:dyDescent="0.3">
      <c r="A67" s="38" t="s">
        <v>223</v>
      </c>
      <c r="B67" s="751" t="str">
        <f>'Données normes'!G70</f>
        <v>sur l'arbre</v>
      </c>
      <c r="C67" s="759">
        <f>'Données normes'!$G$86</f>
        <v>110</v>
      </c>
      <c r="D67" s="44">
        <f>(D9+D10+('Données normes'!$D$86*D12))/C67</f>
        <v>0</v>
      </c>
      <c r="E67" s="42">
        <f>'Données normes'!$C$35</f>
        <v>25.25</v>
      </c>
      <c r="F67" s="43">
        <f t="shared" si="41"/>
        <v>0</v>
      </c>
      <c r="G67" s="733">
        <f>F67/$F$76</f>
        <v>0</v>
      </c>
      <c r="H67" s="38" t="s">
        <v>223</v>
      </c>
      <c r="I67" s="751" t="s">
        <v>228</v>
      </c>
      <c r="J67" s="759">
        <f>'Données normes'!$G$86</f>
        <v>110</v>
      </c>
      <c r="K67" s="44">
        <f>(K9+K10+('Données normes'!$D$86*K12))/J67</f>
        <v>43.18181818181818</v>
      </c>
      <c r="L67" s="42">
        <f>'Données normes'!$C$35</f>
        <v>25.25</v>
      </c>
      <c r="M67" s="43">
        <f t="shared" si="42"/>
        <v>1090.340909090909</v>
      </c>
      <c r="N67" s="733">
        <f>M67/$M$76</f>
        <v>7.8408949022346519E-2</v>
      </c>
      <c r="O67" s="38" t="s">
        <v>223</v>
      </c>
      <c r="P67" s="751" t="s">
        <v>228</v>
      </c>
      <c r="Q67" s="759">
        <f>'Données normes'!$G$86</f>
        <v>110</v>
      </c>
      <c r="R67" s="44">
        <f>(R9+R10+('Données normes'!$D$86*R12))/Q67</f>
        <v>155.45454545454547</v>
      </c>
      <c r="S67" s="42">
        <f>'Données normes'!$C$35</f>
        <v>25.25</v>
      </c>
      <c r="T67" s="43">
        <f t="shared" si="43"/>
        <v>3925.227272727273</v>
      </c>
      <c r="U67" s="733">
        <f>T67/$T$76</f>
        <v>0.14961118537924742</v>
      </c>
      <c r="V67" s="38" t="s">
        <v>223</v>
      </c>
      <c r="W67" s="751" t="s">
        <v>228</v>
      </c>
      <c r="X67" s="759">
        <f>'Données normes'!$G$86</f>
        <v>110</v>
      </c>
      <c r="Y67" s="44">
        <f>(Y9+Y10+('Données normes'!$D$86*Y12))/X67</f>
        <v>215.90909090909091</v>
      </c>
      <c r="Z67" s="42">
        <f>'Données normes'!$C$35</f>
        <v>25.25</v>
      </c>
      <c r="AA67" s="43">
        <f t="shared" si="29"/>
        <v>5451.704545454545</v>
      </c>
      <c r="AB67" s="733">
        <f>AA67/$AA$76</f>
        <v>0.1911283389312966</v>
      </c>
      <c r="AC67" s="38" t="s">
        <v>223</v>
      </c>
      <c r="AD67" s="751" t="s">
        <v>228</v>
      </c>
      <c r="AE67" s="759">
        <f>'Données normes'!$G$86</f>
        <v>110</v>
      </c>
      <c r="AF67" s="44">
        <f>(AF9+AF10+('Données normes'!$D$86*AF12))/AE67</f>
        <v>302.27272727272725</v>
      </c>
      <c r="AG67" s="42">
        <f>'Données normes'!$C$35</f>
        <v>25.25</v>
      </c>
      <c r="AH67" s="43">
        <f t="shared" si="30"/>
        <v>7632.3863636363631</v>
      </c>
      <c r="AI67" s="733">
        <f>AH67/$AH$76</f>
        <v>0.24489701599042249</v>
      </c>
      <c r="AJ67" s="38" t="s">
        <v>223</v>
      </c>
      <c r="AK67" s="751" t="s">
        <v>228</v>
      </c>
      <c r="AL67" s="759">
        <f>'Données normes'!$G$86</f>
        <v>110</v>
      </c>
      <c r="AM67" s="44">
        <f>(AM9+AM10+('Données normes'!$D$86*AM12))/AL67</f>
        <v>388.63636363636363</v>
      </c>
      <c r="AN67" s="42">
        <f>'Données normes'!$C$35</f>
        <v>25.25</v>
      </c>
      <c r="AO67" s="43">
        <f t="shared" si="31"/>
        <v>9813.068181818182</v>
      </c>
      <c r="AP67" s="733">
        <f>AO67/$AO$76</f>
        <v>0.29107940795231968</v>
      </c>
      <c r="AQ67" s="38" t="s">
        <v>223</v>
      </c>
      <c r="AR67" s="751" t="s">
        <v>228</v>
      </c>
      <c r="AS67" s="759">
        <f>'Données normes'!$G$86</f>
        <v>110</v>
      </c>
      <c r="AT67" s="44">
        <f>(AT9+AT10+('Données normes'!$D$86*AT12))/AS67</f>
        <v>388.63636363636363</v>
      </c>
      <c r="AU67" s="42">
        <f>'Données normes'!$C$35</f>
        <v>25.25</v>
      </c>
      <c r="AV67" s="43">
        <f t="shared" si="32"/>
        <v>9813.068181818182</v>
      </c>
      <c r="AW67" s="733">
        <f>AV67/$AV$76</f>
        <v>0.29208689960288875</v>
      </c>
      <c r="AX67" s="38" t="s">
        <v>223</v>
      </c>
      <c r="AY67" s="751" t="s">
        <v>228</v>
      </c>
      <c r="AZ67" s="759">
        <f>'Données normes'!$G$86</f>
        <v>110</v>
      </c>
      <c r="BA67" s="44">
        <f>(BA9+BA10+('Données normes'!$D$86*BA12))/AZ67</f>
        <v>388.63636363636363</v>
      </c>
      <c r="BB67" s="42">
        <f>'Données normes'!$C$35</f>
        <v>25.25</v>
      </c>
      <c r="BC67" s="43">
        <f t="shared" si="33"/>
        <v>9813.068181818182</v>
      </c>
      <c r="BD67" s="733">
        <f>BC67/$BC$76</f>
        <v>0.29311666079185411</v>
      </c>
      <c r="BE67" s="38" t="s">
        <v>223</v>
      </c>
      <c r="BF67" s="751" t="s">
        <v>228</v>
      </c>
      <c r="BG67" s="759">
        <f>'Données normes'!$G$86</f>
        <v>110</v>
      </c>
      <c r="BH67" s="44">
        <f>(BH9+BH10+('Données normes'!$D$86*BH12))/BG67</f>
        <v>388.63636363636363</v>
      </c>
      <c r="BI67" s="42">
        <f>'Données normes'!$C$35</f>
        <v>25.25</v>
      </c>
      <c r="BJ67" s="43">
        <f t="shared" si="34"/>
        <v>9813.068181818182</v>
      </c>
      <c r="BK67" s="733">
        <f>BJ67/$BJ$76</f>
        <v>0.29416932015978947</v>
      </c>
      <c r="BL67" s="38" t="s">
        <v>223</v>
      </c>
      <c r="BM67" s="751" t="s">
        <v>228</v>
      </c>
      <c r="BN67" s="759">
        <f>'Données normes'!$G$86</f>
        <v>110</v>
      </c>
      <c r="BO67" s="44">
        <f>(BO9+BO10+('Données normes'!$D$86*BO12))/BN67</f>
        <v>388.63636363636363</v>
      </c>
      <c r="BP67" s="42">
        <f>'Données normes'!$C$35</f>
        <v>25.25</v>
      </c>
      <c r="BQ67" s="43">
        <f t="shared" si="35"/>
        <v>9813.068181818182</v>
      </c>
      <c r="BR67" s="733">
        <f>BQ67/$BQ$76</f>
        <v>0.29524552942789112</v>
      </c>
      <c r="BS67" s="38" t="s">
        <v>223</v>
      </c>
      <c r="BT67" s="751" t="s">
        <v>228</v>
      </c>
      <c r="BU67" s="759">
        <f>'Données normes'!$G$86</f>
        <v>110</v>
      </c>
      <c r="BV67" s="44">
        <f>(BV9+BV10+('Données normes'!$D$86*BV12))/BU67</f>
        <v>388.63636363636363</v>
      </c>
      <c r="BW67" s="42">
        <f>'Données normes'!$C$35</f>
        <v>25.25</v>
      </c>
      <c r="BX67" s="43">
        <f t="shared" si="36"/>
        <v>9813.068181818182</v>
      </c>
      <c r="BY67" s="733">
        <f>BX67/$BX$76</f>
        <v>0.29614373458531801</v>
      </c>
      <c r="BZ67" s="38" t="s">
        <v>223</v>
      </c>
      <c r="CA67" s="751" t="s">
        <v>228</v>
      </c>
      <c r="CB67" s="759">
        <f>'Données normes'!$G$86</f>
        <v>110</v>
      </c>
      <c r="CC67" s="44">
        <f>(CC9+CC10+('Données normes'!$D$86*CC12))/CB67</f>
        <v>388.63636363636363</v>
      </c>
      <c r="CD67" s="42">
        <f>'Données normes'!$C$35</f>
        <v>25.25</v>
      </c>
      <c r="CE67" s="43">
        <f t="shared" si="37"/>
        <v>9813.068181818182</v>
      </c>
      <c r="CF67" s="733">
        <f>CE67/$CE$76</f>
        <v>0.29706101880558672</v>
      </c>
      <c r="CG67" s="38" t="s">
        <v>223</v>
      </c>
      <c r="CH67" s="751" t="s">
        <v>228</v>
      </c>
      <c r="CI67" s="759">
        <f>'Données normes'!$G$86</f>
        <v>110</v>
      </c>
      <c r="CJ67" s="44">
        <f>(CJ9+CJ10+('Données normes'!$D$86*CJ12))/CI67</f>
        <v>388.63636363636363</v>
      </c>
      <c r="CK67" s="42">
        <f>'Données normes'!$C$35</f>
        <v>25.25</v>
      </c>
      <c r="CL67" s="43">
        <f t="shared" si="38"/>
        <v>9813.068181818182</v>
      </c>
      <c r="CM67" s="733">
        <f>CL67/$CL$76</f>
        <v>0.29799789155570527</v>
      </c>
      <c r="CN67" s="38" t="s">
        <v>223</v>
      </c>
      <c r="CO67" s="751" t="s">
        <v>228</v>
      </c>
      <c r="CP67" s="759">
        <f>'Données normes'!$G$86</f>
        <v>110</v>
      </c>
      <c r="CQ67" s="44">
        <f>(CQ9+CQ10+('Données normes'!$D$86*CQ12))/CP67</f>
        <v>388.63636363636363</v>
      </c>
      <c r="CR67" s="42">
        <f>'Données normes'!$C$35</f>
        <v>25.25</v>
      </c>
      <c r="CS67" s="43">
        <f t="shared" si="39"/>
        <v>9813.068181818182</v>
      </c>
      <c r="CT67" s="733">
        <f>CS67/$CS$76</f>
        <v>0.29874907483266933</v>
      </c>
      <c r="CU67" s="38" t="s">
        <v>223</v>
      </c>
      <c r="CV67" s="751" t="s">
        <v>228</v>
      </c>
      <c r="CW67" s="759">
        <f>'Données normes'!$G$86</f>
        <v>110</v>
      </c>
      <c r="CX67" s="44">
        <f>(CX9+CX10+('Données normes'!$D$86*CX12))/CW67</f>
        <v>388.63636363636363</v>
      </c>
      <c r="CY67" s="42">
        <f>'Données normes'!$C$35</f>
        <v>25.25</v>
      </c>
      <c r="CZ67" s="43">
        <f t="shared" si="40"/>
        <v>9813.068181818182</v>
      </c>
      <c r="DA67" s="733">
        <f>CZ67/$CZ$76</f>
        <v>0.24993074282002936</v>
      </c>
    </row>
    <row r="68" spans="1:110" s="1" customFormat="1" ht="13" x14ac:dyDescent="0.3">
      <c r="A68" s="38"/>
      <c r="B68" s="301" t="s">
        <v>229</v>
      </c>
      <c r="C68" s="250">
        <f>'Données normes'!$H$86</f>
        <v>300</v>
      </c>
      <c r="D68" s="44">
        <f>('Données normes'!$E$86*D12)/C68</f>
        <v>0</v>
      </c>
      <c r="E68" s="42">
        <f>'Données normes'!$C$34</f>
        <v>21</v>
      </c>
      <c r="F68" s="43">
        <f>D68*E68</f>
        <v>0</v>
      </c>
      <c r="G68" s="733">
        <f>F68/$F$76</f>
        <v>0</v>
      </c>
      <c r="H68" s="38"/>
      <c r="I68" s="301" t="s">
        <v>229</v>
      </c>
      <c r="J68" s="250">
        <f>'Données normes'!$H$86</f>
        <v>300</v>
      </c>
      <c r="K68" s="44">
        <f>('Données normes'!$E$86*K12)/J68</f>
        <v>0.83333333333333326</v>
      </c>
      <c r="L68" s="42">
        <f>'Données normes'!$C$34</f>
        <v>21</v>
      </c>
      <c r="M68" s="43">
        <f>K68*L68</f>
        <v>17.5</v>
      </c>
      <c r="N68" s="733">
        <f>M68/$M$76</f>
        <v>1.2584656747724194E-3</v>
      </c>
      <c r="O68" s="38"/>
      <c r="P68" s="301" t="s">
        <v>229</v>
      </c>
      <c r="Q68" s="250">
        <f>'Données normes'!$H$86</f>
        <v>300</v>
      </c>
      <c r="R68" s="44">
        <f>('Données normes'!$E$86*R12)/Q68</f>
        <v>2.9999999999999996</v>
      </c>
      <c r="S68" s="42">
        <f>'Données normes'!$C$34</f>
        <v>21</v>
      </c>
      <c r="T68" s="43">
        <f>R68*S68</f>
        <v>62.999999999999993</v>
      </c>
      <c r="U68" s="733">
        <f>T68/$T$76</f>
        <v>2.4012634234918291E-3</v>
      </c>
      <c r="V68" s="38"/>
      <c r="W68" s="301" t="s">
        <v>229</v>
      </c>
      <c r="X68" s="250">
        <f>'Données normes'!$H$86</f>
        <v>300</v>
      </c>
      <c r="Y68" s="44">
        <f>('Données normes'!$E$86*Y12)/X68</f>
        <v>4.166666666666667</v>
      </c>
      <c r="Z68" s="42">
        <f>'Données normes'!$C$34</f>
        <v>21</v>
      </c>
      <c r="AA68" s="43">
        <f>Y68*Z68</f>
        <v>87.5</v>
      </c>
      <c r="AB68" s="733">
        <f>AA68/$AA$76</f>
        <v>3.0676148197414988E-3</v>
      </c>
      <c r="AC68" s="38"/>
      <c r="AD68" s="301" t="s">
        <v>229</v>
      </c>
      <c r="AE68" s="250">
        <f>'Données normes'!$H$86</f>
        <v>300</v>
      </c>
      <c r="AF68" s="44">
        <f>('Données normes'!$E$86*AF12)/AE68</f>
        <v>5.8333333333333321</v>
      </c>
      <c r="AG68" s="42">
        <f>'Données normes'!$C$34</f>
        <v>21</v>
      </c>
      <c r="AH68" s="43">
        <f>AF68*AG68</f>
        <v>122.49999999999997</v>
      </c>
      <c r="AI68" s="733">
        <f>AH68/$AH$76</f>
        <v>3.9306034874960977E-3</v>
      </c>
      <c r="AJ68" s="38"/>
      <c r="AK68" s="301" t="s">
        <v>229</v>
      </c>
      <c r="AL68" s="250">
        <f>'Données normes'!$H$86</f>
        <v>300</v>
      </c>
      <c r="AM68" s="44">
        <f>('Données normes'!$E$86*AM12)/AL68</f>
        <v>7.5</v>
      </c>
      <c r="AN68" s="42">
        <f>'Données normes'!$C$34</f>
        <v>21</v>
      </c>
      <c r="AO68" s="43">
        <f>AM68*AN68</f>
        <v>157.5</v>
      </c>
      <c r="AP68" s="733">
        <f>AO68/$AO$76</f>
        <v>4.6718320817777208E-3</v>
      </c>
      <c r="AQ68" s="38"/>
      <c r="AR68" s="301" t="s">
        <v>229</v>
      </c>
      <c r="AS68" s="250">
        <f>'Données normes'!$H$86</f>
        <v>300</v>
      </c>
      <c r="AT68" s="44">
        <f>('Données normes'!$E$86*AT12)/AS68</f>
        <v>7.5</v>
      </c>
      <c r="AU68" s="42">
        <f>'Données normes'!$C$34</f>
        <v>21</v>
      </c>
      <c r="AV68" s="43">
        <f>AT68*AU68</f>
        <v>157.5</v>
      </c>
      <c r="AW68" s="733">
        <f>AV68/$AV$76</f>
        <v>4.688002349019788E-3</v>
      </c>
      <c r="AX68" s="38"/>
      <c r="AY68" s="301" t="s">
        <v>229</v>
      </c>
      <c r="AZ68" s="250">
        <f>'Données normes'!$H$86</f>
        <v>300</v>
      </c>
      <c r="BA68" s="44">
        <f>('Données normes'!$E$86*BA12)/AZ68</f>
        <v>7.5</v>
      </c>
      <c r="BB68" s="42">
        <f>'Données normes'!$C$34</f>
        <v>21</v>
      </c>
      <c r="BC68" s="43">
        <f>BA68*BB68</f>
        <v>157.5</v>
      </c>
      <c r="BD68" s="733">
        <f>BC68/$BC$76</f>
        <v>4.7045300429333541E-3</v>
      </c>
      <c r="BE68" s="38"/>
      <c r="BF68" s="301" t="s">
        <v>229</v>
      </c>
      <c r="BG68" s="250">
        <f>'Données normes'!$H$86</f>
        <v>300</v>
      </c>
      <c r="BH68" s="44">
        <f>('Données normes'!$E$86*BH12)/BG68</f>
        <v>7.5</v>
      </c>
      <c r="BI68" s="42">
        <f>'Données normes'!$C$34</f>
        <v>21</v>
      </c>
      <c r="BJ68" s="43">
        <f>BH68*BI68</f>
        <v>157.5</v>
      </c>
      <c r="BK68" s="733">
        <f>BJ68/$BJ$76</f>
        <v>4.7214252532160059E-3</v>
      </c>
      <c r="BL68" s="38"/>
      <c r="BM68" s="301" t="s">
        <v>229</v>
      </c>
      <c r="BN68" s="250">
        <f>'Données normes'!$H$86</f>
        <v>300</v>
      </c>
      <c r="BO68" s="44">
        <f>('Données normes'!$E$86*BO12)/BN68</f>
        <v>7.5</v>
      </c>
      <c r="BP68" s="42">
        <f>'Données normes'!$C$34</f>
        <v>21</v>
      </c>
      <c r="BQ68" s="43">
        <f>BO68*BP68</f>
        <v>157.5</v>
      </c>
      <c r="BR68" s="733">
        <f>BQ68/$BQ$76</f>
        <v>4.7386984400099247E-3</v>
      </c>
      <c r="BS68" s="38"/>
      <c r="BT68" s="301" t="s">
        <v>229</v>
      </c>
      <c r="BU68" s="250">
        <f>'Données normes'!$H$86</f>
        <v>300</v>
      </c>
      <c r="BV68" s="44">
        <f>('Données normes'!$E$86*BV12)/BU68</f>
        <v>7.5</v>
      </c>
      <c r="BW68" s="42">
        <f>'Données normes'!$C$34</f>
        <v>21</v>
      </c>
      <c r="BX68" s="43">
        <f>BV68*BW68</f>
        <v>157.5</v>
      </c>
      <c r="BY68" s="733">
        <f>BX68/$BX$76</f>
        <v>4.753114656189575E-3</v>
      </c>
      <c r="BZ68" s="38"/>
      <c r="CA68" s="301" t="s">
        <v>229</v>
      </c>
      <c r="CB68" s="250">
        <f>'Données normes'!$H$86</f>
        <v>300</v>
      </c>
      <c r="CC68" s="44">
        <f>('Données normes'!$E$86*CC12)/CB68</f>
        <v>7.5</v>
      </c>
      <c r="CD68" s="42">
        <f>'Données normes'!$C$34</f>
        <v>21</v>
      </c>
      <c r="CE68" s="43">
        <f>CC68*CD68</f>
        <v>157.5</v>
      </c>
      <c r="CF68" s="733">
        <f>CE68/$CE$76</f>
        <v>4.7678370918249457E-3</v>
      </c>
      <c r="CG68" s="38"/>
      <c r="CH68" s="301" t="s">
        <v>229</v>
      </c>
      <c r="CI68" s="250">
        <f>'Données normes'!$H$86</f>
        <v>300</v>
      </c>
      <c r="CJ68" s="44">
        <f>('Données normes'!$E$86*CJ12)/CI68</f>
        <v>7.5</v>
      </c>
      <c r="CK68" s="42">
        <f>'Données normes'!$C$34</f>
        <v>21</v>
      </c>
      <c r="CL68" s="43">
        <f>CJ68*CK68</f>
        <v>157.5</v>
      </c>
      <c r="CM68" s="733">
        <f>CL68/$CL$76</f>
        <v>4.7828739238747909E-3</v>
      </c>
      <c r="CN68" s="38"/>
      <c r="CO68" s="301" t="s">
        <v>229</v>
      </c>
      <c r="CP68" s="250">
        <f>'Données normes'!$H$86</f>
        <v>300</v>
      </c>
      <c r="CQ68" s="44">
        <f>('Données normes'!$E$86*CQ12)/CP68</f>
        <v>7.5</v>
      </c>
      <c r="CR68" s="42">
        <f>'Données normes'!$C$34</f>
        <v>21</v>
      </c>
      <c r="CS68" s="43">
        <f>CQ68*CR68</f>
        <v>157.5</v>
      </c>
      <c r="CT68" s="733">
        <f>CS68/$CS$76</f>
        <v>4.7949304350423218E-3</v>
      </c>
      <c r="CU68" s="38"/>
      <c r="CV68" s="301" t="s">
        <v>229</v>
      </c>
      <c r="CW68" s="250">
        <f>'Données normes'!$H$86</f>
        <v>300</v>
      </c>
      <c r="CX68" s="44">
        <f>('Données normes'!$E$86*CX12)/CW68</f>
        <v>7.5</v>
      </c>
      <c r="CY68" s="42">
        <f>'Données normes'!$C$34</f>
        <v>21</v>
      </c>
      <c r="CZ68" s="43">
        <f>CX68*CY68</f>
        <v>157.5</v>
      </c>
      <c r="DA68" s="733">
        <f>CZ68/$CZ$76</f>
        <v>4.0113949342662344E-3</v>
      </c>
    </row>
    <row r="69" spans="1:110" s="1" customFormat="1" ht="13.5" thickBot="1" x14ac:dyDescent="0.35">
      <c r="A69" s="38"/>
      <c r="B69" s="39" t="s">
        <v>387</v>
      </c>
      <c r="C69" s="41"/>
      <c r="D69" s="728">
        <f>'Données normes'!F94+'Données normes'!G94</f>
        <v>20</v>
      </c>
      <c r="E69" s="42">
        <f>'Données normes'!$C$32</f>
        <v>35</v>
      </c>
      <c r="F69" s="464">
        <f t="shared" si="41"/>
        <v>700</v>
      </c>
      <c r="G69" s="733">
        <f>F69/$F$76</f>
        <v>5.9720389906942818E-2</v>
      </c>
      <c r="H69" s="38"/>
      <c r="I69" s="39" t="s">
        <v>387</v>
      </c>
      <c r="J69" s="41"/>
      <c r="K69" s="728">
        <f>'Données normes'!F95+'Données normes'!G95</f>
        <v>20</v>
      </c>
      <c r="L69" s="42">
        <f>'Données normes'!$C$32</f>
        <v>35</v>
      </c>
      <c r="M69" s="464">
        <f t="shared" si="42"/>
        <v>700</v>
      </c>
      <c r="N69" s="733">
        <f>M69/$M$76</f>
        <v>5.0338626990896779E-2</v>
      </c>
      <c r="O69" s="38"/>
      <c r="P69" s="39" t="s">
        <v>387</v>
      </c>
      <c r="Q69" s="41"/>
      <c r="R69" s="728">
        <f>'Données normes'!$F$93+'Données normes'!$G$93</f>
        <v>40</v>
      </c>
      <c r="S69" s="42">
        <f>'Données normes'!$C$32</f>
        <v>35</v>
      </c>
      <c r="T69" s="464">
        <f t="shared" si="43"/>
        <v>1400</v>
      </c>
      <c r="U69" s="733">
        <f>T69/$T$76</f>
        <v>5.3361409410929539E-2</v>
      </c>
      <c r="V69" s="38"/>
      <c r="W69" s="39" t="s">
        <v>387</v>
      </c>
      <c r="X69" s="41"/>
      <c r="Y69" s="728">
        <f>'Données normes'!$F$93+'Données normes'!$G$93</f>
        <v>40</v>
      </c>
      <c r="Z69" s="42">
        <f>'Données normes'!$C$32</f>
        <v>35</v>
      </c>
      <c r="AA69" s="464">
        <f t="shared" si="29"/>
        <v>1400</v>
      </c>
      <c r="AB69" s="733">
        <f>AA69/$AA$76</f>
        <v>4.9081837115863981E-2</v>
      </c>
      <c r="AC69" s="38"/>
      <c r="AD69" s="39" t="s">
        <v>387</v>
      </c>
      <c r="AE69" s="41"/>
      <c r="AF69" s="728">
        <f>'Données normes'!$F$93+'Données normes'!$G$93</f>
        <v>40</v>
      </c>
      <c r="AG69" s="42">
        <f>'Données normes'!$C$32</f>
        <v>35</v>
      </c>
      <c r="AH69" s="464">
        <f t="shared" si="30"/>
        <v>1400</v>
      </c>
      <c r="AI69" s="733">
        <f>AH69/$AH$76</f>
        <v>4.4921182714241129E-2</v>
      </c>
      <c r="AJ69" s="38"/>
      <c r="AK69" s="39" t="s">
        <v>387</v>
      </c>
      <c r="AL69" s="41"/>
      <c r="AM69" s="728">
        <f>'Données normes'!$F$93+'Données normes'!$G$93</f>
        <v>40</v>
      </c>
      <c r="AN69" s="42">
        <f>'Données normes'!$C$32</f>
        <v>35</v>
      </c>
      <c r="AO69" s="464">
        <f t="shared" si="31"/>
        <v>1400</v>
      </c>
      <c r="AP69" s="733">
        <f>AO69/$AO$76</f>
        <v>4.1527396282468626E-2</v>
      </c>
      <c r="AQ69" s="38"/>
      <c r="AR69" s="39" t="s">
        <v>387</v>
      </c>
      <c r="AS69" s="41"/>
      <c r="AT69" s="728">
        <f>'Données normes'!$F$93+'Données normes'!$G$93</f>
        <v>40</v>
      </c>
      <c r="AU69" s="42">
        <f>'Données normes'!$C$32</f>
        <v>35</v>
      </c>
      <c r="AV69" s="464">
        <f t="shared" si="32"/>
        <v>1400</v>
      </c>
      <c r="AW69" s="733">
        <f>AV69/$AV$76</f>
        <v>4.1671131991287004E-2</v>
      </c>
      <c r="AX69" s="38"/>
      <c r="AY69" s="39" t="s">
        <v>387</v>
      </c>
      <c r="AZ69" s="41"/>
      <c r="BA69" s="728">
        <f>'Données normes'!$F$93+'Données normes'!$G$93</f>
        <v>40</v>
      </c>
      <c r="BB69" s="42">
        <f>'Données normes'!$C$32</f>
        <v>35</v>
      </c>
      <c r="BC69" s="464">
        <f t="shared" si="33"/>
        <v>1400</v>
      </c>
      <c r="BD69" s="733">
        <f>BC69/$BC$76</f>
        <v>4.1818044826074256E-2</v>
      </c>
      <c r="BE69" s="38"/>
      <c r="BF69" s="39" t="s">
        <v>387</v>
      </c>
      <c r="BG69" s="41"/>
      <c r="BH69" s="728">
        <f>'Données normes'!$F$93+'Données normes'!$G$93</f>
        <v>40</v>
      </c>
      <c r="BI69" s="42">
        <f>'Données normes'!$C$32</f>
        <v>35</v>
      </c>
      <c r="BJ69" s="464">
        <f t="shared" si="34"/>
        <v>1400</v>
      </c>
      <c r="BK69" s="733">
        <f>BJ69/$BJ$76</f>
        <v>4.1968224473031161E-2</v>
      </c>
      <c r="BL69" s="38"/>
      <c r="BM69" s="39" t="s">
        <v>387</v>
      </c>
      <c r="BN69" s="41"/>
      <c r="BO69" s="728">
        <f>'Données normes'!$F$93+'Données normes'!$G$93</f>
        <v>40</v>
      </c>
      <c r="BP69" s="42">
        <f>'Données normes'!$C$32</f>
        <v>35</v>
      </c>
      <c r="BQ69" s="464">
        <f t="shared" si="35"/>
        <v>1400</v>
      </c>
      <c r="BR69" s="733">
        <f>BQ69/$BQ$76</f>
        <v>4.2121763911199331E-2</v>
      </c>
      <c r="BS69" s="38"/>
      <c r="BT69" s="39" t="s">
        <v>387</v>
      </c>
      <c r="BU69" s="41"/>
      <c r="BV69" s="728">
        <f>'Données normes'!$F$93+'Données normes'!$G$93</f>
        <v>40</v>
      </c>
      <c r="BW69" s="42">
        <f>'Données normes'!$C$32</f>
        <v>35</v>
      </c>
      <c r="BX69" s="464">
        <f t="shared" si="36"/>
        <v>1400</v>
      </c>
      <c r="BY69" s="733">
        <f>BX69/$BX$76</f>
        <v>4.2249908055018444E-2</v>
      </c>
      <c r="BZ69" s="38"/>
      <c r="CA69" s="39" t="s">
        <v>387</v>
      </c>
      <c r="CB69" s="41"/>
      <c r="CC69" s="728">
        <f>'Données normes'!$F$93+'Données normes'!$G$93</f>
        <v>40</v>
      </c>
      <c r="CD69" s="42">
        <f>'Données normes'!$C$32</f>
        <v>35</v>
      </c>
      <c r="CE69" s="464">
        <f t="shared" si="37"/>
        <v>1400</v>
      </c>
      <c r="CF69" s="733">
        <f>CE69/$CE$76</f>
        <v>4.2380774149555073E-2</v>
      </c>
      <c r="CG69" s="38"/>
      <c r="CH69" s="39" t="s">
        <v>387</v>
      </c>
      <c r="CI69" s="41"/>
      <c r="CJ69" s="728">
        <f>'Données normes'!$F$93+'Données normes'!$G$93</f>
        <v>40</v>
      </c>
      <c r="CK69" s="42">
        <f>'Données normes'!$C$32</f>
        <v>35</v>
      </c>
      <c r="CL69" s="464">
        <f t="shared" si="38"/>
        <v>1400</v>
      </c>
      <c r="CM69" s="733">
        <f>CL69/$CL$76</f>
        <v>4.2514434878887029E-2</v>
      </c>
      <c r="CN69" s="38"/>
      <c r="CO69" s="39" t="s">
        <v>387</v>
      </c>
      <c r="CP69" s="41"/>
      <c r="CQ69" s="728">
        <f>'Données normes'!$F$93+'Données normes'!$G$93</f>
        <v>40</v>
      </c>
      <c r="CR69" s="42">
        <f>'Données normes'!$C$32</f>
        <v>35</v>
      </c>
      <c r="CS69" s="464">
        <f t="shared" si="39"/>
        <v>1400</v>
      </c>
      <c r="CT69" s="733">
        <f>CS69/$CS$76</f>
        <v>4.2621603867042862E-2</v>
      </c>
      <c r="CU69" s="38"/>
      <c r="CV69" s="39" t="s">
        <v>387</v>
      </c>
      <c r="CW69" s="41"/>
      <c r="CX69" s="728">
        <f>'Données normes'!$F$93+'Données normes'!$G$93</f>
        <v>40</v>
      </c>
      <c r="CY69" s="42">
        <f>'Données normes'!$C$32</f>
        <v>35</v>
      </c>
      <c r="CZ69" s="464">
        <f t="shared" si="40"/>
        <v>1400</v>
      </c>
      <c r="DA69" s="733">
        <f>CZ69/$CZ$76</f>
        <v>3.5656843860144311E-2</v>
      </c>
    </row>
    <row r="70" spans="1:110" s="1" customFormat="1" ht="13" x14ac:dyDescent="0.3">
      <c r="A70" s="108" t="s">
        <v>376</v>
      </c>
      <c r="B70" s="1058">
        <f>('Données normes'!$F$34*D63)+('Données normes'!$F$34*D67)+D68</f>
        <v>0</v>
      </c>
      <c r="C70" s="108" t="s">
        <v>59</v>
      </c>
      <c r="D70" s="1059">
        <f>SUM(D59:D69)</f>
        <v>175</v>
      </c>
      <c r="E70" s="45"/>
      <c r="F70" s="52">
        <f>SUM(F67:F69)</f>
        <v>700</v>
      </c>
      <c r="G70" s="730">
        <f>F70/$F$76</f>
        <v>5.9720389906942818E-2</v>
      </c>
      <c r="H70" s="108" t="s">
        <v>376</v>
      </c>
      <c r="I70" s="1058">
        <f>('Données normes'!$F$34*K63)+('Données normes'!$F$34*K67)+K68</f>
        <v>32.424242424242422</v>
      </c>
      <c r="J70" s="108" t="s">
        <v>59</v>
      </c>
      <c r="K70" s="1059">
        <f>SUM(K59:K69)</f>
        <v>240.01515151515153</v>
      </c>
      <c r="L70" s="45"/>
      <c r="M70" s="52">
        <f>SUM(M67:M69)</f>
        <v>1807.840909090909</v>
      </c>
      <c r="N70" s="730">
        <f>M70/$M$76</f>
        <v>0.13000604168801572</v>
      </c>
      <c r="O70" s="108" t="s">
        <v>376</v>
      </c>
      <c r="P70" s="1058">
        <f>('Données normes'!$F$34*R63)+('Données normes'!$F$34*R67)+R68</f>
        <v>115.72727272727273</v>
      </c>
      <c r="Q70" s="108" t="s">
        <v>59</v>
      </c>
      <c r="R70" s="1059">
        <f>SUM(R59:R69)</f>
        <v>445.4545454545455</v>
      </c>
      <c r="S70" s="45"/>
      <c r="T70" s="52">
        <f>SUM(T67:T69)</f>
        <v>5388.227272727273</v>
      </c>
      <c r="U70" s="730">
        <f>T70/$T$76</f>
        <v>0.2053738582136688</v>
      </c>
      <c r="V70" s="108" t="s">
        <v>376</v>
      </c>
      <c r="W70" s="1058">
        <f>('Données normes'!$F$34*Y63)+('Données normes'!$F$34*Y67)+Y68</f>
        <v>147.1212121212121</v>
      </c>
      <c r="X70" s="108" t="s">
        <v>59</v>
      </c>
      <c r="Y70" s="1059">
        <f>SUM(Y59:Y69)</f>
        <v>509.07575757575756</v>
      </c>
      <c r="Z70" s="45"/>
      <c r="AA70" s="52">
        <f>SUM(AA67:AA69)</f>
        <v>6939.204545454545</v>
      </c>
      <c r="AB70" s="730">
        <f>AA70/$AA$76</f>
        <v>0.2432777908669021</v>
      </c>
      <c r="AC70" s="108" t="s">
        <v>376</v>
      </c>
      <c r="AD70" s="1058">
        <f>('Données normes'!$F$34*AF63)+('Données normes'!$F$34*AF67)+AF68</f>
        <v>191.96969696969697</v>
      </c>
      <c r="AE70" s="108" t="s">
        <v>59</v>
      </c>
      <c r="AF70" s="1059">
        <f>SUM(AF59:AF69)</f>
        <v>597.10606060606062</v>
      </c>
      <c r="AG70" s="45"/>
      <c r="AH70" s="52">
        <f>SUM(AH67:AH69)</f>
        <v>9154.886363636364</v>
      </c>
      <c r="AI70" s="730">
        <f>AH70/$AH$76</f>
        <v>0.29374880219215976</v>
      </c>
      <c r="AJ70" s="108" t="s">
        <v>376</v>
      </c>
      <c r="AK70" s="1058">
        <f>('Données normes'!$F$34*AM63)+('Données normes'!$F$34*AM67)+AM68</f>
        <v>236.81818181818181</v>
      </c>
      <c r="AL70" s="108" t="s">
        <v>59</v>
      </c>
      <c r="AM70" s="1059">
        <f>SUM(AM59:AM69)</f>
        <v>685.13636363636363</v>
      </c>
      <c r="AN70" s="45"/>
      <c r="AO70" s="52">
        <f>SUM(AO67:AO69)</f>
        <v>11370.568181818182</v>
      </c>
      <c r="AP70" s="730">
        <f>AO70/$AO$76</f>
        <v>0.33727863631656602</v>
      </c>
      <c r="AQ70" s="108" t="s">
        <v>376</v>
      </c>
      <c r="AR70" s="1058">
        <f>('Données normes'!$F$34*AT63)+('Données normes'!$F$34*AT67)+AT68</f>
        <v>236.81818181818181</v>
      </c>
      <c r="AS70" s="108" t="s">
        <v>59</v>
      </c>
      <c r="AT70" s="1059">
        <f>SUM(AT59:AT69)</f>
        <v>685.13636363636363</v>
      </c>
      <c r="AU70" s="45"/>
      <c r="AV70" s="52">
        <f>SUM(AV67:AV69)</f>
        <v>11370.568181818182</v>
      </c>
      <c r="AW70" s="730">
        <f>AV70/$AV$76</f>
        <v>0.3384460339431955</v>
      </c>
      <c r="AX70" s="108" t="s">
        <v>376</v>
      </c>
      <c r="AY70" s="1058">
        <f>('Données normes'!$F$34*BA63)+('Données normes'!$F$34*BA67)+BA68</f>
        <v>236.81818181818181</v>
      </c>
      <c r="AZ70" s="108" t="s">
        <v>59</v>
      </c>
      <c r="BA70" s="1059">
        <f>SUM(BA59:BA69)</f>
        <v>685.13636363636363</v>
      </c>
      <c r="BB70" s="45"/>
      <c r="BC70" s="52">
        <f>SUM(BC67:BC69)</f>
        <v>11370.568181818182</v>
      </c>
      <c r="BD70" s="730">
        <f>BC70/$BC$76</f>
        <v>0.33963923566086174</v>
      </c>
      <c r="BE70" s="108" t="s">
        <v>376</v>
      </c>
      <c r="BF70" s="1058">
        <f>('Données normes'!$F$34*BH63)+('Données normes'!$F$34*BH67)+BH68</f>
        <v>236.81818181818181</v>
      </c>
      <c r="BG70" s="108" t="s">
        <v>59</v>
      </c>
      <c r="BH70" s="1059">
        <f>SUM(BH59:BH69)</f>
        <v>685.13636363636363</v>
      </c>
      <c r="BI70" s="45"/>
      <c r="BJ70" s="52">
        <f>SUM(BJ67:BJ69)</f>
        <v>11370.568181818182</v>
      </c>
      <c r="BK70" s="730">
        <f>BJ70/$BJ$76</f>
        <v>0.34085896988603664</v>
      </c>
      <c r="BL70" s="108" t="s">
        <v>376</v>
      </c>
      <c r="BM70" s="1058">
        <f>('Données normes'!$F$34*BO63)+('Données normes'!$F$34*BO67)+BO68</f>
        <v>236.81818181818181</v>
      </c>
      <c r="BN70" s="108" t="s">
        <v>59</v>
      </c>
      <c r="BO70" s="1059">
        <f>SUM(BO59:BO69)</f>
        <v>685.13636363636363</v>
      </c>
      <c r="BP70" s="45"/>
      <c r="BQ70" s="52">
        <f>SUM(BQ67:BQ69)</f>
        <v>11370.568181818182</v>
      </c>
      <c r="BR70" s="730">
        <f>BQ70/$BQ$76</f>
        <v>0.34210599177910034</v>
      </c>
      <c r="BS70" s="108" t="s">
        <v>376</v>
      </c>
      <c r="BT70" s="1058">
        <f>('Données normes'!$F$34*BV63)+('Données normes'!$F$34*BV67)+BV68</f>
        <v>236.81818181818181</v>
      </c>
      <c r="BU70" s="108" t="s">
        <v>59</v>
      </c>
      <c r="BV70" s="1059">
        <f>SUM(BV59:BV69)</f>
        <v>685.13636363636363</v>
      </c>
      <c r="BW70" s="45"/>
      <c r="BX70" s="52">
        <f>SUM(BX67:BX69)</f>
        <v>11370.568181818182</v>
      </c>
      <c r="BY70" s="730">
        <f>BX70/$BX$76</f>
        <v>0.34314675729652599</v>
      </c>
      <c r="BZ70" s="108" t="s">
        <v>376</v>
      </c>
      <c r="CA70" s="1058">
        <f>('Données normes'!$F$34*CC63)+('Données normes'!$F$34*CC67)+CC68</f>
        <v>236.81818181818181</v>
      </c>
      <c r="CB70" s="108" t="s">
        <v>59</v>
      </c>
      <c r="CC70" s="1059">
        <f>SUM(CC59:CC69)</f>
        <v>685.13636363636363</v>
      </c>
      <c r="CD70" s="45"/>
      <c r="CE70" s="52">
        <f>SUM(CE67:CE69)</f>
        <v>11370.568181818182</v>
      </c>
      <c r="CF70" s="730">
        <f>CE70/$CE$76</f>
        <v>0.3442096300469667</v>
      </c>
      <c r="CG70" s="108" t="s">
        <v>376</v>
      </c>
      <c r="CH70" s="1058">
        <f>('Données normes'!$F$34*CJ63)+('Données normes'!$F$34*CJ67)+CJ68</f>
        <v>236.81818181818181</v>
      </c>
      <c r="CI70" s="108" t="s">
        <v>59</v>
      </c>
      <c r="CJ70" s="1059">
        <f>SUM(CJ59:CJ69)</f>
        <v>685.13636363636363</v>
      </c>
      <c r="CK70" s="45"/>
      <c r="CL70" s="52">
        <f>SUM(CL67:CL69)</f>
        <v>11370.568181818182</v>
      </c>
      <c r="CM70" s="730">
        <f>CL70/$CL$76</f>
        <v>0.34529520035846711</v>
      </c>
      <c r="CN70" s="108" t="s">
        <v>376</v>
      </c>
      <c r="CO70" s="1058">
        <f>('Données normes'!$F$34*CQ63)+('Données normes'!$F$34*CQ67)+CQ68</f>
        <v>236.81818181818181</v>
      </c>
      <c r="CP70" s="108" t="s">
        <v>59</v>
      </c>
      <c r="CQ70" s="1059">
        <f>SUM(CQ59:CQ69)</f>
        <v>685.13636363636363</v>
      </c>
      <c r="CR70" s="45"/>
      <c r="CS70" s="52">
        <f>SUM(CS67:CS69)</f>
        <v>11370.568181818182</v>
      </c>
      <c r="CT70" s="730">
        <f>CS70/$CS$76</f>
        <v>0.34616560913475453</v>
      </c>
      <c r="CU70" s="108" t="s">
        <v>376</v>
      </c>
      <c r="CV70" s="1058">
        <f>('Données normes'!$F$34*CX63)+('Données normes'!$F$34*CX67)+CX68</f>
        <v>236.81818181818181</v>
      </c>
      <c r="CW70" s="108" t="s">
        <v>59</v>
      </c>
      <c r="CX70" s="1059">
        <f>SUM(CX59:CX69)</f>
        <v>685.13636363636363</v>
      </c>
      <c r="CY70" s="45"/>
      <c r="CZ70" s="52">
        <f>SUM(CZ67:CZ69)</f>
        <v>11370.568181818182</v>
      </c>
      <c r="DA70" s="730">
        <f>CZ70/$CZ$76</f>
        <v>0.28959898161443992</v>
      </c>
    </row>
    <row r="71" spans="1:110" s="1" customFormat="1" ht="13" x14ac:dyDescent="0.3">
      <c r="A71" s="751"/>
      <c r="B71" s="760"/>
      <c r="C71" s="751"/>
      <c r="D71" s="761"/>
      <c r="E71" s="42"/>
      <c r="F71" s="80"/>
      <c r="G71" s="733"/>
      <c r="H71" s="751"/>
      <c r="I71" s="760"/>
      <c r="J71" s="751"/>
      <c r="K71" s="761"/>
      <c r="L71" s="42"/>
      <c r="M71" s="80"/>
      <c r="N71" s="733"/>
      <c r="O71" s="751"/>
      <c r="P71" s="760"/>
      <c r="Q71" s="751"/>
      <c r="R71" s="761"/>
      <c r="S71" s="42"/>
      <c r="T71" s="80"/>
      <c r="U71" s="733"/>
      <c r="V71" s="751"/>
      <c r="W71" s="760"/>
      <c r="X71" s="751"/>
      <c r="Y71" s="761"/>
      <c r="Z71" s="42"/>
      <c r="AA71" s="80"/>
      <c r="AB71" s="733"/>
      <c r="AC71" s="751"/>
      <c r="AD71" s="760"/>
      <c r="AE71" s="751"/>
      <c r="AF71" s="761"/>
      <c r="AG71" s="42"/>
      <c r="AH71" s="80"/>
      <c r="AI71" s="733"/>
      <c r="AJ71" s="751"/>
      <c r="AK71" s="760"/>
      <c r="AL71" s="751"/>
      <c r="AM71" s="761"/>
      <c r="AN71" s="42"/>
      <c r="AO71" s="80"/>
      <c r="AP71" s="733"/>
      <c r="AQ71" s="751"/>
      <c r="AR71" s="760"/>
      <c r="AS71" s="751"/>
      <c r="AT71" s="761"/>
      <c r="AU71" s="42"/>
      <c r="AV71" s="80"/>
      <c r="AW71" s="733"/>
      <c r="AX71" s="751"/>
      <c r="AY71" s="760"/>
      <c r="AZ71" s="751"/>
      <c r="BA71" s="761"/>
      <c r="BB71" s="42"/>
      <c r="BC71" s="80"/>
      <c r="BD71" s="733"/>
      <c r="BE71" s="751"/>
      <c r="BF71" s="760"/>
      <c r="BG71" s="751"/>
      <c r="BH71" s="761"/>
      <c r="BI71" s="42"/>
      <c r="BJ71" s="80"/>
      <c r="BK71" s="733"/>
      <c r="BL71" s="751"/>
      <c r="BM71" s="760"/>
      <c r="BN71" s="751"/>
      <c r="BO71" s="761"/>
      <c r="BP71" s="42"/>
      <c r="BQ71" s="80"/>
      <c r="BR71" s="733"/>
      <c r="BS71" s="751"/>
      <c r="BT71" s="760"/>
      <c r="BU71" s="751"/>
      <c r="BV71" s="761"/>
      <c r="BW71" s="42"/>
      <c r="BX71" s="80"/>
      <c r="BY71" s="733"/>
      <c r="BZ71" s="751"/>
      <c r="CA71" s="760"/>
      <c r="CB71" s="751"/>
      <c r="CC71" s="761"/>
      <c r="CD71" s="42"/>
      <c r="CE71" s="80"/>
      <c r="CF71" s="733"/>
      <c r="CG71" s="751"/>
      <c r="CH71" s="760"/>
      <c r="CI71" s="751"/>
      <c r="CJ71" s="761"/>
      <c r="CK71" s="42"/>
      <c r="CL71" s="80"/>
      <c r="CM71" s="733"/>
      <c r="CN71" s="751"/>
      <c r="CO71" s="760"/>
      <c r="CP71" s="751"/>
      <c r="CQ71" s="761"/>
      <c r="CR71" s="42"/>
      <c r="CS71" s="80"/>
      <c r="CT71" s="733"/>
      <c r="CU71" s="751"/>
      <c r="CV71" s="760"/>
      <c r="CW71" s="751"/>
      <c r="CX71" s="761"/>
      <c r="CY71" s="42"/>
      <c r="CZ71" s="80"/>
      <c r="DA71" s="733"/>
    </row>
    <row r="72" spans="1:110" s="1" customFormat="1" ht="18" customHeight="1" x14ac:dyDescent="0.3">
      <c r="A72" s="38" t="s">
        <v>377</v>
      </c>
      <c r="B72" s="39" t="s">
        <v>144</v>
      </c>
      <c r="C72" s="41"/>
      <c r="D72" s="41"/>
      <c r="E72" s="42"/>
      <c r="F72" s="43">
        <f>'Données normes'!$C$42</f>
        <v>660</v>
      </c>
      <c r="G72" s="733">
        <f>F72/$F$76</f>
        <v>5.6307796197974658E-2</v>
      </c>
      <c r="H72" s="38" t="s">
        <v>377</v>
      </c>
      <c r="I72" s="39" t="s">
        <v>144</v>
      </c>
      <c r="J72" s="41"/>
      <c r="K72" s="41"/>
      <c r="L72" s="42"/>
      <c r="M72" s="43">
        <f>'Données normes'!$C$42</f>
        <v>660</v>
      </c>
      <c r="N72" s="733">
        <f>M72/$M$76</f>
        <v>4.7462134019988396E-2</v>
      </c>
      <c r="O72" s="38" t="s">
        <v>377</v>
      </c>
      <c r="P72" s="39" t="s">
        <v>144</v>
      </c>
      <c r="Q72" s="41"/>
      <c r="R72" s="41"/>
      <c r="S72" s="42"/>
      <c r="T72" s="43">
        <f>'Données normes'!$C$42</f>
        <v>660</v>
      </c>
      <c r="U72" s="733">
        <f>T72/$T$76</f>
        <v>2.5156093008009642E-2</v>
      </c>
      <c r="V72" s="38" t="s">
        <v>377</v>
      </c>
      <c r="W72" s="39" t="s">
        <v>144</v>
      </c>
      <c r="X72" s="41"/>
      <c r="Y72" s="41"/>
      <c r="Z72" s="42"/>
      <c r="AA72" s="43">
        <f>'Données normes'!$C$42</f>
        <v>660</v>
      </c>
      <c r="AB72" s="733">
        <f>AA72/$AA$76</f>
        <v>2.3138580354621591E-2</v>
      </c>
      <c r="AC72" s="38" t="s">
        <v>377</v>
      </c>
      <c r="AD72" s="39" t="s">
        <v>144</v>
      </c>
      <c r="AE72" s="41"/>
      <c r="AF72" s="41"/>
      <c r="AG72" s="42"/>
      <c r="AH72" s="43">
        <f>'Données normes'!$C$42</f>
        <v>660</v>
      </c>
      <c r="AI72" s="733">
        <f>AH72/$AH$76</f>
        <v>2.1177128993856532E-2</v>
      </c>
      <c r="AJ72" s="38" t="s">
        <v>377</v>
      </c>
      <c r="AK72" s="39" t="s">
        <v>144</v>
      </c>
      <c r="AL72" s="41"/>
      <c r="AM72" s="41"/>
      <c r="AN72" s="42"/>
      <c r="AO72" s="43">
        <f>'Données normes'!$C$42</f>
        <v>660</v>
      </c>
      <c r="AP72" s="733">
        <f>AO72/$AO$76</f>
        <v>1.9577201104592355E-2</v>
      </c>
      <c r="AQ72" s="38" t="s">
        <v>377</v>
      </c>
      <c r="AR72" s="39" t="s">
        <v>144</v>
      </c>
      <c r="AS72" s="41"/>
      <c r="AT72" s="41"/>
      <c r="AU72" s="42"/>
      <c r="AV72" s="43">
        <f>'Données normes'!$C$42</f>
        <v>660</v>
      </c>
      <c r="AW72" s="733">
        <f>AV72/$AV$76</f>
        <v>1.9644962224463873E-2</v>
      </c>
      <c r="AX72" s="38" t="s">
        <v>377</v>
      </c>
      <c r="AY72" s="39" t="s">
        <v>144</v>
      </c>
      <c r="AZ72" s="41"/>
      <c r="BA72" s="41"/>
      <c r="BB72" s="42"/>
      <c r="BC72" s="43">
        <f>'Données normes'!$C$42</f>
        <v>660</v>
      </c>
      <c r="BD72" s="733">
        <f>BC72/$BC$76</f>
        <v>1.971422113229215E-2</v>
      </c>
      <c r="BE72" s="38" t="s">
        <v>377</v>
      </c>
      <c r="BF72" s="39" t="s">
        <v>144</v>
      </c>
      <c r="BG72" s="41"/>
      <c r="BH72" s="41"/>
      <c r="BI72" s="42"/>
      <c r="BJ72" s="43">
        <f>'Données normes'!$C$42</f>
        <v>660</v>
      </c>
      <c r="BK72" s="733">
        <f>BJ72/$BJ$76</f>
        <v>1.978502010871469E-2</v>
      </c>
      <c r="BL72" s="38" t="s">
        <v>377</v>
      </c>
      <c r="BM72" s="39" t="s">
        <v>144</v>
      </c>
      <c r="BN72" s="41"/>
      <c r="BO72" s="41"/>
      <c r="BP72" s="42"/>
      <c r="BQ72" s="43">
        <f>'Données normes'!$C$42</f>
        <v>660</v>
      </c>
      <c r="BR72" s="733">
        <f>BQ72/$BQ$76</f>
        <v>1.9857402986708256E-2</v>
      </c>
      <c r="BS72" s="38" t="s">
        <v>377</v>
      </c>
      <c r="BT72" s="39" t="s">
        <v>144</v>
      </c>
      <c r="BU72" s="41"/>
      <c r="BV72" s="41"/>
      <c r="BW72" s="42"/>
      <c r="BX72" s="43">
        <f>'Données normes'!$C$42</f>
        <v>660</v>
      </c>
      <c r="BY72" s="733">
        <f>BX72/$BX$76</f>
        <v>1.9917813797365836E-2</v>
      </c>
      <c r="BZ72" s="38" t="s">
        <v>377</v>
      </c>
      <c r="CA72" s="39" t="s">
        <v>144</v>
      </c>
      <c r="CB72" s="41"/>
      <c r="CC72" s="41"/>
      <c r="CD72" s="42"/>
      <c r="CE72" s="43">
        <f>'Données normes'!$C$42</f>
        <v>660</v>
      </c>
      <c r="CF72" s="733">
        <f>CE72/$CE$76</f>
        <v>1.9979507813361677E-2</v>
      </c>
      <c r="CG72" s="38" t="s">
        <v>377</v>
      </c>
      <c r="CH72" s="39" t="s">
        <v>144</v>
      </c>
      <c r="CI72" s="41"/>
      <c r="CJ72" s="41"/>
      <c r="CK72" s="42"/>
      <c r="CL72" s="43">
        <f>'Données normes'!$C$42</f>
        <v>660</v>
      </c>
      <c r="CM72" s="733">
        <f>CL72/$CL$76</f>
        <v>2.0042519300046743E-2</v>
      </c>
      <c r="CN72" s="38" t="s">
        <v>377</v>
      </c>
      <c r="CO72" s="39" t="s">
        <v>144</v>
      </c>
      <c r="CP72" s="41"/>
      <c r="CQ72" s="41"/>
      <c r="CR72" s="42"/>
      <c r="CS72" s="43">
        <f>'Données normes'!$C$42</f>
        <v>660</v>
      </c>
      <c r="CT72" s="733">
        <f>CS72/$CS$76</f>
        <v>2.009304182303449E-2</v>
      </c>
      <c r="CU72" s="38" t="s">
        <v>377</v>
      </c>
      <c r="CV72" s="39" t="s">
        <v>144</v>
      </c>
      <c r="CW72" s="41"/>
      <c r="CX72" s="41"/>
      <c r="CY72" s="42"/>
      <c r="CZ72" s="43">
        <f>'Données normes'!$C$42</f>
        <v>660</v>
      </c>
      <c r="DA72" s="733">
        <f>CZ72/$CZ$76</f>
        <v>1.6809654962639458E-2</v>
      </c>
    </row>
    <row r="73" spans="1:110" s="1" customFormat="1" ht="13" thickBot="1" x14ac:dyDescent="0.3">
      <c r="A73" s="18"/>
      <c r="B73" s="18" t="s">
        <v>386</v>
      </c>
      <c r="C73" s="1060">
        <f>'Données normes'!$C$41</f>
        <v>0.6</v>
      </c>
      <c r="D73" s="763">
        <f>'Données normes'!$C$40</f>
        <v>2.5000000000000001E-2</v>
      </c>
      <c r="E73" s="148">
        <f>(F79)*(-1)</f>
        <v>59539.32327272727</v>
      </c>
      <c r="F73" s="582">
        <f>D73*E73*C73</f>
        <v>893.08984909090907</v>
      </c>
      <c r="G73" s="733">
        <f>F73/$F$76</f>
        <v>7.6193820013774019E-2</v>
      </c>
      <c r="H73" s="18"/>
      <c r="I73" s="18" t="s">
        <v>386</v>
      </c>
      <c r="J73" s="1060">
        <f>'Données normes'!$C$41</f>
        <v>0.6</v>
      </c>
      <c r="K73" s="763">
        <f>'Données normes'!$C$40</f>
        <v>2.5000000000000001E-2</v>
      </c>
      <c r="L73" s="148">
        <f>(M79)*(-1)</f>
        <v>70160.613121818184</v>
      </c>
      <c r="M73" s="582">
        <f>K73*L73*J73</f>
        <v>1052.4091968272728</v>
      </c>
      <c r="N73" s="733">
        <f>M73/$M$76</f>
        <v>7.5681191429824796E-2</v>
      </c>
      <c r="O73" s="18"/>
      <c r="P73" s="18" t="s">
        <v>386</v>
      </c>
      <c r="Q73" s="1060">
        <f>'Données normes'!$C$41</f>
        <v>0.6</v>
      </c>
      <c r="R73" s="763">
        <f>'Données normes'!$C$40</f>
        <v>2.5000000000000001E-2</v>
      </c>
      <c r="S73" s="148">
        <f>(T79)*(-1)</f>
        <v>78481.435386827274</v>
      </c>
      <c r="T73" s="582">
        <f>R73*S73*Q73</f>
        <v>1177.2215308024092</v>
      </c>
      <c r="U73" s="733">
        <f>T73/$T$76</f>
        <v>4.4870142908934686E-2</v>
      </c>
      <c r="V73" s="18"/>
      <c r="W73" s="18" t="s">
        <v>386</v>
      </c>
      <c r="X73" s="1060">
        <f>'Données normes'!$C$41</f>
        <v>0.6</v>
      </c>
      <c r="Y73" s="763">
        <f>'Données normes'!$C$40</f>
        <v>2.5000000000000001E-2</v>
      </c>
      <c r="Z73" s="148">
        <f>(AA79)*(-1)</f>
        <v>87471.623963084232</v>
      </c>
      <c r="AA73" s="582">
        <f>Y73*Z73*X73</f>
        <v>1312.0743594462635</v>
      </c>
      <c r="AB73" s="733">
        <f>AA73/$AA$76</f>
        <v>4.5999299995887907E-2</v>
      </c>
      <c r="AC73" s="18"/>
      <c r="AD73" s="18" t="s">
        <v>386</v>
      </c>
      <c r="AE73" s="1060">
        <f>'Données normes'!$C$41</f>
        <v>0.6</v>
      </c>
      <c r="AF73" s="763">
        <f>'Données normes'!$C$40</f>
        <v>2.5000000000000001E-2</v>
      </c>
      <c r="AG73" s="148">
        <f>(AH79)*(-1)</f>
        <v>92470.413663439584</v>
      </c>
      <c r="AH73" s="582">
        <f>AF73*AG73*AE73</f>
        <v>1387.0562049515938</v>
      </c>
      <c r="AI73" s="733">
        <f>AH73/$AH$76</f>
        <v>4.4505860869680308E-2</v>
      </c>
      <c r="AJ73" s="18"/>
      <c r="AK73" s="18" t="s">
        <v>386</v>
      </c>
      <c r="AL73" s="1060">
        <f>'Données normes'!$C$41</f>
        <v>0.6</v>
      </c>
      <c r="AM73" s="763">
        <f>'Données normes'!$C$40</f>
        <v>2.5000000000000001E-2</v>
      </c>
      <c r="AN73" s="148">
        <f>(AO79)*(-1)</f>
        <v>91141.1113456639</v>
      </c>
      <c r="AO73" s="582">
        <f>AM73*AN73*AL73</f>
        <v>1367.1166701849586</v>
      </c>
      <c r="AP73" s="733">
        <f>AO73/$AO$76</f>
        <v>4.0551996947956956E-2</v>
      </c>
      <c r="AQ73" s="18"/>
      <c r="AR73" s="18" t="s">
        <v>386</v>
      </c>
      <c r="AS73" s="1060">
        <f>'Données normes'!$C$41</f>
        <v>0.6</v>
      </c>
      <c r="AT73" s="763">
        <f>'Données normes'!$C$40</f>
        <v>2.5000000000000001E-2</v>
      </c>
      <c r="AU73" s="148">
        <f>(AV79)*(-1)</f>
        <v>83388.795629485219</v>
      </c>
      <c r="AV73" s="582">
        <f>AT73*AU73*AS73</f>
        <v>1250.8319344422785</v>
      </c>
      <c r="AW73" s="733">
        <f>AV73/$AV$76</f>
        <v>3.7231130456472167E-2</v>
      </c>
      <c r="AX73" s="18"/>
      <c r="AY73" s="18" t="s">
        <v>386</v>
      </c>
      <c r="AZ73" s="1060">
        <f>'Données normes'!$C$41</f>
        <v>0.6</v>
      </c>
      <c r="BA73" s="763">
        <f>'Données normes'!$C$40</f>
        <v>2.5000000000000001E-2</v>
      </c>
      <c r="BB73" s="148">
        <f>(BC79)*(-1)</f>
        <v>75520.195177563859</v>
      </c>
      <c r="BC73" s="582">
        <f>BA73*BB73*AZ73</f>
        <v>1132.8029276634579</v>
      </c>
      <c r="BD73" s="733">
        <f>BC73/$BC$76</f>
        <v>3.3836859720099026E-2</v>
      </c>
      <c r="BE73" s="18"/>
      <c r="BF73" s="18" t="s">
        <v>386</v>
      </c>
      <c r="BG73" s="1060">
        <f>'Données normes'!$C$41</f>
        <v>0.6</v>
      </c>
      <c r="BH73" s="763">
        <f>'Données normes'!$C$40</f>
        <v>2.5000000000000001E-2</v>
      </c>
      <c r="BI73" s="148">
        <f>(BJ79)*(-1)</f>
        <v>67533.565718863683</v>
      </c>
      <c r="BJ73" s="582">
        <f>BH73*BI73*BG73</f>
        <v>1013.0034857829552</v>
      </c>
      <c r="BK73" s="733">
        <f>BJ73/$BJ$76</f>
        <v>3.0367112630930067E-2</v>
      </c>
      <c r="BL73" s="18"/>
      <c r="BM73" s="18" t="s">
        <v>386</v>
      </c>
      <c r="BN73" s="1060">
        <f>'Données normes'!$C$41</f>
        <v>0.6</v>
      </c>
      <c r="BO73" s="763">
        <f>'Données normes'!$C$40</f>
        <v>2.5000000000000001E-2</v>
      </c>
      <c r="BP73" s="148">
        <f>(BQ79)*(-1)</f>
        <v>59427.136818283005</v>
      </c>
      <c r="BQ73" s="582">
        <f>BO73*BP73*BN73</f>
        <v>891.40705227424507</v>
      </c>
      <c r="BR73" s="733">
        <f>BQ73/$BQ$76</f>
        <v>2.681974100333848E-2</v>
      </c>
      <c r="BS73" s="18"/>
      <c r="BT73" s="18" t="s">
        <v>386</v>
      </c>
      <c r="BU73" s="1060">
        <f>'Données normes'!$C$41</f>
        <v>0.6</v>
      </c>
      <c r="BV73" s="763">
        <f>'Données normes'!$C$40</f>
        <v>2.5000000000000001E-2</v>
      </c>
      <c r="BW73" s="148">
        <f>(BX79)*(-1)</f>
        <v>52706.611484193621</v>
      </c>
      <c r="BX73" s="582">
        <f>BV73*BW73*BU73</f>
        <v>790.5991722629044</v>
      </c>
      <c r="BY73" s="733">
        <f>BX73/$BX$76</f>
        <v>2.3859101668915285E-2</v>
      </c>
      <c r="BZ73" s="18"/>
      <c r="CA73" s="18" t="s">
        <v>386</v>
      </c>
      <c r="CB73" s="1060">
        <f>'Données normes'!$C$41</f>
        <v>0.6</v>
      </c>
      <c r="CC73" s="763">
        <f>'Données normes'!$C$40</f>
        <v>2.5000000000000001E-2</v>
      </c>
      <c r="CD73" s="148">
        <f>(CE79)*(-1)</f>
        <v>45885.27827009288</v>
      </c>
      <c r="CE73" s="582">
        <f>CC73*CD73*CB73</f>
        <v>688.27917405139328</v>
      </c>
      <c r="CF73" s="733">
        <f>CE73/$CE$76</f>
        <v>2.0835574448081717E-2</v>
      </c>
      <c r="CG73" s="18"/>
      <c r="CH73" s="18" t="s">
        <v>386</v>
      </c>
      <c r="CI73" s="1060">
        <f>'Données normes'!$C$41</f>
        <v>0.6</v>
      </c>
      <c r="CJ73" s="763">
        <f>'Données normes'!$C$40</f>
        <v>2.5000000000000001E-2</v>
      </c>
      <c r="CK73" s="148">
        <f>(CL79)*(-1)</f>
        <v>38961.625057780635</v>
      </c>
      <c r="CL73" s="582">
        <f>CJ73*CK73*CI73</f>
        <v>584.42437586670951</v>
      </c>
      <c r="CM73" s="733">
        <f>CL73/$CL$76</f>
        <v>1.7747480049585297E-2</v>
      </c>
      <c r="CN73" s="18"/>
      <c r="CO73" s="18" t="s">
        <v>386</v>
      </c>
      <c r="CP73" s="1060">
        <f>'Données normes'!$C$41</f>
        <v>0.6</v>
      </c>
      <c r="CQ73" s="763">
        <f>'Données normes'!$C$40</f>
        <v>2.5000000000000001E-2</v>
      </c>
      <c r="CR73" s="148">
        <f>(CS79)*(-1)</f>
        <v>33441.617047283711</v>
      </c>
      <c r="CS73" s="582">
        <f>CQ73*CR73*CP73</f>
        <v>501.62425570925564</v>
      </c>
      <c r="CT73" s="733">
        <f>CS73/$CS$76</f>
        <v>1.5271450226385791E-2</v>
      </c>
      <c r="CU73" s="18"/>
      <c r="CV73" s="18" t="s">
        <v>386</v>
      </c>
      <c r="CW73" s="1060">
        <f>'Données normes'!$C$41</f>
        <v>0.6</v>
      </c>
      <c r="CX73" s="763">
        <f>'Données normes'!$C$40</f>
        <v>2.5000000000000001E-2</v>
      </c>
      <c r="CY73" s="148">
        <f>(CZ79)*(-1)</f>
        <v>27838.808916629321</v>
      </c>
      <c r="CZ73" s="582">
        <f>CX73*CY73*CW73</f>
        <v>417.58213374943983</v>
      </c>
      <c r="DA73" s="733">
        <f>CZ73/$CZ$76</f>
        <v>1.0635472101349765E-2</v>
      </c>
    </row>
    <row r="74" spans="1:110" s="1" customFormat="1" ht="13" x14ac:dyDescent="0.3">
      <c r="A74" s="18"/>
      <c r="B74" s="18"/>
      <c r="C74" s="762"/>
      <c r="D74" s="763"/>
      <c r="E74" s="290"/>
      <c r="F74" s="82">
        <f>SUM(F72:F73)</f>
        <v>1553.089849090909</v>
      </c>
      <c r="G74" s="730">
        <f>F74/$F$76</f>
        <v>0.13250161621174866</v>
      </c>
      <c r="H74" s="18"/>
      <c r="I74" s="18"/>
      <c r="J74" s="762"/>
      <c r="K74" s="763"/>
      <c r="L74" s="290"/>
      <c r="M74" s="82">
        <f>SUM(M72:M73)</f>
        <v>1712.4091968272728</v>
      </c>
      <c r="N74" s="730">
        <f>M74/$M$76</f>
        <v>0.12314332544981318</v>
      </c>
      <c r="O74" s="18"/>
      <c r="P74" s="18"/>
      <c r="Q74" s="762"/>
      <c r="R74" s="763"/>
      <c r="S74" s="290"/>
      <c r="T74" s="82">
        <f>SUM(T72:T73)</f>
        <v>1837.2215308024092</v>
      </c>
      <c r="U74" s="730">
        <f>T74/$T$76</f>
        <v>7.0026235916944332E-2</v>
      </c>
      <c r="V74" s="18"/>
      <c r="W74" s="18"/>
      <c r="X74" s="762"/>
      <c r="Y74" s="763"/>
      <c r="Z74" s="290"/>
      <c r="AA74" s="82">
        <f>SUM(AA72:AA73)</f>
        <v>1972.0743594462635</v>
      </c>
      <c r="AB74" s="730">
        <f>AA74/$AA$76</f>
        <v>6.9137880350509495E-2</v>
      </c>
      <c r="AC74" s="18"/>
      <c r="AD74" s="18"/>
      <c r="AE74" s="762"/>
      <c r="AF74" s="763"/>
      <c r="AG74" s="290"/>
      <c r="AH74" s="82">
        <f>SUM(AH72:AH73)</f>
        <v>2047.0562049515938</v>
      </c>
      <c r="AI74" s="730">
        <f>AH74/$AH$76</f>
        <v>6.5682989863536836E-2</v>
      </c>
      <c r="AJ74" s="18"/>
      <c r="AK74" s="18"/>
      <c r="AL74" s="762"/>
      <c r="AM74" s="763"/>
      <c r="AN74" s="290"/>
      <c r="AO74" s="82">
        <f>SUM(AO72:AO73)</f>
        <v>2027.1166701849586</v>
      </c>
      <c r="AP74" s="730">
        <f>AO74/$AO$76</f>
        <v>6.0129198052549307E-2</v>
      </c>
      <c r="AQ74" s="18"/>
      <c r="AR74" s="18"/>
      <c r="AS74" s="762"/>
      <c r="AT74" s="763"/>
      <c r="AU74" s="290"/>
      <c r="AV74" s="82">
        <f>SUM(AV72:AV73)</f>
        <v>1910.8319344422785</v>
      </c>
      <c r="AW74" s="730">
        <f>AV74/$AV$76</f>
        <v>5.687609268093604E-2</v>
      </c>
      <c r="AX74" s="18"/>
      <c r="AY74" s="18"/>
      <c r="AZ74" s="762"/>
      <c r="BA74" s="763"/>
      <c r="BB74" s="290"/>
      <c r="BC74" s="82">
        <f>SUM(BC72:BC73)</f>
        <v>1792.8029276634579</v>
      </c>
      <c r="BD74" s="730">
        <f>BC74/$BC$76</f>
        <v>5.3551080852391179E-2</v>
      </c>
      <c r="BE74" s="18"/>
      <c r="BF74" s="18"/>
      <c r="BG74" s="762"/>
      <c r="BH74" s="763"/>
      <c r="BI74" s="290"/>
      <c r="BJ74" s="82">
        <f>SUM(BJ72:BJ73)</f>
        <v>1673.0034857829551</v>
      </c>
      <c r="BK74" s="730">
        <f>BJ74/$BJ$76</f>
        <v>5.0152132739644757E-2</v>
      </c>
      <c r="BL74" s="18"/>
      <c r="BM74" s="18"/>
      <c r="BN74" s="762"/>
      <c r="BO74" s="763"/>
      <c r="BP74" s="290"/>
      <c r="BQ74" s="82">
        <f>SUM(BQ72:BQ73)</f>
        <v>1551.407052274245</v>
      </c>
      <c r="BR74" s="730">
        <f>BQ74/$BQ$76</f>
        <v>4.6677143990046736E-2</v>
      </c>
      <c r="BS74" s="18"/>
      <c r="BT74" s="18"/>
      <c r="BU74" s="762"/>
      <c r="BV74" s="763"/>
      <c r="BW74" s="290"/>
      <c r="BX74" s="82">
        <f>SUM(BX72:BX73)</f>
        <v>1450.5991722629044</v>
      </c>
      <c r="BY74" s="730">
        <f>BX74/$BX$76</f>
        <v>4.3776915466281124E-2</v>
      </c>
      <c r="BZ74" s="18"/>
      <c r="CA74" s="18"/>
      <c r="CB74" s="762"/>
      <c r="CC74" s="763"/>
      <c r="CD74" s="290"/>
      <c r="CE74" s="82">
        <f>SUM(CE72:CE73)</f>
        <v>1348.2791740513933</v>
      </c>
      <c r="CF74" s="730">
        <f>CE74/$CE$76</f>
        <v>4.081508226144339E-2</v>
      </c>
      <c r="CG74" s="18"/>
      <c r="CH74" s="18"/>
      <c r="CI74" s="762"/>
      <c r="CJ74" s="763"/>
      <c r="CK74" s="290"/>
      <c r="CL74" s="82">
        <f>SUM(CL72:CL73)</f>
        <v>1244.4243758667094</v>
      </c>
      <c r="CM74" s="730">
        <f>CL74/$CL$76</f>
        <v>3.7789999349632036E-2</v>
      </c>
      <c r="CN74" s="18"/>
      <c r="CO74" s="18"/>
      <c r="CP74" s="762"/>
      <c r="CQ74" s="763"/>
      <c r="CR74" s="290"/>
      <c r="CS74" s="82">
        <f>SUM(CS72:CS73)</f>
        <v>1161.6242557092555</v>
      </c>
      <c r="CT74" s="730">
        <f>CS74/$CS$76</f>
        <v>3.5364492049420278E-2</v>
      </c>
      <c r="CU74" s="18"/>
      <c r="CV74" s="18"/>
      <c r="CW74" s="762"/>
      <c r="CX74" s="763"/>
      <c r="CY74" s="290"/>
      <c r="CZ74" s="82">
        <f>SUM(CZ72:CZ73)</f>
        <v>1077.5821337494399</v>
      </c>
      <c r="DA74" s="730">
        <f>CZ74/$CZ$76</f>
        <v>2.7445127063989227E-2</v>
      </c>
    </row>
    <row r="75" spans="1:110" s="16" customFormat="1" x14ac:dyDescent="0.35">
      <c r="A75" s="592" t="s">
        <v>158</v>
      </c>
      <c r="B75" s="600"/>
      <c r="C75" s="617"/>
      <c r="D75" s="601"/>
      <c r="E75" s="602"/>
      <c r="F75" s="676">
        <f>F42+F57+F66+F70+F74</f>
        <v>8679.2898490909083</v>
      </c>
      <c r="G75" s="735">
        <f>F75/$F$76</f>
        <v>0.74047224843297133</v>
      </c>
      <c r="H75" s="592" t="s">
        <v>158</v>
      </c>
      <c r="I75" s="600"/>
      <c r="J75" s="617"/>
      <c r="K75" s="601"/>
      <c r="L75" s="602"/>
      <c r="M75" s="676">
        <f>M74+M70+M57+M42+M66</f>
        <v>10711.07226500909</v>
      </c>
      <c r="N75" s="735">
        <f>M75/$M$76</f>
        <v>0.77025810202976075</v>
      </c>
      <c r="O75" s="592" t="s">
        <v>158</v>
      </c>
      <c r="P75" s="600"/>
      <c r="Q75" s="617"/>
      <c r="R75" s="601"/>
      <c r="S75" s="602"/>
      <c r="T75" s="676">
        <f>T74+T70+T57+T42+T66</f>
        <v>18702.988576256954</v>
      </c>
      <c r="U75" s="735">
        <f>T75/$T$76</f>
        <v>0.71286987901827537</v>
      </c>
      <c r="V75" s="592" t="s">
        <v>158</v>
      </c>
      <c r="W75" s="600"/>
      <c r="X75" s="617"/>
      <c r="Y75" s="601"/>
      <c r="Z75" s="602"/>
      <c r="AA75" s="676">
        <f>AA74+AA70+AA57+AA42+AA66</f>
        <v>20920.789700355352</v>
      </c>
      <c r="AB75" s="735">
        <f>AA75/$AA$76</f>
        <v>0.73345056600577585</v>
      </c>
      <c r="AC75" s="592" t="s">
        <v>158</v>
      </c>
      <c r="AD75" s="600"/>
      <c r="AE75" s="617"/>
      <c r="AF75" s="601"/>
      <c r="AG75" s="602"/>
      <c r="AH75" s="676">
        <f>AH74+AH70+AH57+AH42+AH66</f>
        <v>23553.697682224323</v>
      </c>
      <c r="AI75" s="735">
        <f>AH75/$AH$76</f>
        <v>0.75575711227085463</v>
      </c>
      <c r="AJ75" s="592" t="s">
        <v>158</v>
      </c>
      <c r="AK75" s="600"/>
      <c r="AL75" s="617"/>
      <c r="AM75" s="601"/>
      <c r="AN75" s="602"/>
      <c r="AO75" s="676">
        <f>AO74+AO70+AO57+AO42+AO66</f>
        <v>26091.68428382132</v>
      </c>
      <c r="AP75" s="735">
        <f>AO75/$AO$76</f>
        <v>0.77394265209379043</v>
      </c>
      <c r="AQ75" s="592" t="s">
        <v>158</v>
      </c>
      <c r="AR75" s="600"/>
      <c r="AS75" s="617"/>
      <c r="AT75" s="601"/>
      <c r="AU75" s="602"/>
      <c r="AV75" s="676">
        <f>AV74+AV70+AV57+AV42+AV66</f>
        <v>25975.39954807864</v>
      </c>
      <c r="AW75" s="735">
        <f>AV75/$AV$76</f>
        <v>0.77316021649600131</v>
      </c>
      <c r="AX75" s="592" t="s">
        <v>158</v>
      </c>
      <c r="AY75" s="600"/>
      <c r="AZ75" s="617"/>
      <c r="BA75" s="601"/>
      <c r="BB75" s="602"/>
      <c r="BC75" s="676">
        <f>BC74+BC70+BC57+BC42+BC66</f>
        <v>25857.370541299821</v>
      </c>
      <c r="BD75" s="735">
        <f>BC75/$BC$76</f>
        <v>0.77236048598606277</v>
      </c>
      <c r="BE75" s="592" t="s">
        <v>158</v>
      </c>
      <c r="BF75" s="600"/>
      <c r="BG75" s="617"/>
      <c r="BH75" s="601"/>
      <c r="BI75" s="602"/>
      <c r="BJ75" s="676">
        <f>BJ74+BJ70+BJ57+BJ42+BJ66</f>
        <v>25737.571099419318</v>
      </c>
      <c r="BK75" s="735">
        <f>BJ75/$BJ$76</f>
        <v>0.77154297235073521</v>
      </c>
      <c r="BL75" s="592" t="s">
        <v>158</v>
      </c>
      <c r="BM75" s="600"/>
      <c r="BN75" s="617"/>
      <c r="BO75" s="601"/>
      <c r="BP75" s="602"/>
      <c r="BQ75" s="676">
        <f>BQ74+BQ70+BQ57+BQ42+BQ66</f>
        <v>25615.974665910609</v>
      </c>
      <c r="BR75" s="735">
        <f>BQ75/$BQ$76</f>
        <v>0.77070716945196416</v>
      </c>
      <c r="BS75" s="592" t="s">
        <v>158</v>
      </c>
      <c r="BT75" s="600"/>
      <c r="BU75" s="617"/>
      <c r="BV75" s="601"/>
      <c r="BW75" s="602"/>
      <c r="BX75" s="676">
        <f>BX74+BX70+BX57+BX42+BX66</f>
        <v>25515.166785899266</v>
      </c>
      <c r="BY75" s="735">
        <f>BX75/$BX$76</f>
        <v>0.77000960765193172</v>
      </c>
      <c r="BZ75" s="592" t="s">
        <v>158</v>
      </c>
      <c r="CA75" s="600"/>
      <c r="CB75" s="617"/>
      <c r="CC75" s="601"/>
      <c r="CD75" s="602"/>
      <c r="CE75" s="676">
        <f>CE74+CE70+CE57+CE42+CE66</f>
        <v>25412.846787687755</v>
      </c>
      <c r="CF75" s="735">
        <f>CE75/$CE$76</f>
        <v>0.7692972287187434</v>
      </c>
      <c r="CG75" s="592" t="s">
        <v>158</v>
      </c>
      <c r="CH75" s="600"/>
      <c r="CI75" s="617"/>
      <c r="CJ75" s="601"/>
      <c r="CK75" s="602"/>
      <c r="CL75" s="676">
        <f>CL74+CL70+CL57+CL42+CL66</f>
        <v>25308.991989503073</v>
      </c>
      <c r="CM75" s="735">
        <f>CL75/$CL$76</f>
        <v>0.76856963699142988</v>
      </c>
      <c r="CN75" s="592" t="s">
        <v>158</v>
      </c>
      <c r="CO75" s="600"/>
      <c r="CP75" s="617"/>
      <c r="CQ75" s="601"/>
      <c r="CR75" s="602"/>
      <c r="CS75" s="676">
        <f>CS74+CS70+CS57+CS42+CS66</f>
        <v>25226.191869345617</v>
      </c>
      <c r="CT75" s="735">
        <f>CS75/$CS$76</f>
        <v>0.76798625494947592</v>
      </c>
      <c r="CU75" s="592" t="s">
        <v>158</v>
      </c>
      <c r="CV75" s="600"/>
      <c r="CW75" s="617"/>
      <c r="CX75" s="601"/>
      <c r="CY75" s="602"/>
      <c r="CZ75" s="676">
        <f>CZ74+CZ70+CZ57+CZ42+CZ66</f>
        <v>25142.149747385803</v>
      </c>
      <c r="DA75" s="735">
        <f>CZ75/$CZ$76</f>
        <v>0.64034979132207304</v>
      </c>
    </row>
    <row r="76" spans="1:110" s="302" customFormat="1" ht="20" x14ac:dyDescent="0.4">
      <c r="A76" s="589" t="s">
        <v>378</v>
      </c>
      <c r="B76" s="618"/>
      <c r="C76" s="619"/>
      <c r="D76" s="620"/>
      <c r="E76" s="621"/>
      <c r="F76" s="590">
        <f>F75+F41</f>
        <v>11721.289849090908</v>
      </c>
      <c r="G76" s="322">
        <f>F76/$F$76</f>
        <v>1</v>
      </c>
      <c r="H76" s="589" t="s">
        <v>501</v>
      </c>
      <c r="I76" s="618"/>
      <c r="J76" s="619"/>
      <c r="K76" s="620"/>
      <c r="L76" s="621"/>
      <c r="M76" s="590">
        <f>M75+M41</f>
        <v>13905.82226500909</v>
      </c>
      <c r="N76" s="322">
        <f>M76/$M$76</f>
        <v>1</v>
      </c>
      <c r="O76" s="589" t="s">
        <v>500</v>
      </c>
      <c r="P76" s="618"/>
      <c r="Q76" s="619"/>
      <c r="R76" s="620"/>
      <c r="S76" s="621"/>
      <c r="T76" s="590">
        <f>T75+T41</f>
        <v>26236.188576256955</v>
      </c>
      <c r="U76" s="322">
        <f>T76/$T$76</f>
        <v>1</v>
      </c>
      <c r="V76" s="589" t="s">
        <v>502</v>
      </c>
      <c r="W76" s="618"/>
      <c r="X76" s="619"/>
      <c r="Y76" s="620"/>
      <c r="Z76" s="621"/>
      <c r="AA76" s="590">
        <f>AA75+AA41</f>
        <v>28523.789700355352</v>
      </c>
      <c r="AB76" s="322">
        <f>AA76/$AA$76</f>
        <v>1</v>
      </c>
      <c r="AC76" s="589" t="s">
        <v>503</v>
      </c>
      <c r="AD76" s="618"/>
      <c r="AE76" s="619"/>
      <c r="AF76" s="620"/>
      <c r="AG76" s="621"/>
      <c r="AH76" s="590">
        <f>AH75+AH41</f>
        <v>31165.697682224323</v>
      </c>
      <c r="AI76" s="322">
        <f>AH76/$AH$76</f>
        <v>1</v>
      </c>
      <c r="AJ76" s="589" t="s">
        <v>504</v>
      </c>
      <c r="AK76" s="618"/>
      <c r="AL76" s="619"/>
      <c r="AM76" s="620"/>
      <c r="AN76" s="621"/>
      <c r="AO76" s="590">
        <f>AO75+AO41</f>
        <v>33712.68428382132</v>
      </c>
      <c r="AP76" s="322">
        <f>AO76/$AO$76</f>
        <v>1</v>
      </c>
      <c r="AQ76" s="589" t="s">
        <v>505</v>
      </c>
      <c r="AR76" s="618"/>
      <c r="AS76" s="619"/>
      <c r="AT76" s="620"/>
      <c r="AU76" s="621"/>
      <c r="AV76" s="590">
        <f>AV75+AV41</f>
        <v>33596.39954807864</v>
      </c>
      <c r="AW76" s="322">
        <f>AV76/$AV$76</f>
        <v>1</v>
      </c>
      <c r="AX76" s="589" t="s">
        <v>506</v>
      </c>
      <c r="AY76" s="618"/>
      <c r="AZ76" s="619"/>
      <c r="BA76" s="620"/>
      <c r="BB76" s="621"/>
      <c r="BC76" s="590">
        <f>BC75+BC41</f>
        <v>33478.370541299824</v>
      </c>
      <c r="BD76" s="322">
        <f>BC76/$BC$76</f>
        <v>1</v>
      </c>
      <c r="BE76" s="589" t="s">
        <v>507</v>
      </c>
      <c r="BF76" s="618"/>
      <c r="BG76" s="619"/>
      <c r="BH76" s="620"/>
      <c r="BI76" s="621"/>
      <c r="BJ76" s="590">
        <f>BJ75+BJ41</f>
        <v>33358.571099419321</v>
      </c>
      <c r="BK76" s="322">
        <f>BJ76/$BJ$76</f>
        <v>1</v>
      </c>
      <c r="BL76" s="589" t="s">
        <v>508</v>
      </c>
      <c r="BM76" s="618"/>
      <c r="BN76" s="619"/>
      <c r="BO76" s="620"/>
      <c r="BP76" s="621"/>
      <c r="BQ76" s="590">
        <f>BQ75+BQ41</f>
        <v>33236.974665910609</v>
      </c>
      <c r="BR76" s="322">
        <f>BQ76/$BQ$76</f>
        <v>1</v>
      </c>
      <c r="BS76" s="589" t="s">
        <v>509</v>
      </c>
      <c r="BT76" s="618"/>
      <c r="BU76" s="619"/>
      <c r="BV76" s="620"/>
      <c r="BW76" s="621"/>
      <c r="BX76" s="590">
        <f>BX75+BX41</f>
        <v>33136.166785899266</v>
      </c>
      <c r="BY76" s="322">
        <f>BX76/$BX$76</f>
        <v>1</v>
      </c>
      <c r="BZ76" s="589" t="s">
        <v>510</v>
      </c>
      <c r="CA76" s="618"/>
      <c r="CB76" s="619"/>
      <c r="CC76" s="620"/>
      <c r="CD76" s="621"/>
      <c r="CE76" s="590">
        <f>CE75+CE41</f>
        <v>33033.846787687755</v>
      </c>
      <c r="CF76" s="322">
        <f>CE76/$CE$76</f>
        <v>1</v>
      </c>
      <c r="CG76" s="589" t="s">
        <v>511</v>
      </c>
      <c r="CH76" s="618"/>
      <c r="CI76" s="619"/>
      <c r="CJ76" s="620"/>
      <c r="CK76" s="621"/>
      <c r="CL76" s="590">
        <f>CL75+CL41</f>
        <v>32929.991989503076</v>
      </c>
      <c r="CM76" s="322">
        <f>CL76/$CL$76</f>
        <v>1</v>
      </c>
      <c r="CN76" s="589" t="s">
        <v>512</v>
      </c>
      <c r="CO76" s="618"/>
      <c r="CP76" s="619"/>
      <c r="CQ76" s="620"/>
      <c r="CR76" s="621"/>
      <c r="CS76" s="590">
        <f>CS75+CS41</f>
        <v>32847.191869345617</v>
      </c>
      <c r="CT76" s="322">
        <f>CS76/$CS$76</f>
        <v>1</v>
      </c>
      <c r="CU76" s="589" t="s">
        <v>513</v>
      </c>
      <c r="CV76" s="618"/>
      <c r="CW76" s="619"/>
      <c r="CX76" s="620"/>
      <c r="CY76" s="621"/>
      <c r="CZ76" s="590">
        <f>CZ75+CZ41+CV82</f>
        <v>39263.149747385803</v>
      </c>
      <c r="DA76" s="322">
        <f>CZ76/$CZ$76</f>
        <v>1</v>
      </c>
    </row>
    <row r="77" spans="1:110" s="16" customFormat="1" x14ac:dyDescent="0.35">
      <c r="A77" s="303" t="s">
        <v>367</v>
      </c>
      <c r="F77" s="304">
        <f>F15</f>
        <v>1100</v>
      </c>
      <c r="G77" s="305"/>
      <c r="H77" s="303" t="s">
        <v>367</v>
      </c>
      <c r="M77" s="304">
        <f>M15</f>
        <v>5585</v>
      </c>
      <c r="N77" s="305"/>
      <c r="O77" s="303" t="s">
        <v>367</v>
      </c>
      <c r="T77" s="304">
        <f>T15</f>
        <v>17246</v>
      </c>
      <c r="U77" s="305"/>
      <c r="V77" s="303" t="s">
        <v>367</v>
      </c>
      <c r="AA77" s="304">
        <f>AA15</f>
        <v>23525.000000000004</v>
      </c>
      <c r="AB77" s="305"/>
      <c r="AC77" s="303" t="s">
        <v>367</v>
      </c>
      <c r="AH77" s="304">
        <f>AH15</f>
        <v>32495.000000000004</v>
      </c>
      <c r="AI77" s="305"/>
      <c r="AJ77" s="303" t="s">
        <v>367</v>
      </c>
      <c r="AO77" s="304">
        <f>AO15</f>
        <v>41465</v>
      </c>
      <c r="AP77" s="305"/>
      <c r="AQ77" s="303" t="s">
        <v>367</v>
      </c>
      <c r="AV77" s="304">
        <f>AV15</f>
        <v>41465</v>
      </c>
      <c r="AW77" s="305"/>
      <c r="AX77" s="303" t="s">
        <v>367</v>
      </c>
      <c r="BC77" s="304">
        <f>BC15</f>
        <v>41465</v>
      </c>
      <c r="BD77" s="305"/>
      <c r="BE77" s="303" t="s">
        <v>367</v>
      </c>
      <c r="BJ77" s="304">
        <f>BJ15</f>
        <v>41465</v>
      </c>
      <c r="BK77" s="305"/>
      <c r="BL77" s="303" t="s">
        <v>367</v>
      </c>
      <c r="BQ77" s="304">
        <f>BQ15</f>
        <v>39957.5</v>
      </c>
      <c r="BR77" s="305"/>
      <c r="BS77" s="303" t="s">
        <v>367</v>
      </c>
      <c r="BX77" s="304">
        <f>BX15</f>
        <v>39957.5</v>
      </c>
      <c r="BY77" s="305"/>
      <c r="BZ77" s="303" t="s">
        <v>367</v>
      </c>
      <c r="CE77" s="304">
        <f>CE15</f>
        <v>39957.5</v>
      </c>
      <c r="CF77" s="305"/>
      <c r="CG77" s="303" t="s">
        <v>367</v>
      </c>
      <c r="CL77" s="304">
        <f>CL15</f>
        <v>38450</v>
      </c>
      <c r="CM77" s="305"/>
      <c r="CN77" s="303" t="s">
        <v>367</v>
      </c>
      <c r="CS77" s="304">
        <f>CS15</f>
        <v>38450</v>
      </c>
      <c r="CT77" s="305"/>
      <c r="CU77" s="303" t="s">
        <v>367</v>
      </c>
      <c r="CZ77" s="304">
        <f>CZ15</f>
        <v>38450</v>
      </c>
      <c r="DA77" s="305"/>
    </row>
    <row r="78" spans="1:110" s="16" customFormat="1" x14ac:dyDescent="0.35">
      <c r="A78" s="303" t="s">
        <v>379</v>
      </c>
      <c r="F78" s="304">
        <f>F77-F76</f>
        <v>-10621.289849090908</v>
      </c>
      <c r="G78" s="305"/>
      <c r="H78" s="303" t="s">
        <v>379</v>
      </c>
      <c r="M78" s="304">
        <f>M77-M76</f>
        <v>-8320.8222650090902</v>
      </c>
      <c r="N78" s="305"/>
      <c r="O78" s="303" t="s">
        <v>67</v>
      </c>
      <c r="T78" s="304">
        <f>T77-T76</f>
        <v>-8990.1885762569545</v>
      </c>
      <c r="U78" s="305"/>
      <c r="V78" s="303" t="s">
        <v>67</v>
      </c>
      <c r="AA78" s="304">
        <f>AA77-AA76</f>
        <v>-4998.789700355348</v>
      </c>
      <c r="AB78" s="305"/>
      <c r="AC78" s="303" t="s">
        <v>67</v>
      </c>
      <c r="AH78" s="304">
        <f>AH77-AH76</f>
        <v>1329.3023177756804</v>
      </c>
      <c r="AI78" s="305"/>
      <c r="AJ78" s="303" t="s">
        <v>67</v>
      </c>
      <c r="AO78" s="304">
        <f>AO77-AO76</f>
        <v>7752.3157161786803</v>
      </c>
      <c r="AP78" s="305"/>
      <c r="AQ78" s="303" t="s">
        <v>67</v>
      </c>
      <c r="AV78" s="304">
        <f>AV77-AV76</f>
        <v>7868.6004519213602</v>
      </c>
      <c r="AW78" s="305"/>
      <c r="AX78" s="303" t="s">
        <v>67</v>
      </c>
      <c r="BC78" s="304">
        <f>BC77-BC76</f>
        <v>7986.6294587001757</v>
      </c>
      <c r="BD78" s="305"/>
      <c r="BE78" s="303" t="s">
        <v>67</v>
      </c>
      <c r="BJ78" s="304">
        <f>BJ77-BJ76</f>
        <v>8106.4289005806786</v>
      </c>
      <c r="BK78" s="305"/>
      <c r="BL78" s="303" t="s">
        <v>67</v>
      </c>
      <c r="BQ78" s="304">
        <f>BQ77-BQ76</f>
        <v>6720.5253340893905</v>
      </c>
      <c r="BR78" s="305"/>
      <c r="BS78" s="303" t="s">
        <v>67</v>
      </c>
      <c r="BX78" s="304">
        <f>BX77-BX76</f>
        <v>6821.333214100734</v>
      </c>
      <c r="BY78" s="305"/>
      <c r="BZ78" s="303" t="s">
        <v>67</v>
      </c>
      <c r="CE78" s="304">
        <f>CE77-CE76</f>
        <v>6923.6532123122452</v>
      </c>
      <c r="CF78" s="305"/>
      <c r="CG78" s="303" t="s">
        <v>67</v>
      </c>
      <c r="CL78" s="304">
        <f>CL77-CL76</f>
        <v>5520.0080104969238</v>
      </c>
      <c r="CM78" s="305"/>
      <c r="CN78" s="303" t="s">
        <v>67</v>
      </c>
      <c r="CS78" s="304">
        <f>CS77-CS76</f>
        <v>5602.8081306543827</v>
      </c>
      <c r="CT78" s="305"/>
      <c r="CU78" s="303" t="s">
        <v>67</v>
      </c>
      <c r="CZ78" s="304">
        <f>CZ77-CZ76</f>
        <v>-813.14974738580349</v>
      </c>
      <c r="DA78" s="305"/>
    </row>
    <row r="79" spans="1:110" s="101" customFormat="1" ht="18.5" thickBot="1" x14ac:dyDescent="0.45">
      <c r="A79" s="287" t="s">
        <v>465</v>
      </c>
      <c r="C79" s="255"/>
      <c r="D79" s="255"/>
      <c r="E79" s="352"/>
      <c r="F79" s="764">
        <f>'Normes plantation'!E156*(-1)</f>
        <v>-59539.32327272727</v>
      </c>
      <c r="G79" s="327"/>
      <c r="H79" s="287" t="s">
        <v>380</v>
      </c>
      <c r="J79" s="255"/>
      <c r="K79" s="255"/>
      <c r="L79" s="352"/>
      <c r="M79" s="764">
        <f>F80</f>
        <v>-70160.613121818184</v>
      </c>
      <c r="N79" s="327"/>
      <c r="O79" s="287" t="s">
        <v>419</v>
      </c>
      <c r="Q79" s="255"/>
      <c r="R79" s="255"/>
      <c r="S79" s="352"/>
      <c r="T79" s="764">
        <f>M80</f>
        <v>-78481.435386827274</v>
      </c>
      <c r="U79" s="327"/>
      <c r="V79" s="287" t="s">
        <v>420</v>
      </c>
      <c r="X79" s="255"/>
      <c r="Y79" s="255"/>
      <c r="Z79" s="352"/>
      <c r="AA79" s="764">
        <f>T80</f>
        <v>-87471.623963084232</v>
      </c>
      <c r="AB79" s="327"/>
      <c r="AC79" s="287" t="s">
        <v>0</v>
      </c>
      <c r="AE79" s="255"/>
      <c r="AF79" s="255"/>
      <c r="AG79" s="352"/>
      <c r="AH79" s="764">
        <f>AA80</f>
        <v>-92470.413663439584</v>
      </c>
      <c r="AI79" s="327"/>
      <c r="AJ79" s="287" t="s">
        <v>1</v>
      </c>
      <c r="AL79" s="255"/>
      <c r="AM79" s="255"/>
      <c r="AN79" s="352"/>
      <c r="AO79" s="764">
        <f>AH80</f>
        <v>-91141.1113456639</v>
      </c>
      <c r="AP79" s="327"/>
      <c r="AQ79" s="287" t="s">
        <v>2</v>
      </c>
      <c r="AS79" s="255"/>
      <c r="AT79" s="255"/>
      <c r="AU79" s="352"/>
      <c r="AV79" s="764">
        <f>AO80</f>
        <v>-83388.795629485219</v>
      </c>
      <c r="AW79" s="327"/>
      <c r="AX79" s="287" t="s">
        <v>3</v>
      </c>
      <c r="AZ79" s="255"/>
      <c r="BA79" s="255"/>
      <c r="BB79" s="352"/>
      <c r="BC79" s="764">
        <f>AV80</f>
        <v>-75520.195177563859</v>
      </c>
      <c r="BD79" s="327"/>
      <c r="BE79" s="287" t="s">
        <v>4</v>
      </c>
      <c r="BG79" s="255"/>
      <c r="BH79" s="255"/>
      <c r="BI79" s="352"/>
      <c r="BJ79" s="764">
        <f>BC80</f>
        <v>-67533.565718863683</v>
      </c>
      <c r="BK79" s="327"/>
      <c r="BL79" s="287" t="s">
        <v>5</v>
      </c>
      <c r="BN79" s="255"/>
      <c r="BO79" s="255"/>
      <c r="BP79" s="352"/>
      <c r="BQ79" s="764">
        <f>BJ80</f>
        <v>-59427.136818283005</v>
      </c>
      <c r="BR79" s="327"/>
      <c r="BS79" s="287" t="s">
        <v>6</v>
      </c>
      <c r="BU79" s="255"/>
      <c r="BV79" s="255"/>
      <c r="BW79" s="352"/>
      <c r="BX79" s="764">
        <f>BQ80</f>
        <v>-52706.611484193621</v>
      </c>
      <c r="BY79" s="327"/>
      <c r="BZ79" s="287" t="s">
        <v>7</v>
      </c>
      <c r="CB79" s="255"/>
      <c r="CC79" s="255"/>
      <c r="CD79" s="352"/>
      <c r="CE79" s="764">
        <f>BX80</f>
        <v>-45885.27827009288</v>
      </c>
      <c r="CF79" s="327"/>
      <c r="CG79" s="287" t="s">
        <v>8</v>
      </c>
      <c r="CI79" s="255"/>
      <c r="CJ79" s="255"/>
      <c r="CK79" s="352"/>
      <c r="CL79" s="764">
        <f>CE80</f>
        <v>-38961.625057780635</v>
      </c>
      <c r="CM79" s="327"/>
      <c r="CN79" s="287" t="s">
        <v>9</v>
      </c>
      <c r="CP79" s="255"/>
      <c r="CQ79" s="255"/>
      <c r="CR79" s="352"/>
      <c r="CS79" s="764">
        <f>CL80</f>
        <v>-33441.617047283711</v>
      </c>
      <c r="CT79" s="327"/>
      <c r="CU79" s="287" t="s">
        <v>10</v>
      </c>
      <c r="CW79" s="255"/>
      <c r="CX79" s="255"/>
      <c r="CY79" s="352"/>
      <c r="CZ79" s="764">
        <f>CS80</f>
        <v>-27838.808916629321</v>
      </c>
      <c r="DA79" s="327"/>
    </row>
    <row r="80" spans="1:110" s="313" customFormat="1" ht="24" customHeight="1" x14ac:dyDescent="0.4">
      <c r="A80" s="316" t="s">
        <v>380</v>
      </c>
      <c r="B80" s="317"/>
      <c r="C80" s="317"/>
      <c r="D80" s="317"/>
      <c r="E80" s="317"/>
      <c r="F80" s="318">
        <f>F79-F76+F77</f>
        <v>-70160.613121818184</v>
      </c>
      <c r="G80" s="323"/>
      <c r="H80" s="316" t="s">
        <v>419</v>
      </c>
      <c r="I80" s="317"/>
      <c r="J80" s="317"/>
      <c r="K80" s="317"/>
      <c r="L80" s="317"/>
      <c r="M80" s="318">
        <f>((M76)*(-1))+M79+M77</f>
        <v>-78481.435386827274</v>
      </c>
      <c r="N80" s="323"/>
      <c r="O80" s="316" t="s">
        <v>420</v>
      </c>
      <c r="P80" s="317"/>
      <c r="Q80" s="317"/>
      <c r="R80" s="317"/>
      <c r="S80" s="317"/>
      <c r="T80" s="318">
        <f>((T76)*(-1))+T79+T77</f>
        <v>-87471.623963084232</v>
      </c>
      <c r="U80" s="323"/>
      <c r="V80" s="316" t="s">
        <v>0</v>
      </c>
      <c r="W80" s="317"/>
      <c r="X80" s="317"/>
      <c r="Y80" s="317"/>
      <c r="Z80" s="317"/>
      <c r="AA80" s="318">
        <f>((AA76)*(-1))+AA79+AA77</f>
        <v>-92470.413663439584</v>
      </c>
      <c r="AB80" s="323"/>
      <c r="AC80" s="316" t="s">
        <v>1</v>
      </c>
      <c r="AD80" s="317"/>
      <c r="AE80" s="317"/>
      <c r="AF80" s="317"/>
      <c r="AG80" s="317"/>
      <c r="AH80" s="318">
        <f>((AH76)*(-1))+AH79+AH77</f>
        <v>-91141.1113456639</v>
      </c>
      <c r="AI80" s="323"/>
      <c r="AJ80" s="316" t="s">
        <v>2</v>
      </c>
      <c r="AK80" s="317"/>
      <c r="AL80" s="317"/>
      <c r="AM80" s="317"/>
      <c r="AN80" s="317"/>
      <c r="AO80" s="318">
        <f>((AO76)*(-1))+AO79+AO77</f>
        <v>-83388.795629485219</v>
      </c>
      <c r="AP80" s="323"/>
      <c r="AQ80" s="316" t="s">
        <v>3</v>
      </c>
      <c r="AR80" s="317"/>
      <c r="AS80" s="317"/>
      <c r="AT80" s="317"/>
      <c r="AU80" s="317"/>
      <c r="AV80" s="318">
        <f>((AV76)*(-1))+AV79+AV77</f>
        <v>-75520.195177563859</v>
      </c>
      <c r="AW80" s="323"/>
      <c r="AX80" s="316" t="s">
        <v>4</v>
      </c>
      <c r="AY80" s="317"/>
      <c r="AZ80" s="317"/>
      <c r="BA80" s="317"/>
      <c r="BB80" s="317"/>
      <c r="BC80" s="318">
        <f>((BC76)*(-1))+BC79+BC77</f>
        <v>-67533.565718863683</v>
      </c>
      <c r="BD80" s="323"/>
      <c r="BE80" s="316" t="s">
        <v>5</v>
      </c>
      <c r="BF80" s="317"/>
      <c r="BG80" s="317"/>
      <c r="BH80" s="317"/>
      <c r="BI80" s="317"/>
      <c r="BJ80" s="318">
        <f>((BJ76)*(-1))+BJ79+BJ77</f>
        <v>-59427.136818283005</v>
      </c>
      <c r="BK80" s="323"/>
      <c r="BL80" s="316" t="s">
        <v>6</v>
      </c>
      <c r="BM80" s="317"/>
      <c r="BN80" s="317"/>
      <c r="BO80" s="317"/>
      <c r="BP80" s="317"/>
      <c r="BQ80" s="318">
        <f>((BQ76)*(-1))+BQ79+BQ77</f>
        <v>-52706.611484193621</v>
      </c>
      <c r="BR80" s="323"/>
      <c r="BS80" s="316" t="s">
        <v>7</v>
      </c>
      <c r="BT80" s="317"/>
      <c r="BU80" s="317"/>
      <c r="BV80" s="317"/>
      <c r="BW80" s="317"/>
      <c r="BX80" s="318">
        <f>((BX76)*(-1))+BX79+BX77</f>
        <v>-45885.27827009288</v>
      </c>
      <c r="BY80" s="323"/>
      <c r="BZ80" s="316" t="s">
        <v>8</v>
      </c>
      <c r="CA80" s="317"/>
      <c r="CB80" s="317"/>
      <c r="CC80" s="317"/>
      <c r="CD80" s="317"/>
      <c r="CE80" s="318">
        <f>((CE76)*(-1))+CE79+CE77</f>
        <v>-38961.625057780635</v>
      </c>
      <c r="CF80" s="323"/>
      <c r="CG80" s="316" t="s">
        <v>9</v>
      </c>
      <c r="CH80" s="317"/>
      <c r="CI80" s="317"/>
      <c r="CJ80" s="317"/>
      <c r="CK80" s="317"/>
      <c r="CL80" s="318">
        <f>((CL76)*(-1))+CL79+CL77</f>
        <v>-33441.617047283711</v>
      </c>
      <c r="CM80" s="323"/>
      <c r="CN80" s="316" t="s">
        <v>10</v>
      </c>
      <c r="CO80" s="317"/>
      <c r="CP80" s="317"/>
      <c r="CQ80" s="317"/>
      <c r="CR80" s="317"/>
      <c r="CS80" s="318">
        <f>((CS76)*(-1))+CS79+CS77</f>
        <v>-27838.808916629321</v>
      </c>
      <c r="CT80" s="323"/>
      <c r="CU80" s="316" t="s">
        <v>11</v>
      </c>
      <c r="CV80" s="317"/>
      <c r="CW80" s="317"/>
      <c r="CX80" s="317"/>
      <c r="CY80" s="317"/>
      <c r="CZ80" s="318">
        <f>((CZ76)*(-1))+CZ79+CZ77</f>
        <v>-28651.958664015125</v>
      </c>
      <c r="DA80" s="323"/>
      <c r="DB80" s="310"/>
      <c r="DC80" s="310"/>
      <c r="DD80" s="310"/>
      <c r="DE80" s="310"/>
      <c r="DF80" s="310"/>
    </row>
    <row r="81" spans="1:105" s="321" customFormat="1" x14ac:dyDescent="0.35">
      <c r="A81" s="319" t="s">
        <v>381</v>
      </c>
      <c r="B81" s="319"/>
      <c r="C81" s="320"/>
      <c r="D81" s="320"/>
      <c r="E81" s="320"/>
      <c r="F81" s="320">
        <f>F80*(-1)</f>
        <v>70160.613121818184</v>
      </c>
      <c r="G81" s="320"/>
      <c r="H81" s="319" t="s">
        <v>381</v>
      </c>
      <c r="I81" s="319"/>
      <c r="J81" s="320"/>
      <c r="K81" s="320"/>
      <c r="L81" s="320"/>
      <c r="M81" s="320">
        <f>M80*(-1)</f>
        <v>78481.435386827274</v>
      </c>
      <c r="N81" s="320"/>
      <c r="O81" s="319" t="s">
        <v>381</v>
      </c>
      <c r="P81" s="319"/>
      <c r="Q81" s="320"/>
      <c r="R81" s="320"/>
      <c r="S81" s="320"/>
      <c r="T81" s="320">
        <f>T80*(-1)</f>
        <v>87471.623963084232</v>
      </c>
      <c r="U81" s="320"/>
      <c r="V81" s="319" t="s">
        <v>381</v>
      </c>
      <c r="W81" s="319"/>
      <c r="X81" s="320"/>
      <c r="Y81" s="320"/>
      <c r="Z81" s="320"/>
      <c r="AA81" s="320">
        <f>T81-($T$81/'Données normes'!$B$29)</f>
        <v>80182.32196616054</v>
      </c>
      <c r="AB81" s="320"/>
      <c r="AC81" s="319" t="s">
        <v>381</v>
      </c>
      <c r="AD81" s="319"/>
      <c r="AE81" s="320"/>
      <c r="AF81" s="320"/>
      <c r="AG81" s="320"/>
      <c r="AH81" s="320">
        <f>AA81-($T$81/'Données normes'!$B$29)</f>
        <v>72893.019969236848</v>
      </c>
      <c r="AI81" s="320"/>
      <c r="AJ81" s="319" t="s">
        <v>381</v>
      </c>
      <c r="AK81" s="319"/>
      <c r="AL81" s="320"/>
      <c r="AM81" s="320"/>
      <c r="AN81" s="320"/>
      <c r="AO81" s="320">
        <f>AH81-($T$81/'Données normes'!$B$29)</f>
        <v>65603.717972313156</v>
      </c>
      <c r="AP81" s="320"/>
      <c r="AQ81" s="319" t="s">
        <v>381</v>
      </c>
      <c r="AR81" s="319"/>
      <c r="AS81" s="320"/>
      <c r="AT81" s="320"/>
      <c r="AU81" s="320"/>
      <c r="AV81" s="320">
        <f>AO81-($T$81/'Données normes'!$B$29)</f>
        <v>58314.415975389471</v>
      </c>
      <c r="AW81" s="320"/>
      <c r="AX81" s="319" t="s">
        <v>381</v>
      </c>
      <c r="AY81" s="319"/>
      <c r="AZ81" s="320"/>
      <c r="BA81" s="320"/>
      <c r="BB81" s="320"/>
      <c r="BC81" s="320">
        <f>AV81-($T$81/'Données normes'!$B$29)</f>
        <v>51025.113978465786</v>
      </c>
      <c r="BD81" s="320"/>
      <c r="BE81" s="319" t="s">
        <v>381</v>
      </c>
      <c r="BF81" s="319"/>
      <c r="BG81" s="320"/>
      <c r="BH81" s="320"/>
      <c r="BI81" s="320"/>
      <c r="BJ81" s="320">
        <f>BC81-($T$81/'Données normes'!$B$29)</f>
        <v>43735.811981542101</v>
      </c>
      <c r="BK81" s="320"/>
      <c r="BL81" s="319" t="s">
        <v>381</v>
      </c>
      <c r="BM81" s="319"/>
      <c r="BN81" s="320"/>
      <c r="BO81" s="320"/>
      <c r="BP81" s="320"/>
      <c r="BQ81" s="320">
        <f>BJ81-($T$81/'Données normes'!$B$29)</f>
        <v>36446.509984618417</v>
      </c>
      <c r="BR81" s="320"/>
      <c r="BS81" s="319" t="s">
        <v>381</v>
      </c>
      <c r="BT81" s="319"/>
      <c r="BU81" s="320"/>
      <c r="BV81" s="320"/>
      <c r="BW81" s="320"/>
      <c r="BX81" s="320">
        <f>BQ81-($T$81/'Données normes'!$B$29)</f>
        <v>29157.207987694732</v>
      </c>
      <c r="BY81" s="320"/>
      <c r="BZ81" s="319" t="s">
        <v>381</v>
      </c>
      <c r="CA81" s="319"/>
      <c r="CB81" s="320"/>
      <c r="CC81" s="320"/>
      <c r="CD81" s="320"/>
      <c r="CE81" s="320">
        <f>BX81-($T$81/'Données normes'!$B$29)</f>
        <v>21867.905990771047</v>
      </c>
      <c r="CF81" s="320"/>
      <c r="CG81" s="319" t="s">
        <v>381</v>
      </c>
      <c r="CH81" s="319"/>
      <c r="CI81" s="320"/>
      <c r="CJ81" s="320"/>
      <c r="CK81" s="320"/>
      <c r="CL81" s="320">
        <f>CE81-($T$81/'Données normes'!$B$29)</f>
        <v>14578.603993847362</v>
      </c>
      <c r="CM81" s="320"/>
      <c r="CN81" s="319" t="s">
        <v>381</v>
      </c>
      <c r="CO81" s="319"/>
      <c r="CP81" s="320"/>
      <c r="CQ81" s="320"/>
      <c r="CR81" s="320"/>
      <c r="CS81" s="320">
        <f>CL81-($T$81/'Données normes'!$B$29)</f>
        <v>7289.3019969236766</v>
      </c>
      <c r="CT81" s="320"/>
      <c r="CU81" s="319" t="s">
        <v>381</v>
      </c>
      <c r="CV81" s="319"/>
      <c r="CW81" s="320"/>
      <c r="CX81" s="320"/>
      <c r="CY81" s="320"/>
      <c r="CZ81" s="320">
        <f>CS81-($T$81/'Données normes'!$B$29)</f>
        <v>-9.0949470177292824E-12</v>
      </c>
      <c r="DA81" s="320"/>
    </row>
    <row r="82" spans="1:105" x14ac:dyDescent="0.35">
      <c r="A82"/>
      <c r="B82"/>
      <c r="C82"/>
      <c r="D82"/>
      <c r="E82"/>
      <c r="F82"/>
      <c r="G82"/>
      <c r="H82" s="211"/>
      <c r="I82"/>
      <c r="O82" s="218"/>
      <c r="P82" s="17"/>
      <c r="Q82" s="17"/>
      <c r="R82" s="17"/>
      <c r="S82" s="17"/>
      <c r="T82" s="109"/>
      <c r="CU82" s="328" t="s">
        <v>473</v>
      </c>
      <c r="CV82" s="145">
        <f>'Données normes'!C38</f>
        <v>6500</v>
      </c>
    </row>
  </sheetData>
  <mergeCells count="75">
    <mergeCell ref="CU33:CU34"/>
    <mergeCell ref="CN33:CN34"/>
    <mergeCell ref="AC54:AC55"/>
    <mergeCell ref="AJ54:AJ55"/>
    <mergeCell ref="AQ54:AQ55"/>
    <mergeCell ref="AX54:AX55"/>
    <mergeCell ref="CG54:CG55"/>
    <mergeCell ref="CN54:CN55"/>
    <mergeCell ref="CU54:CU55"/>
    <mergeCell ref="BE54:BE55"/>
    <mergeCell ref="BL54:BL55"/>
    <mergeCell ref="BS54:BS55"/>
    <mergeCell ref="BZ54:BZ55"/>
    <mergeCell ref="CG33:CG34"/>
    <mergeCell ref="BZ33:BZ34"/>
    <mergeCell ref="BS33:BS34"/>
    <mergeCell ref="A54:A55"/>
    <mergeCell ref="V54:V55"/>
    <mergeCell ref="O54:O55"/>
    <mergeCell ref="H54:H55"/>
    <mergeCell ref="BE33:BE34"/>
    <mergeCell ref="AX33:AX34"/>
    <mergeCell ref="A33:A34"/>
    <mergeCell ref="BL33:BL34"/>
    <mergeCell ref="V33:V34"/>
    <mergeCell ref="AQ33:AQ34"/>
    <mergeCell ref="AJ33:AJ34"/>
    <mergeCell ref="J6:N6"/>
    <mergeCell ref="Q6:U6"/>
    <mergeCell ref="X6:AB6"/>
    <mergeCell ref="AE6:AI6"/>
    <mergeCell ref="AL6:AP6"/>
    <mergeCell ref="AS6:AW6"/>
    <mergeCell ref="AC33:AC34"/>
    <mergeCell ref="AZ6:BD6"/>
    <mergeCell ref="BG6:BK6"/>
    <mergeCell ref="Q7:R7"/>
    <mergeCell ref="X7:Y7"/>
    <mergeCell ref="AE7:AF7"/>
    <mergeCell ref="C7:D7"/>
    <mergeCell ref="C6:G6"/>
    <mergeCell ref="G7:G8"/>
    <mergeCell ref="O33:O34"/>
    <mergeCell ref="H33:H34"/>
    <mergeCell ref="J7:K7"/>
    <mergeCell ref="N7:N8"/>
    <mergeCell ref="CI6:CM6"/>
    <mergeCell ref="DA7:DA8"/>
    <mergeCell ref="BK7:BK8"/>
    <mergeCell ref="BR7:BR8"/>
    <mergeCell ref="BY7:BY8"/>
    <mergeCell ref="CF7:CF8"/>
    <mergeCell ref="CP7:CQ7"/>
    <mergeCell ref="CI7:CJ7"/>
    <mergeCell ref="CM7:CM8"/>
    <mergeCell ref="CT7:CT8"/>
    <mergeCell ref="CW7:CX7"/>
    <mergeCell ref="BN7:BO7"/>
    <mergeCell ref="BU7:BV7"/>
    <mergeCell ref="CB7:CC7"/>
    <mergeCell ref="CP6:CT6"/>
    <mergeCell ref="CW6:DA6"/>
    <mergeCell ref="BN6:BR6"/>
    <mergeCell ref="BU6:BY6"/>
    <mergeCell ref="CB6:CF6"/>
    <mergeCell ref="BD7:BD8"/>
    <mergeCell ref="AL7:AM7"/>
    <mergeCell ref="AS7:AT7"/>
    <mergeCell ref="AZ7:BA7"/>
    <mergeCell ref="BG7:BH7"/>
    <mergeCell ref="U7:U8"/>
    <mergeCell ref="AB7:AB8"/>
    <mergeCell ref="AI7:AI8"/>
    <mergeCell ref="AP7:AP8"/>
    <mergeCell ref="AW7:AW8"/>
  </mergeCells>
  <phoneticPr fontId="24" type="noConversion"/>
  <printOptions gridLines="1" gridLinesSet="0"/>
  <pageMargins left="0.78740157480314965" right="0.59055118110236227" top="0.19685039370078741" bottom="0.19685039370078741" header="0.51181102362204722" footer="0.51181102362204722"/>
  <pageSetup paperSize="9" scale="65" orientation="portrait" r:id="rId1"/>
  <headerFooter alignWithMargins="0">
    <oddFooter>&amp;LArbokost 2004&amp;RMatthias Zürcher, Agroscope FAW Wädenswil</oddFooter>
  </headerFooter>
  <colBreaks count="4" manualBreakCount="4">
    <brk id="7" max="1048575" man="1"/>
    <brk id="14" max="1048575" man="1"/>
    <brk id="21" max="1048575" man="1"/>
    <brk id="42" max="1048575" man="1"/>
  </colBreaks>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ndardErtragsphase">
    <tabColor indexed="10"/>
  </sheetPr>
  <dimension ref="A1:M199"/>
  <sheetViews>
    <sheetView zoomScale="75" workbookViewId="0">
      <selection activeCell="D68" sqref="D68"/>
    </sheetView>
  </sheetViews>
  <sheetFormatPr baseColWidth="10" defaultRowHeight="12.5" x14ac:dyDescent="0.25"/>
  <cols>
    <col min="1" max="1" width="41.7265625" customWidth="1"/>
    <col min="2" max="2" width="35" customWidth="1"/>
    <col min="3" max="3" width="25.81640625" customWidth="1"/>
    <col min="4" max="4" width="17.08984375" bestFit="1" customWidth="1"/>
    <col min="5" max="5" width="18.7265625" customWidth="1"/>
    <col min="6" max="6" width="20.7265625" customWidth="1"/>
    <col min="7" max="7" width="10.81640625" style="1" customWidth="1"/>
    <col min="8" max="8" width="6.453125" style="13" customWidth="1"/>
    <col min="9" max="9" width="20.08984375" bestFit="1" customWidth="1"/>
    <col min="10" max="10" width="32.7265625" style="10" bestFit="1" customWidth="1"/>
    <col min="11" max="11" width="11.453125" style="14" customWidth="1"/>
    <col min="12" max="12" width="14.08984375" bestFit="1" customWidth="1"/>
  </cols>
  <sheetData>
    <row r="1" spans="1:11" ht="42.75" customHeight="1" x14ac:dyDescent="0.5">
      <c r="A1" s="1441" t="str">
        <f>'Normes plantation'!$A$1</f>
        <v>Arbokost 2023</v>
      </c>
      <c r="B1" s="746" t="str">
        <f>'Données normes'!B7</f>
        <v>Pomme de table</v>
      </c>
      <c r="C1" s="766"/>
      <c r="D1" s="767"/>
      <c r="E1" s="768"/>
      <c r="F1" s="769"/>
      <c r="G1" s="770"/>
      <c r="J1"/>
      <c r="K1"/>
    </row>
    <row r="2" spans="1:11" ht="23.25" customHeight="1" x14ac:dyDescent="0.35">
      <c r="A2" s="151" t="s">
        <v>110</v>
      </c>
      <c r="B2" s="990"/>
      <c r="C2" s="766"/>
      <c r="D2" s="767"/>
      <c r="E2" s="768"/>
      <c r="F2" s="769"/>
      <c r="G2" s="770"/>
      <c r="J2"/>
      <c r="K2"/>
    </row>
    <row r="3" spans="1:11" ht="18" customHeight="1" x14ac:dyDescent="0.8">
      <c r="A3" s="803"/>
      <c r="B3" s="990"/>
      <c r="C3" s="766"/>
      <c r="D3" s="767"/>
      <c r="E3" s="768"/>
      <c r="F3" s="769"/>
      <c r="G3" s="770"/>
      <c r="J3"/>
      <c r="K3"/>
    </row>
    <row r="4" spans="1:11" ht="18.75" customHeight="1" x14ac:dyDescent="0.25">
      <c r="A4" s="826"/>
      <c r="B4" s="1061">
        <f>'Données normes'!B24</f>
        <v>2000</v>
      </c>
      <c r="C4" s="970"/>
      <c r="D4" s="970"/>
      <c r="E4" s="970"/>
      <c r="F4" s="144"/>
      <c r="G4" s="41"/>
      <c r="H4" s="18"/>
      <c r="I4" s="1"/>
    </row>
    <row r="5" spans="1:11" x14ac:dyDescent="0.25">
      <c r="A5" s="1521" t="s">
        <v>12</v>
      </c>
      <c r="B5" s="1521"/>
      <c r="C5" s="1521"/>
      <c r="D5" s="1521"/>
      <c r="E5" s="1521"/>
      <c r="F5" s="1521"/>
      <c r="G5" s="1521"/>
    </row>
    <row r="6" spans="1:11" s="1" customFormat="1" x14ac:dyDescent="0.25">
      <c r="A6" s="1521"/>
      <c r="B6" s="1521"/>
      <c r="C6" s="1521"/>
      <c r="D6" s="1521"/>
      <c r="E6" s="1521"/>
      <c r="F6" s="1521"/>
      <c r="G6" s="1521"/>
      <c r="H6" s="18"/>
      <c r="J6" s="33"/>
      <c r="K6" s="121"/>
    </row>
    <row r="7" spans="1:11" ht="15.75" customHeight="1" x14ac:dyDescent="0.35">
      <c r="A7" s="18"/>
      <c r="B7" s="18"/>
      <c r="C7" s="1514" t="s">
        <v>367</v>
      </c>
      <c r="D7" s="1514"/>
      <c r="E7" s="830" t="s">
        <v>421</v>
      </c>
      <c r="F7" s="806" t="s">
        <v>422</v>
      </c>
      <c r="G7" s="1488" t="s">
        <v>423</v>
      </c>
      <c r="I7" s="2"/>
    </row>
    <row r="8" spans="1:11" x14ac:dyDescent="0.25">
      <c r="B8" s="13"/>
      <c r="C8" s="186" t="s">
        <v>369</v>
      </c>
      <c r="D8" s="186" t="s">
        <v>55</v>
      </c>
      <c r="E8" s="219" t="s">
        <v>64</v>
      </c>
      <c r="F8" s="831" t="s">
        <v>53</v>
      </c>
      <c r="G8" s="1511"/>
      <c r="I8" s="1"/>
    </row>
    <row r="9" spans="1:11" ht="13" x14ac:dyDescent="0.3">
      <c r="A9" s="46"/>
      <c r="B9" s="84" t="str">
        <f>'Données normes'!B47</f>
        <v>Catégorie I</v>
      </c>
      <c r="C9" s="79">
        <f>D9/$B$4</f>
        <v>14.078125</v>
      </c>
      <c r="D9" s="44">
        <f>D12*G9</f>
        <v>28156.25</v>
      </c>
      <c r="E9" s="42">
        <f>'Données normes'!B65</f>
        <v>1.1200000000000003</v>
      </c>
      <c r="F9" s="43">
        <f>D9*E9</f>
        <v>31535.000000000011</v>
      </c>
      <c r="G9" s="58">
        <f>'Données normes'!B86</f>
        <v>0.66249999999999998</v>
      </c>
      <c r="I9" s="1"/>
    </row>
    <row r="10" spans="1:11" ht="13" x14ac:dyDescent="0.3">
      <c r="B10" s="84" t="str">
        <f>'Données normes'!C47</f>
        <v>Catégorie II</v>
      </c>
      <c r="C10" s="79">
        <f>D10/$B$4</f>
        <v>5.0468749999999991</v>
      </c>
      <c r="D10" s="44">
        <f>$D$12*G10</f>
        <v>10093.749999999998</v>
      </c>
      <c r="E10" s="42">
        <f>'Données normes'!C65</f>
        <v>0.45000000000000012</v>
      </c>
      <c r="F10" s="43">
        <f>D10*E10</f>
        <v>4542.1875</v>
      </c>
      <c r="G10" s="58">
        <f>'Données normes'!C86</f>
        <v>0.23749999999999996</v>
      </c>
    </row>
    <row r="11" spans="1:11" s="13" customFormat="1" ht="13.5" thickBot="1" x14ac:dyDescent="0.35">
      <c r="A11" s="144"/>
      <c r="B11" s="84" t="str">
        <f>'Données normes'!D47</f>
        <v>Cidre</v>
      </c>
      <c r="C11" s="832">
        <f>D11/$B$4</f>
        <v>2.125</v>
      </c>
      <c r="D11" s="257">
        <f>D12*G11</f>
        <v>4250</v>
      </c>
      <c r="E11" s="387">
        <f>'Données normes'!D65</f>
        <v>0.23</v>
      </c>
      <c r="F11" s="464">
        <f>D11*E11</f>
        <v>977.5</v>
      </c>
      <c r="G11" s="833">
        <f>'Données normes'!F86</f>
        <v>9.9999999999999992E-2</v>
      </c>
      <c r="J11" s="11"/>
      <c r="K11" s="104"/>
    </row>
    <row r="12" spans="1:11" ht="19.5" customHeight="1" x14ac:dyDescent="0.3">
      <c r="B12" s="84"/>
      <c r="C12" s="56">
        <f>SUM(C9:C11)</f>
        <v>21.25</v>
      </c>
      <c r="D12" s="307">
        <f>'Données normes'!E65</f>
        <v>42500</v>
      </c>
      <c r="E12" s="57">
        <f>F12/D12</f>
        <v>0.87187500000000029</v>
      </c>
      <c r="F12" s="80">
        <f>SUM(F9:F11)</f>
        <v>37054.687500000015</v>
      </c>
      <c r="G12" s="58">
        <f>SUM(G8:G11)</f>
        <v>0.99999999999999989</v>
      </c>
      <c r="I12" s="35"/>
    </row>
    <row r="13" spans="1:11" s="1" customFormat="1" ht="19.5" customHeight="1" x14ac:dyDescent="0.3">
      <c r="B13" s="84"/>
      <c r="C13" s="56"/>
      <c r="D13" s="307"/>
      <c r="E13" s="57"/>
      <c r="F13" s="80"/>
      <c r="G13" s="58"/>
      <c r="H13" s="18"/>
      <c r="I13" s="8"/>
      <c r="J13" s="33"/>
      <c r="K13" s="121"/>
    </row>
    <row r="14" spans="1:11" ht="12.15" customHeight="1" thickBot="1" x14ac:dyDescent="0.35">
      <c r="A14" s="38"/>
      <c r="B14" s="84" t="str">
        <f>'Données normes'!A39</f>
        <v>Paiements directs PER</v>
      </c>
      <c r="C14" s="55"/>
      <c r="D14" s="56"/>
      <c r="E14" s="57"/>
      <c r="F14" s="625">
        <f>'Données normes'!C39</f>
        <v>1100</v>
      </c>
      <c r="G14" s="58"/>
      <c r="H14" s="18"/>
      <c r="I14" s="184"/>
    </row>
    <row r="15" spans="1:11" ht="24" customHeight="1" x14ac:dyDescent="0.5">
      <c r="A15" s="834" t="s">
        <v>13</v>
      </c>
      <c r="B15" s="816"/>
      <c r="C15" s="816"/>
      <c r="D15" s="816"/>
      <c r="E15" s="816"/>
      <c r="F15" s="590">
        <f>SUM(F12:F14)</f>
        <v>38154.687500000015</v>
      </c>
      <c r="G15" s="816"/>
    </row>
    <row r="16" spans="1:11" ht="24" customHeight="1" x14ac:dyDescent="0.3">
      <c r="A16" s="38" t="s">
        <v>353</v>
      </c>
      <c r="B16" s="39"/>
      <c r="C16" s="186" t="s">
        <v>244</v>
      </c>
      <c r="D16" s="186" t="s">
        <v>14</v>
      </c>
      <c r="E16" s="219" t="s">
        <v>240</v>
      </c>
      <c r="F16" s="835" t="s">
        <v>343</v>
      </c>
      <c r="G16" s="186" t="s">
        <v>56</v>
      </c>
    </row>
    <row r="17" spans="1:11" ht="13" x14ac:dyDescent="0.3">
      <c r="A17" s="38"/>
      <c r="B17" s="39" t="str">
        <f>'Données normes'!B100</f>
        <v>Nitrate d'ammoniaque</v>
      </c>
      <c r="C17" s="106">
        <v>1</v>
      </c>
      <c r="D17" s="11">
        <f>'Données normes'!B111</f>
        <v>200</v>
      </c>
      <c r="E17" s="105">
        <f>'Données normes'!B101</f>
        <v>0.42</v>
      </c>
      <c r="F17" s="29">
        <f>D17*E17*C17</f>
        <v>84</v>
      </c>
      <c r="G17" s="133">
        <f>F17/$F$84</f>
        <v>2.1051218265923754E-3</v>
      </c>
    </row>
    <row r="18" spans="1:11" ht="13.5" thickBot="1" x14ac:dyDescent="0.35">
      <c r="A18" s="17"/>
      <c r="B18" s="39" t="str">
        <f>'Données normes'!C100</f>
        <v>Engrais mixte</v>
      </c>
      <c r="C18" s="909">
        <f>'Données normes'!C112</f>
        <v>1</v>
      </c>
      <c r="D18" s="11">
        <f>'Données normes'!C111</f>
        <v>250</v>
      </c>
      <c r="E18" s="105">
        <f>'Données normes'!C101</f>
        <v>0.85</v>
      </c>
      <c r="F18" s="758">
        <f>D18*E18</f>
        <v>212.5</v>
      </c>
      <c r="G18" s="133">
        <f>F18/$F$84</f>
        <v>5.3254570017961878E-3</v>
      </c>
    </row>
    <row r="19" spans="1:11" ht="13" x14ac:dyDescent="0.3">
      <c r="A19" s="69"/>
      <c r="B19" s="28"/>
      <c r="C19" s="11">
        <f>SUM(C17:C18)</f>
        <v>2</v>
      </c>
      <c r="D19" s="11"/>
      <c r="E19" s="105"/>
      <c r="F19" s="80">
        <f>SUM(F17:F18)</f>
        <v>296.5</v>
      </c>
      <c r="G19" s="553">
        <f>F19/$F$84</f>
        <v>7.4305788283885628E-3</v>
      </c>
    </row>
    <row r="20" spans="1:11" ht="13" x14ac:dyDescent="0.3">
      <c r="A20" s="69" t="s">
        <v>427</v>
      </c>
      <c r="B20" s="28" t="s">
        <v>426</v>
      </c>
      <c r="C20" s="11"/>
      <c r="D20" s="11"/>
      <c r="E20" s="105"/>
      <c r="F20" s="109"/>
      <c r="G20" s="133"/>
    </row>
    <row r="21" spans="1:11" ht="18.75" customHeight="1" x14ac:dyDescent="0.25">
      <c r="A21" s="198" t="str">
        <f>'Données normes'!$A$117</f>
        <v>Fongicides</v>
      </c>
      <c r="B21" s="15"/>
      <c r="C21" s="10"/>
      <c r="D21" s="10"/>
      <c r="E21" s="23"/>
      <c r="F21" s="29">
        <f>'Données normes'!$D$117</f>
        <v>2844</v>
      </c>
      <c r="G21" s="133">
        <f>F21/$F$84</f>
        <v>7.1273410414627564E-2</v>
      </c>
    </row>
    <row r="22" spans="1:11" x14ac:dyDescent="0.25">
      <c r="A22" s="198" t="str">
        <f>'Données normes'!$A$118</f>
        <v>Lutte contre le feu bactérien</v>
      </c>
      <c r="B22" s="13"/>
      <c r="C22" s="11"/>
      <c r="D22" s="291"/>
      <c r="E22" s="105"/>
      <c r="F22" s="29">
        <f>'Données normes'!$D$118</f>
        <v>1057</v>
      </c>
      <c r="G22" s="133">
        <f>F22/$F$84</f>
        <v>2.648944965128739E-2</v>
      </c>
    </row>
    <row r="23" spans="1:11" ht="13" x14ac:dyDescent="0.3">
      <c r="A23" s="198" t="str">
        <f>'Données normes'!$A$119</f>
        <v>Insecticides</v>
      </c>
      <c r="B23" s="13"/>
      <c r="C23" s="11"/>
      <c r="D23" s="291"/>
      <c r="E23" s="105"/>
      <c r="F23" s="29">
        <f>'Données normes'!$D$119</f>
        <v>1241</v>
      </c>
      <c r="G23" s="133">
        <f>F23/$F$84</f>
        <v>3.1100668890489735E-2</v>
      </c>
      <c r="H23" s="69"/>
    </row>
    <row r="24" spans="1:11" ht="13" x14ac:dyDescent="0.3">
      <c r="A24" s="198" t="str">
        <f>'Données normes'!$A$120</f>
        <v>Herbicides</v>
      </c>
      <c r="B24" s="13"/>
      <c r="C24" s="11"/>
      <c r="D24" s="291"/>
      <c r="E24" s="105"/>
      <c r="F24" s="29">
        <f>'Données normes'!$D$120</f>
        <v>430</v>
      </c>
      <c r="G24" s="133"/>
      <c r="H24" s="69"/>
    </row>
    <row r="25" spans="1:11" x14ac:dyDescent="0.25">
      <c r="A25" s="198" t="str">
        <f>'Données normes'!$A$121</f>
        <v>Régulation de la végétation</v>
      </c>
      <c r="B25" s="13"/>
      <c r="C25" s="11"/>
      <c r="D25" s="291"/>
      <c r="E25" s="105"/>
      <c r="F25" s="29">
        <f>'Données normes'!$D$121</f>
        <v>10</v>
      </c>
      <c r="G25" s="133">
        <f>F25/$F$84</f>
        <v>2.5060974126099708E-4</v>
      </c>
    </row>
    <row r="26" spans="1:11" ht="13" thickBot="1" x14ac:dyDescent="0.3">
      <c r="A26" s="198" t="str">
        <f>'Données normes'!$A$122</f>
        <v>Fertilisation foliaire</v>
      </c>
      <c r="B26" s="13"/>
      <c r="C26" s="11"/>
      <c r="D26" s="291"/>
      <c r="E26" s="105"/>
      <c r="F26" s="758">
        <f>'Données normes'!$D$122</f>
        <v>360</v>
      </c>
      <c r="G26" s="133">
        <f>F26/$F$84</f>
        <v>9.0219506853958936E-3</v>
      </c>
    </row>
    <row r="27" spans="1:11" ht="13" x14ac:dyDescent="0.3">
      <c r="A27" s="68"/>
      <c r="B27" s="296"/>
      <c r="C27" s="814"/>
      <c r="D27" s="41"/>
      <c r="E27" s="42"/>
      <c r="F27" s="80">
        <f>SUM(F21:F26)*0.9</f>
        <v>5347.8</v>
      </c>
      <c r="G27" s="553">
        <f>F27/$F$84</f>
        <v>0.134021077431556</v>
      </c>
    </row>
    <row r="28" spans="1:11" s="1" customFormat="1" ht="13" x14ac:dyDescent="0.3">
      <c r="A28" s="144" t="str">
        <f>'Normes grêle'!A77</f>
        <v>Assurance grêle</v>
      </c>
      <c r="B28" s="296">
        <f>'Données normes'!C179</f>
        <v>0</v>
      </c>
      <c r="C28" s="129">
        <f>'Normes grêle'!D81</f>
        <v>0.112</v>
      </c>
      <c r="D28" s="216">
        <f>'Normes grêle'!C95</f>
        <v>31430</v>
      </c>
      <c r="E28" s="1112">
        <f>'Normes grêle'!E80</f>
        <v>0.8</v>
      </c>
      <c r="F28" s="80">
        <f>B28*C28*D28*E28</f>
        <v>0</v>
      </c>
      <c r="G28" s="133">
        <f>F28/$F$84</f>
        <v>0</v>
      </c>
      <c r="H28" s="18"/>
      <c r="J28" s="33"/>
      <c r="K28" s="121"/>
    </row>
    <row r="29" spans="1:11" s="1" customFormat="1" ht="13" x14ac:dyDescent="0.3">
      <c r="A29" s="229" t="s">
        <v>409</v>
      </c>
      <c r="B29" s="836"/>
      <c r="C29" s="214"/>
      <c r="D29" s="837"/>
      <c r="E29" s="42"/>
      <c r="F29" s="80"/>
      <c r="G29" s="133"/>
      <c r="H29" s="18"/>
      <c r="J29" s="33"/>
      <c r="K29" s="121"/>
    </row>
    <row r="30" spans="1:11" x14ac:dyDescent="0.25">
      <c r="A30" s="1503" t="s">
        <v>411</v>
      </c>
      <c r="B30" s="18" t="str">
        <f>'Données normes'!F38</f>
        <v>Catégorie I+II</v>
      </c>
      <c r="C30" s="18"/>
      <c r="D30" s="39" t="s">
        <v>245</v>
      </c>
      <c r="E30" s="42">
        <f>'Données normes'!G38</f>
        <v>300</v>
      </c>
      <c r="F30" s="148">
        <f>E30</f>
        <v>300</v>
      </c>
      <c r="G30" s="133">
        <f t="shared" ref="G30:G35" si="0">F30/$F$84</f>
        <v>7.5182922378299114E-3</v>
      </c>
    </row>
    <row r="31" spans="1:11" x14ac:dyDescent="0.25">
      <c r="A31" s="1503"/>
      <c r="B31" s="18" t="str">
        <f>'Données normes'!F39</f>
        <v>Cidre</v>
      </c>
      <c r="C31" s="18"/>
      <c r="D31" s="39" t="s">
        <v>382</v>
      </c>
      <c r="E31" s="42">
        <f>'Données normes'!G39</f>
        <v>0.9</v>
      </c>
      <c r="F31" s="148">
        <f>E31*$D$11/100</f>
        <v>38.25</v>
      </c>
      <c r="G31" s="133">
        <f t="shared" si="0"/>
        <v>9.5858226032331372E-4</v>
      </c>
    </row>
    <row r="32" spans="1:11" x14ac:dyDescent="0.25">
      <c r="A32" s="751" t="str">
        <f>'Données normes'!E41</f>
        <v>Coûts d'emballage</v>
      </c>
      <c r="B32" s="149" t="str">
        <f>'Données normes'!F41</f>
        <v>Catégorie I+II</v>
      </c>
      <c r="C32" s="18"/>
      <c r="D32" s="18" t="s">
        <v>382</v>
      </c>
      <c r="E32" s="611">
        <f>'Données normes'!G41</f>
        <v>0</v>
      </c>
      <c r="F32" s="148">
        <f>($D$9+$D$10)/100*E32</f>
        <v>0</v>
      </c>
      <c r="G32" s="133">
        <f t="shared" si="0"/>
        <v>0</v>
      </c>
    </row>
    <row r="33" spans="1:13" x14ac:dyDescent="0.25">
      <c r="A33" s="751" t="str">
        <f>'Données normes'!E42</f>
        <v>Coûts de triage</v>
      </c>
      <c r="B33" s="18" t="str">
        <f>'Données normes'!F42</f>
        <v>Catégorie I+II</v>
      </c>
      <c r="C33" s="18"/>
      <c r="D33" s="18" t="s">
        <v>382</v>
      </c>
      <c r="E33" s="42">
        <f>'Données normes'!G42</f>
        <v>0</v>
      </c>
      <c r="F33" s="148">
        <f>($D$9+$D$10)/100*E33</f>
        <v>0</v>
      </c>
      <c r="G33" s="133">
        <f t="shared" si="0"/>
        <v>0</v>
      </c>
      <c r="H33" s="1000"/>
      <c r="I33" s="1"/>
    </row>
    <row r="34" spans="1:13" ht="13" thickBot="1" x14ac:dyDescent="0.3">
      <c r="A34" s="751"/>
      <c r="B34" s="18" t="str">
        <f>'Données normes'!F43</f>
        <v>Déchets</v>
      </c>
      <c r="C34" s="18"/>
      <c r="D34" s="18" t="s">
        <v>382</v>
      </c>
      <c r="E34" s="42">
        <f>'Données normes'!G43</f>
        <v>0</v>
      </c>
      <c r="F34" s="582">
        <f>(E34/100)*('Données normes'!D86*D12)</f>
        <v>0</v>
      </c>
      <c r="G34" s="133">
        <f t="shared" si="0"/>
        <v>0</v>
      </c>
      <c r="H34" s="1000"/>
      <c r="I34" s="1"/>
    </row>
    <row r="35" spans="1:13" ht="13" x14ac:dyDescent="0.3">
      <c r="A35" s="845"/>
      <c r="B35" s="18"/>
      <c r="C35" s="18"/>
      <c r="D35" s="18"/>
      <c r="E35" s="42"/>
      <c r="F35" s="80">
        <f>SUM(F30:F34)</f>
        <v>338.25</v>
      </c>
      <c r="G35" s="553">
        <f t="shared" si="0"/>
        <v>8.4768744981532258E-3</v>
      </c>
    </row>
    <row r="36" spans="1:13" s="1" customFormat="1" ht="13" x14ac:dyDescent="0.3">
      <c r="A36" s="612"/>
      <c r="B36" s="18"/>
      <c r="C36" s="18"/>
      <c r="D36" s="18"/>
      <c r="E36" s="42"/>
      <c r="F36" s="80"/>
      <c r="G36" s="133"/>
      <c r="H36" s="18"/>
      <c r="J36" s="33"/>
      <c r="K36" s="121"/>
    </row>
    <row r="37" spans="1:13" ht="32.4" customHeight="1" x14ac:dyDescent="0.25">
      <c r="A37" s="1100" t="s">
        <v>122</v>
      </c>
      <c r="B37" s="846" t="s">
        <v>15</v>
      </c>
      <c r="C37" s="840">
        <f>'Normes années de végétation'!T81</f>
        <v>87471.623963084232</v>
      </c>
      <c r="D37" s="1065">
        <f>'Données normes'!B29</f>
        <v>12</v>
      </c>
      <c r="E37" s="842"/>
      <c r="F37" s="840">
        <f>C37/D37</f>
        <v>7289.3019969236857</v>
      </c>
      <c r="G37" s="852">
        <f>F37/$F$84</f>
        <v>0.18267700874223142</v>
      </c>
    </row>
    <row r="38" spans="1:13" s="1" customFormat="1" ht="18.75" customHeight="1" x14ac:dyDescent="0.25">
      <c r="A38" s="274"/>
      <c r="B38" s="158"/>
      <c r="C38" s="176"/>
      <c r="D38" s="331"/>
      <c r="E38" s="168"/>
      <c r="F38" s="176"/>
      <c r="G38" s="997"/>
      <c r="H38" s="18"/>
      <c r="J38" s="33"/>
      <c r="K38" s="121"/>
    </row>
    <row r="39" spans="1:13" s="50" customFormat="1" ht="21.15" customHeight="1" x14ac:dyDescent="0.3">
      <c r="A39" s="72" t="s">
        <v>154</v>
      </c>
      <c r="B39" s="626" t="s">
        <v>392</v>
      </c>
      <c r="C39" s="276"/>
      <c r="D39" s="108"/>
      <c r="E39" s="277"/>
      <c r="F39" s="132">
        <f>'Données normes'!E161</f>
        <v>600</v>
      </c>
      <c r="G39" s="553">
        <f>F39/$F$84</f>
        <v>1.5036584475659823E-2</v>
      </c>
      <c r="H39" s="1001"/>
      <c r="J39" s="118"/>
      <c r="K39" s="122"/>
    </row>
    <row r="40" spans="1:13" s="50" customFormat="1" ht="11" customHeight="1" x14ac:dyDescent="0.3">
      <c r="A40" s="51"/>
      <c r="B40" s="332"/>
      <c r="C40" s="220"/>
      <c r="D40" s="221"/>
      <c r="E40" s="222"/>
      <c r="F40" s="177"/>
      <c r="G40" s="133"/>
      <c r="H40" s="1001"/>
      <c r="J40" s="118"/>
      <c r="K40" s="122"/>
    </row>
    <row r="41" spans="1:13" s="50" customFormat="1" ht="21.15" customHeight="1" x14ac:dyDescent="0.3">
      <c r="A41" s="51"/>
      <c r="B41" s="276" t="s">
        <v>16</v>
      </c>
      <c r="C41" s="276"/>
      <c r="D41" s="108"/>
      <c r="E41" s="277">
        <f>(PMT('Données normes'!C40,'Données normes'!B29,'Données normes'!C38))*(-1)</f>
        <v>633.66632542419666</v>
      </c>
      <c r="F41" s="132">
        <f>E41</f>
        <v>633.66632542419666</v>
      </c>
      <c r="G41" s="133"/>
      <c r="H41" s="1001"/>
      <c r="J41" s="118"/>
      <c r="K41" s="122"/>
    </row>
    <row r="42" spans="1:13" s="50" customFormat="1" ht="21.15" customHeight="1" x14ac:dyDescent="0.3">
      <c r="A42" s="51"/>
      <c r="B42" s="276"/>
      <c r="C42" s="276"/>
      <c r="D42" s="108"/>
      <c r="E42" s="277"/>
      <c r="F42" s="177"/>
      <c r="G42" s="133"/>
      <c r="H42" s="1001"/>
      <c r="J42" s="118"/>
      <c r="K42" s="122"/>
    </row>
    <row r="43" spans="1:13" s="16" customFormat="1" ht="27" customHeight="1" x14ac:dyDescent="0.4">
      <c r="A43" s="589" t="s">
        <v>157</v>
      </c>
      <c r="B43" s="618"/>
      <c r="C43" s="690"/>
      <c r="D43" s="690"/>
      <c r="E43" s="691"/>
      <c r="F43" s="590">
        <f>F39+F37+F28+F35+F27+F19+F41</f>
        <v>14505.518322347882</v>
      </c>
      <c r="G43" s="1023">
        <f>F43/$F$84</f>
        <v>0.36352241936202545</v>
      </c>
      <c r="H43" s="67"/>
      <c r="J43" s="120"/>
      <c r="K43" s="124"/>
    </row>
    <row r="44" spans="1:13" ht="18.75" customHeight="1" x14ac:dyDescent="0.35">
      <c r="A44" s="17" t="s">
        <v>277</v>
      </c>
      <c r="B44" s="13"/>
      <c r="C44" s="149" t="s">
        <v>191</v>
      </c>
      <c r="D44" s="757">
        <f>'Données normes'!C157</f>
        <v>10</v>
      </c>
      <c r="E44" s="42">
        <f>'Données normes'!D157</f>
        <v>15</v>
      </c>
      <c r="F44" s="283">
        <f>D44*E44</f>
        <v>150</v>
      </c>
      <c r="G44" s="553">
        <f>F44/$F$84</f>
        <v>3.7591461189149557E-3</v>
      </c>
      <c r="J44" s="1512"/>
      <c r="K44" s="1512"/>
      <c r="L44" s="1508"/>
      <c r="M44" s="1508"/>
    </row>
    <row r="45" spans="1:13" s="1" customFormat="1" ht="18.75" customHeight="1" x14ac:dyDescent="0.3">
      <c r="A45" s="3"/>
      <c r="C45" s="126"/>
      <c r="D45" s="292"/>
      <c r="E45" s="45"/>
      <c r="F45" s="52"/>
      <c r="G45" s="133"/>
      <c r="H45" s="18"/>
      <c r="J45" s="264"/>
      <c r="K45" s="264"/>
      <c r="L45" s="33"/>
      <c r="M45" s="33"/>
    </row>
    <row r="46" spans="1:13" ht="18" customHeight="1" x14ac:dyDescent="0.3">
      <c r="C46" s="36" t="s">
        <v>244</v>
      </c>
      <c r="D46" s="117" t="s">
        <v>266</v>
      </c>
      <c r="E46" s="300" t="s">
        <v>267</v>
      </c>
      <c r="F46" s="298" t="s">
        <v>53</v>
      </c>
      <c r="G46" s="133"/>
      <c r="J46" s="36" t="s">
        <v>428</v>
      </c>
      <c r="K46" s="143" t="s">
        <v>59</v>
      </c>
      <c r="L46" s="1"/>
      <c r="M46" s="142"/>
    </row>
    <row r="47" spans="1:13" ht="13" x14ac:dyDescent="0.3">
      <c r="A47" s="17" t="s">
        <v>153</v>
      </c>
      <c r="B47" s="68" t="str">
        <f>'Données normes'!B133</f>
        <v>Pulvérisateur traîné avec ventilateur, 1000 l</v>
      </c>
      <c r="C47" s="814">
        <f>'Données normes'!D123</f>
        <v>22</v>
      </c>
      <c r="D47" s="37">
        <f>'Données normes'!C133</f>
        <v>1</v>
      </c>
      <c r="E47" s="42">
        <f>'Données normes'!D133</f>
        <v>50.3</v>
      </c>
      <c r="F47" s="43">
        <f>C47*D47*E47</f>
        <v>1106.5999999999999</v>
      </c>
      <c r="G47" s="133">
        <f>F47/$F$84</f>
        <v>2.7732473967941932E-2</v>
      </c>
      <c r="J47" s="116">
        <f>'Données normes'!G133</f>
        <v>11.01</v>
      </c>
      <c r="K47" s="121">
        <f>C47*J47</f>
        <v>242.22</v>
      </c>
      <c r="L47" s="335"/>
      <c r="M47" s="1"/>
    </row>
    <row r="48" spans="1:13" ht="13" x14ac:dyDescent="0.3">
      <c r="A48" s="17"/>
      <c r="B48" s="68" t="str">
        <f>'Données normes'!B134</f>
        <v>Rampe de pulvérisation pour herbicides</v>
      </c>
      <c r="C48" s="613">
        <f>'Données normes'!D124</f>
        <v>6</v>
      </c>
      <c r="D48" s="37">
        <f>'Données normes'!C134</f>
        <v>1</v>
      </c>
      <c r="E48" s="42">
        <f>'Données normes'!D134</f>
        <v>69</v>
      </c>
      <c r="F48" s="43">
        <f>C48*D48*E48</f>
        <v>414</v>
      </c>
      <c r="G48" s="133">
        <f>F48/$F$84</f>
        <v>1.0375243288205278E-2</v>
      </c>
      <c r="J48" s="116">
        <f>'Données normes'!G134</f>
        <v>13</v>
      </c>
      <c r="K48" s="121">
        <f>C48*J48</f>
        <v>78</v>
      </c>
      <c r="L48" s="184"/>
    </row>
    <row r="49" spans="1:12" ht="13" x14ac:dyDescent="0.3">
      <c r="A49" s="17"/>
      <c r="B49" s="68" t="str">
        <f>'Données normes'!B135</f>
        <v>Distributeur d'engrais à simple trémie, 2.5 m</v>
      </c>
      <c r="C49" s="613">
        <f>C19</f>
        <v>2</v>
      </c>
      <c r="D49" s="37">
        <f>'Données normes'!C135</f>
        <v>1</v>
      </c>
      <c r="E49" s="42">
        <f>'Données normes'!D135</f>
        <v>18</v>
      </c>
      <c r="F49" s="43">
        <f>C49*D49*E49</f>
        <v>36</v>
      </c>
      <c r="G49" s="133">
        <f>F49/$F$84</f>
        <v>9.0219506853958943E-4</v>
      </c>
      <c r="J49" s="116">
        <f>'Données normes'!G135</f>
        <v>9</v>
      </c>
      <c r="K49" s="121">
        <f>C49*J49</f>
        <v>18</v>
      </c>
      <c r="L49" s="184"/>
    </row>
    <row r="50" spans="1:12" ht="13" x14ac:dyDescent="0.3">
      <c r="A50" s="17"/>
      <c r="B50" s="68" t="str">
        <f>'Données normes'!B136</f>
        <v>Char d'arboriculture</v>
      </c>
      <c r="C50" s="1066">
        <f>'Données normes'!C136</f>
        <v>960</v>
      </c>
      <c r="D50" s="18"/>
      <c r="E50" s="1055">
        <f>'Données normes'!D136</f>
        <v>11.2</v>
      </c>
      <c r="F50" s="43">
        <f>D51*E50</f>
        <v>471.04166666666663</v>
      </c>
      <c r="G50" s="133">
        <f>F50/$F$84</f>
        <v>1.1804763020648215E-2</v>
      </c>
      <c r="J50" s="116">
        <f>'Données normes'!G136</f>
        <v>1.54</v>
      </c>
      <c r="K50" s="121">
        <f>D51*J50</f>
        <v>64.768229166666671</v>
      </c>
      <c r="L50" s="184"/>
    </row>
    <row r="51" spans="1:12" ht="13" x14ac:dyDescent="0.3">
      <c r="A51" s="17"/>
      <c r="B51" s="293" t="s">
        <v>384</v>
      </c>
      <c r="C51" s="1067">
        <f>'Données normes'!E136</f>
        <v>4</v>
      </c>
      <c r="D51" s="1057">
        <f>((D9+D10)+('Données normes'!D86*D12))/C50</f>
        <v>42.057291666666664</v>
      </c>
      <c r="E51" s="1068">
        <f>C50/C72/C51</f>
        <v>2.1818181818181817</v>
      </c>
      <c r="F51" s="43"/>
      <c r="G51" s="133"/>
      <c r="K51" s="128"/>
      <c r="L51" s="333"/>
    </row>
    <row r="52" spans="1:12" ht="13" x14ac:dyDescent="0.3">
      <c r="A52" s="17"/>
      <c r="B52" s="293" t="s">
        <v>385</v>
      </c>
      <c r="C52" s="1067">
        <f>'Données normes'!E136</f>
        <v>4</v>
      </c>
      <c r="D52" s="1057">
        <f>'Données normes'!E86*D12/C50</f>
        <v>2.2135416666666665</v>
      </c>
      <c r="E52" s="1068">
        <f>C50/C73/C52</f>
        <v>0.8</v>
      </c>
      <c r="F52" s="43">
        <f>D52*E50</f>
        <v>24.791666666666664</v>
      </c>
      <c r="G52" s="133">
        <f t="shared" ref="G52:G60" si="1">F52/$F$84</f>
        <v>6.2130331687622179E-4</v>
      </c>
      <c r="K52" s="128"/>
      <c r="L52" s="333"/>
    </row>
    <row r="53" spans="1:12" ht="13" x14ac:dyDescent="0.3">
      <c r="A53" s="17"/>
      <c r="B53" s="68" t="str">
        <f>'Données normes'!B137</f>
        <v>Faucheuse à mulching, avec bras pivotant des deux côtés</v>
      </c>
      <c r="C53" s="215">
        <f>'Données normes'!E137</f>
        <v>7</v>
      </c>
      <c r="D53" s="37">
        <f>'Données normes'!C137</f>
        <v>1</v>
      </c>
      <c r="E53" s="42">
        <f>'Données normes'!D137</f>
        <v>62.2</v>
      </c>
      <c r="F53" s="43">
        <f>C53*D53*E53</f>
        <v>435.40000000000003</v>
      </c>
      <c r="G53" s="133">
        <f t="shared" si="1"/>
        <v>1.0911548134503813E-2</v>
      </c>
      <c r="J53" s="116">
        <f>'Données normes'!G137</f>
        <v>22.68</v>
      </c>
      <c r="K53" s="128">
        <f>C53*J53</f>
        <v>158.76</v>
      </c>
      <c r="L53" s="333"/>
    </row>
    <row r="54" spans="1:12" ht="13.5" thickBot="1" x14ac:dyDescent="0.35">
      <c r="A54" s="17"/>
      <c r="B54" s="68" t="str">
        <f>'Données normes'!B138</f>
        <v>Hacheuse de bois</v>
      </c>
      <c r="C54" s="215">
        <f>'Données normes'!E138</f>
        <v>1</v>
      </c>
      <c r="D54" s="728">
        <f>'Données normes'!C138</f>
        <v>2</v>
      </c>
      <c r="E54" s="42">
        <f>'Données normes'!D138</f>
        <v>75.7</v>
      </c>
      <c r="F54" s="464">
        <f>E54*D54*C54</f>
        <v>151.4</v>
      </c>
      <c r="G54" s="133">
        <f t="shared" si="1"/>
        <v>3.7942314826914956E-3</v>
      </c>
      <c r="H54" s="18"/>
      <c r="J54" s="116">
        <f>'Données normes'!G138</f>
        <v>30.2</v>
      </c>
      <c r="K54" s="128">
        <f>C54*J54</f>
        <v>30.2</v>
      </c>
      <c r="L54" s="333"/>
    </row>
    <row r="55" spans="1:12" ht="13" x14ac:dyDescent="0.3">
      <c r="A55" s="17"/>
      <c r="B55" s="68" t="s">
        <v>391</v>
      </c>
      <c r="C55" s="215"/>
      <c r="D55" s="614">
        <f>(C47*D47)+(C48*D48)+(C49*D49)+(D51*E51*'Données normes'!H130)+(C53*D53)+(C54*D54)+(D52*E52*'Données normes'!H130)</f>
        <v>62.383049242424242</v>
      </c>
      <c r="E55" s="42"/>
      <c r="F55" s="82">
        <f>SUM(F47:F54)</f>
        <v>2639.2333333333331</v>
      </c>
      <c r="G55" s="133">
        <f t="shared" si="1"/>
        <v>6.6141758279406548E-2</v>
      </c>
      <c r="H55" s="18"/>
      <c r="J55" s="116"/>
      <c r="K55" s="128"/>
      <c r="L55" s="333"/>
    </row>
    <row r="56" spans="1:12" ht="13" x14ac:dyDescent="0.3">
      <c r="A56" s="847"/>
      <c r="B56" s="69" t="str">
        <f>'Données normes'!B130</f>
        <v>Tracteur arboricole 4 roues motrices</v>
      </c>
      <c r="C56" s="41"/>
      <c r="D56" s="614">
        <f>D55</f>
        <v>62.383049242424242</v>
      </c>
      <c r="E56" s="42">
        <f>'Données normes'!D130</f>
        <v>41</v>
      </c>
      <c r="F56" s="148">
        <f>D56*E56</f>
        <v>2557.705018939394</v>
      </c>
      <c r="G56" s="133">
        <f t="shared" si="1"/>
        <v>6.4098579301835518E-2</v>
      </c>
      <c r="H56" s="1002">
        <f>(D51*E51*'Données normes'!H130)+(D52*E52*'Données normes'!H130)</f>
        <v>23.383049242424239</v>
      </c>
      <c r="I56" t="s">
        <v>17</v>
      </c>
      <c r="J56" s="125">
        <f>'Données normes'!G143</f>
        <v>17.64</v>
      </c>
      <c r="K56" s="128">
        <f>D56*J56</f>
        <v>1100.4369886363636</v>
      </c>
      <c r="L56" s="333"/>
    </row>
    <row r="57" spans="1:12" ht="13" x14ac:dyDescent="0.3">
      <c r="A57" s="1515" t="s">
        <v>374</v>
      </c>
      <c r="B57" s="68" t="str">
        <f>'Données normes'!$B$130</f>
        <v>Tracteur arboricole 4 roues motrices</v>
      </c>
      <c r="C57" s="562">
        <v>10</v>
      </c>
      <c r="D57" s="614"/>
      <c r="E57" s="42">
        <f>'Données normes'!D130</f>
        <v>41</v>
      </c>
      <c r="F57" s="148">
        <f>E57*C57</f>
        <v>410</v>
      </c>
      <c r="G57" s="133">
        <f t="shared" si="1"/>
        <v>1.027499939170088E-2</v>
      </c>
      <c r="H57" s="1002"/>
      <c r="J57" s="125"/>
      <c r="K57" s="128"/>
      <c r="L57" s="333"/>
    </row>
    <row r="58" spans="1:12" ht="13" x14ac:dyDescent="0.3">
      <c r="A58" s="1515"/>
      <c r="B58" s="144" t="s">
        <v>308</v>
      </c>
      <c r="C58" s="562">
        <v>10</v>
      </c>
      <c r="D58" s="614"/>
      <c r="E58" s="42">
        <f>'Données normes'!D150</f>
        <v>19.100000000000001</v>
      </c>
      <c r="F58" s="148">
        <f>E58*C58</f>
        <v>191</v>
      </c>
      <c r="G58" s="133">
        <f t="shared" si="1"/>
        <v>4.786646058085044E-3</v>
      </c>
      <c r="H58" s="1002"/>
      <c r="J58" s="125"/>
      <c r="K58" s="128"/>
      <c r="L58" s="333"/>
    </row>
    <row r="59" spans="1:12" ht="13" thickBot="1" x14ac:dyDescent="0.3">
      <c r="A59" s="848"/>
      <c r="B59" s="28" t="str">
        <f>'Données normes'!B140</f>
        <v>Divers petits appareils</v>
      </c>
      <c r="C59" s="41"/>
      <c r="D59" s="41"/>
      <c r="E59" s="42"/>
      <c r="F59" s="582">
        <f>'Données normes'!D140</f>
        <v>350</v>
      </c>
      <c r="G59" s="133">
        <f t="shared" si="1"/>
        <v>8.7713409441348977E-3</v>
      </c>
      <c r="K59" s="334">
        <f>SUM(K47:K56)</f>
        <v>1692.3852178030304</v>
      </c>
      <c r="L59" s="13"/>
    </row>
    <row r="60" spans="1:12" ht="15.5" x14ac:dyDescent="0.35">
      <c r="A60" s="74"/>
      <c r="B60" s="15"/>
      <c r="C60" s="33"/>
      <c r="D60" s="33"/>
      <c r="E60" s="45"/>
      <c r="F60" s="629">
        <f>SUM(F55:F59)</f>
        <v>6147.9383522727276</v>
      </c>
      <c r="G60" s="553">
        <f t="shared" si="1"/>
        <v>0.15407332397516288</v>
      </c>
      <c r="K60" s="128"/>
      <c r="L60" s="13"/>
    </row>
    <row r="61" spans="1:12" ht="13" x14ac:dyDescent="0.3">
      <c r="A61" s="74"/>
      <c r="B61" s="15"/>
      <c r="C61" s="33"/>
      <c r="D61" s="33"/>
      <c r="E61" s="45"/>
      <c r="F61" s="52"/>
      <c r="G61" s="133"/>
      <c r="K61" s="128"/>
      <c r="L61" s="13"/>
    </row>
    <row r="62" spans="1:12" x14ac:dyDescent="0.25">
      <c r="B62" s="15"/>
      <c r="C62" s="41"/>
      <c r="D62" s="117" t="s">
        <v>309</v>
      </c>
      <c r="E62" s="300" t="s">
        <v>52</v>
      </c>
      <c r="F62" s="298" t="s">
        <v>53</v>
      </c>
      <c r="G62" s="133"/>
      <c r="K62" s="128"/>
      <c r="L62" s="13"/>
    </row>
    <row r="63" spans="1:12" ht="13" x14ac:dyDescent="0.3">
      <c r="A63" s="17" t="s">
        <v>375</v>
      </c>
      <c r="B63" s="28" t="s">
        <v>353</v>
      </c>
      <c r="C63" s="41"/>
      <c r="D63" s="360">
        <f>C49*D49</f>
        <v>2</v>
      </c>
      <c r="E63" s="42">
        <f>'Données normes'!$C$36</f>
        <v>29.5</v>
      </c>
      <c r="F63" s="43">
        <f t="shared" ref="F63:F74" si="2">D63*E63</f>
        <v>59</v>
      </c>
      <c r="G63" s="133">
        <f t="shared" ref="G63:G84" si="3">F63/$F$84</f>
        <v>1.4785974734398827E-3</v>
      </c>
    </row>
    <row r="64" spans="1:12" ht="13" x14ac:dyDescent="0.3">
      <c r="A64" s="17"/>
      <c r="B64" s="39" t="s">
        <v>453</v>
      </c>
      <c r="C64" s="13"/>
      <c r="D64" s="44">
        <f>((C47*D47)+(C48*D48))+'Données normes'!B93+'Données normes'!C93</f>
        <v>43</v>
      </c>
      <c r="E64" s="42">
        <f>'Données normes'!$C$36</f>
        <v>29.5</v>
      </c>
      <c r="F64" s="43">
        <f t="shared" si="2"/>
        <v>1268.5</v>
      </c>
      <c r="G64" s="133">
        <f t="shared" si="3"/>
        <v>3.1789845678957478E-2</v>
      </c>
    </row>
    <row r="65" spans="1:11" ht="13" x14ac:dyDescent="0.3">
      <c r="A65" s="17"/>
      <c r="B65" s="39" t="str">
        <f>'Données normes'!D90</f>
        <v>Taille 
(été + hiver)</v>
      </c>
      <c r="C65" s="41"/>
      <c r="D65" s="128">
        <f>'Données normes'!D93</f>
        <v>100</v>
      </c>
      <c r="E65" s="42">
        <f>'Données normes'!$C$36</f>
        <v>29.5</v>
      </c>
      <c r="F65" s="43">
        <f t="shared" si="2"/>
        <v>2950</v>
      </c>
      <c r="G65" s="133">
        <f t="shared" si="3"/>
        <v>7.3929873671994134E-2</v>
      </c>
    </row>
    <row r="66" spans="1:11" ht="13" x14ac:dyDescent="0.3">
      <c r="A66" s="17"/>
      <c r="B66" s="28" t="s">
        <v>390</v>
      </c>
      <c r="C66" s="41"/>
      <c r="D66" s="215">
        <f>(C53*D53)+(C54*D54)</f>
        <v>9</v>
      </c>
      <c r="E66" s="42">
        <f>'Données normes'!$C$36</f>
        <v>29.5</v>
      </c>
      <c r="F66" s="43">
        <f t="shared" si="2"/>
        <v>265.5</v>
      </c>
      <c r="G66" s="133">
        <f t="shared" si="3"/>
        <v>6.6536886304794721E-3</v>
      </c>
    </row>
    <row r="67" spans="1:11" ht="13" x14ac:dyDescent="0.3">
      <c r="A67" s="17"/>
      <c r="B67" s="315" t="str">
        <f>'Données normes'!E90</f>
        <v>Régulation de la charge (manuelle)</v>
      </c>
      <c r="C67" s="18" t="s">
        <v>429</v>
      </c>
      <c r="D67" s="44">
        <f>'Données normes'!E93</f>
        <v>70</v>
      </c>
      <c r="E67" s="42">
        <f>'Données normes'!C35</f>
        <v>25.25</v>
      </c>
      <c r="F67" s="43">
        <f t="shared" si="2"/>
        <v>1767.5</v>
      </c>
      <c r="G67" s="133">
        <f t="shared" si="3"/>
        <v>4.4295271767881228E-2</v>
      </c>
    </row>
    <row r="68" spans="1:11" s="1" customFormat="1" ht="13" x14ac:dyDescent="0.3">
      <c r="A68" s="38"/>
      <c r="B68" s="315" t="s">
        <v>388</v>
      </c>
      <c r="C68" s="268">
        <f>'Page variable'!$B$37</f>
        <v>0</v>
      </c>
      <c r="D68" s="905">
        <v>15</v>
      </c>
      <c r="E68" s="42">
        <f>'Données normes'!C35</f>
        <v>25.25</v>
      </c>
      <c r="F68" s="43">
        <f>C68*D68*E68</f>
        <v>0</v>
      </c>
      <c r="G68" s="133">
        <f t="shared" si="3"/>
        <v>0</v>
      </c>
      <c r="H68" s="18"/>
      <c r="J68" s="33"/>
      <c r="K68" s="121"/>
    </row>
    <row r="69" spans="1:11" s="1" customFormat="1" ht="13" x14ac:dyDescent="0.3">
      <c r="A69" s="38"/>
      <c r="B69" s="315" t="s">
        <v>389</v>
      </c>
      <c r="C69" s="268">
        <f>'Page variable'!$B$37</f>
        <v>0</v>
      </c>
      <c r="D69" s="905">
        <v>10</v>
      </c>
      <c r="E69" s="42">
        <f>'Données normes'!C35</f>
        <v>25.25</v>
      </c>
      <c r="F69" s="43">
        <f>C69*D69*E69</f>
        <v>0</v>
      </c>
      <c r="G69" s="133">
        <f t="shared" si="3"/>
        <v>0</v>
      </c>
      <c r="H69" s="18"/>
      <c r="J69" s="33"/>
      <c r="K69" s="121"/>
    </row>
    <row r="70" spans="1:11" s="1" customFormat="1" ht="15.5" x14ac:dyDescent="0.35">
      <c r="A70" s="38"/>
      <c r="B70" s="315"/>
      <c r="C70" s="18"/>
      <c r="D70" s="336"/>
      <c r="E70" s="42"/>
      <c r="F70" s="283">
        <f>SUM(F63:F69)</f>
        <v>6310.5</v>
      </c>
      <c r="G70" s="133">
        <f t="shared" si="3"/>
        <v>0.15814727722275218</v>
      </c>
      <c r="H70" s="18"/>
      <c r="J70" s="33"/>
      <c r="K70" s="121"/>
    </row>
    <row r="71" spans="1:11" s="1" customFormat="1" ht="13" x14ac:dyDescent="0.3">
      <c r="A71" s="38"/>
      <c r="B71" s="315"/>
      <c r="C71" s="18"/>
      <c r="D71" s="336"/>
      <c r="E71" s="42"/>
      <c r="F71" s="43"/>
      <c r="G71" s="133"/>
      <c r="H71" s="18"/>
      <c r="J71" s="33"/>
      <c r="K71" s="121"/>
    </row>
    <row r="72" spans="1:11" ht="13" x14ac:dyDescent="0.3">
      <c r="A72" s="17" t="s">
        <v>223</v>
      </c>
      <c r="B72" s="751" t="s">
        <v>228</v>
      </c>
      <c r="C72" s="759">
        <f>'Données normes'!G86</f>
        <v>110</v>
      </c>
      <c r="D72" s="44">
        <f>(D9+D10+('Données normes'!D86*D12))/C72</f>
        <v>367.04545454545456</v>
      </c>
      <c r="E72" s="42">
        <f>'Données normes'!C35</f>
        <v>25.25</v>
      </c>
      <c r="F72" s="43">
        <f t="shared" si="2"/>
        <v>9267.8977272727279</v>
      </c>
      <c r="G72" s="133">
        <f t="shared" si="3"/>
        <v>0.23226254514652012</v>
      </c>
    </row>
    <row r="73" spans="1:11" ht="13" x14ac:dyDescent="0.3">
      <c r="A73" s="17"/>
      <c r="B73" s="301" t="s">
        <v>229</v>
      </c>
      <c r="C73" s="250">
        <f>'Données normes'!H86</f>
        <v>300</v>
      </c>
      <c r="D73" s="44">
        <f>('Données normes'!E86*D12)/C73</f>
        <v>7.083333333333333</v>
      </c>
      <c r="E73" s="42">
        <f>'Données normes'!C34</f>
        <v>21</v>
      </c>
      <c r="F73" s="43">
        <f>D73*E73</f>
        <v>148.75</v>
      </c>
      <c r="G73" s="133">
        <f t="shared" si="3"/>
        <v>3.7278199012573312E-3</v>
      </c>
    </row>
    <row r="74" spans="1:11" ht="13.5" thickBot="1" x14ac:dyDescent="0.35">
      <c r="A74" s="17"/>
      <c r="B74" s="28" t="s">
        <v>387</v>
      </c>
      <c r="C74" s="41"/>
      <c r="D74" s="44">
        <f>'Données normes'!F93+'Données normes'!G93</f>
        <v>40</v>
      </c>
      <c r="E74" s="42">
        <f>'Données normes'!$C$32</f>
        <v>35</v>
      </c>
      <c r="F74" s="464">
        <f t="shared" si="2"/>
        <v>1400</v>
      </c>
      <c r="G74" s="133">
        <f t="shared" si="3"/>
        <v>3.5085363776539591E-2</v>
      </c>
    </row>
    <row r="75" spans="1:11" ht="15.5" x14ac:dyDescent="0.35">
      <c r="A75" s="749" t="s">
        <v>376</v>
      </c>
      <c r="B75" s="1062">
        <f>('Données normes'!F34*D67)+('Données normes'!F34*D72)+D73</f>
        <v>225.60606060606062</v>
      </c>
      <c r="C75" s="751" t="s">
        <v>59</v>
      </c>
      <c r="D75" s="1063">
        <f>SUM(D63:D74)</f>
        <v>663.12878787878788</v>
      </c>
      <c r="E75" s="42"/>
      <c r="F75" s="283">
        <f>SUM(F70:F74)</f>
        <v>17127.147727272728</v>
      </c>
      <c r="G75" s="553">
        <f t="shared" si="3"/>
        <v>0.4292230060470692</v>
      </c>
    </row>
    <row r="76" spans="1:11" s="1" customFormat="1" ht="13" x14ac:dyDescent="0.3">
      <c r="A76" s="751"/>
      <c r="B76" s="760"/>
      <c r="C76" s="751"/>
      <c r="D76" s="849"/>
      <c r="E76" s="42"/>
      <c r="F76" s="80"/>
      <c r="G76" s="133"/>
      <c r="H76" s="18"/>
      <c r="J76" s="33"/>
      <c r="K76" s="121"/>
    </row>
    <row r="77" spans="1:11" s="1" customFormat="1" ht="13" x14ac:dyDescent="0.3">
      <c r="A77" s="751"/>
      <c r="B77" s="760"/>
      <c r="C77" s="751"/>
      <c r="D77" s="849"/>
      <c r="E77" s="42"/>
      <c r="F77" s="80"/>
      <c r="G77" s="133"/>
      <c r="H77" s="18"/>
      <c r="J77" s="33"/>
      <c r="K77" s="121"/>
    </row>
    <row r="78" spans="1:11" ht="13" x14ac:dyDescent="0.3">
      <c r="A78" s="17" t="s">
        <v>377</v>
      </c>
      <c r="B78" s="28" t="s">
        <v>144</v>
      </c>
      <c r="C78" s="41"/>
      <c r="D78" s="41"/>
      <c r="E78" s="42"/>
      <c r="F78" s="43">
        <f>'Données normes'!C42</f>
        <v>660</v>
      </c>
      <c r="G78" s="133">
        <f t="shared" si="3"/>
        <v>1.6540242923225805E-2</v>
      </c>
    </row>
    <row r="79" spans="1:11" ht="13" thickBot="1" x14ac:dyDescent="0.3">
      <c r="A79" s="13"/>
      <c r="B79" s="13" t="s">
        <v>145</v>
      </c>
      <c r="C79" s="1064">
        <f>'Données normes'!C41</f>
        <v>0.6</v>
      </c>
      <c r="D79" s="850">
        <f>'Données normes'!C40</f>
        <v>2.5000000000000001E-2</v>
      </c>
      <c r="E79" s="148">
        <f>C37</f>
        <v>87471.623963084232</v>
      </c>
      <c r="F79" s="464">
        <f>$D$79*E79*$C$79</f>
        <v>1312.0743594462635</v>
      </c>
      <c r="G79" s="133">
        <f t="shared" si="3"/>
        <v>3.2881861573601658E-2</v>
      </c>
    </row>
    <row r="80" spans="1:11" ht="15.5" x14ac:dyDescent="0.35">
      <c r="A80" s="13"/>
      <c r="B80" s="13"/>
      <c r="C80" s="18"/>
      <c r="D80" s="18"/>
      <c r="E80" s="18"/>
      <c r="F80" s="283">
        <f>SUM(F78:F79)</f>
        <v>1972.0743594462635</v>
      </c>
      <c r="G80" s="553">
        <f t="shared" si="3"/>
        <v>4.9422104496827463E-2</v>
      </c>
    </row>
    <row r="81" spans="1:11" s="1" customFormat="1" ht="13" x14ac:dyDescent="0.3">
      <c r="F81" s="132"/>
      <c r="G81" s="133"/>
      <c r="H81" s="18"/>
      <c r="J81" s="33"/>
      <c r="K81" s="121"/>
    </row>
    <row r="82" spans="1:11" ht="20" x14ac:dyDescent="0.4">
      <c r="A82" s="737" t="s">
        <v>158</v>
      </c>
      <c r="B82" s="738"/>
      <c r="C82" s="1014"/>
      <c r="D82" s="1015"/>
      <c r="E82" s="1016"/>
      <c r="F82" s="590">
        <f>F80+F75+F60+F44</f>
        <v>25397.160438991719</v>
      </c>
      <c r="G82" s="1017">
        <f t="shared" si="3"/>
        <v>0.63647758063797455</v>
      </c>
    </row>
    <row r="83" spans="1:11" s="1" customFormat="1" ht="20" x14ac:dyDescent="0.4">
      <c r="A83" s="636"/>
      <c r="B83" s="641"/>
      <c r="C83" s="642"/>
      <c r="D83" s="643"/>
      <c r="E83" s="644"/>
      <c r="F83" s="639"/>
      <c r="G83" s="998"/>
      <c r="H83" s="18"/>
      <c r="J83" s="33"/>
      <c r="K83" s="121"/>
    </row>
    <row r="84" spans="1:11" s="342" customFormat="1" ht="27.75" customHeight="1" x14ac:dyDescent="0.5">
      <c r="A84" s="834" t="s">
        <v>143</v>
      </c>
      <c r="B84" s="1009"/>
      <c r="C84" s="1010"/>
      <c r="D84" s="1011"/>
      <c r="E84" s="1012"/>
      <c r="F84" s="640">
        <f>F82+F43</f>
        <v>39902.678761339601</v>
      </c>
      <c r="G84" s="1013">
        <f t="shared" si="3"/>
        <v>1</v>
      </c>
      <c r="H84" s="1003"/>
      <c r="I84" s="339"/>
      <c r="J84" s="340"/>
      <c r="K84" s="341"/>
    </row>
    <row r="85" spans="1:11" s="342" customFormat="1" ht="13.65" customHeight="1" x14ac:dyDescent="0.5">
      <c r="A85" s="645"/>
      <c r="B85" s="646"/>
      <c r="C85" s="647"/>
      <c r="D85" s="648"/>
      <c r="E85" s="649"/>
      <c r="F85" s="640"/>
      <c r="G85" s="999"/>
      <c r="H85" s="1003"/>
      <c r="I85" s="339"/>
      <c r="J85" s="340"/>
      <c r="K85" s="341"/>
    </row>
    <row r="86" spans="1:11" s="342" customFormat="1" ht="22.5" x14ac:dyDescent="0.45">
      <c r="A86" s="1018" t="s">
        <v>18</v>
      </c>
      <c r="B86" s="1019"/>
      <c r="C86" s="1020"/>
      <c r="D86" s="1021"/>
      <c r="E86" s="1022"/>
      <c r="F86" s="651">
        <f>F84/D12</f>
        <v>0.93888655909034358</v>
      </c>
      <c r="G86" s="1013"/>
      <c r="H86" s="1003"/>
      <c r="I86" s="339"/>
      <c r="J86" s="340"/>
      <c r="K86" s="341"/>
    </row>
    <row r="87" spans="1:11" s="342" customFormat="1" ht="31" x14ac:dyDescent="0.45">
      <c r="A87" s="355" t="s">
        <v>19</v>
      </c>
      <c r="B87" s="100"/>
      <c r="C87" s="327"/>
      <c r="D87" s="369" t="s">
        <v>20</v>
      </c>
      <c r="E87" s="370" t="s">
        <v>21</v>
      </c>
      <c r="F87" s="99"/>
      <c r="G87" s="910"/>
      <c r="H87" s="1003"/>
      <c r="I87" s="339"/>
      <c r="J87" s="340"/>
      <c r="K87" s="341"/>
    </row>
    <row r="88" spans="1:11" s="342" customFormat="1" ht="23" x14ac:dyDescent="0.5">
      <c r="A88" s="363"/>
      <c r="B88" s="366"/>
      <c r="C88" s="1029" t="s">
        <v>22</v>
      </c>
      <c r="D88" s="1030">
        <f>F9/F12</f>
        <v>0.85103942652329745</v>
      </c>
      <c r="E88" s="1031">
        <f>D88*F84</f>
        <v>33958.752849793818</v>
      </c>
      <c r="F88" s="1032">
        <f>E88/D9</f>
        <v>1.2060822321791367</v>
      </c>
      <c r="G88" s="910"/>
      <c r="H88" s="1003"/>
      <c r="I88" s="339"/>
      <c r="J88" s="340"/>
      <c r="K88" s="341"/>
    </row>
    <row r="89" spans="1:11" s="342" customFormat="1" ht="23" x14ac:dyDescent="0.5">
      <c r="A89" s="693"/>
      <c r="B89" s="366"/>
      <c r="C89" s="1029" t="s">
        <v>23</v>
      </c>
      <c r="D89" s="1030">
        <f>F10/F12</f>
        <v>0.12258064516129027</v>
      </c>
      <c r="E89" s="1031">
        <f>D89*F84</f>
        <v>4891.2961062287231</v>
      </c>
      <c r="F89" s="1032">
        <f>E89/D10</f>
        <v>0.48458661114340301</v>
      </c>
      <c r="G89" s="910"/>
      <c r="H89" s="1003"/>
      <c r="I89" s="339"/>
      <c r="J89" s="340"/>
      <c r="K89" s="341"/>
    </row>
    <row r="90" spans="1:11" s="342" customFormat="1" ht="23" x14ac:dyDescent="0.5">
      <c r="A90" s="350"/>
      <c r="B90" s="351"/>
      <c r="C90" s="327"/>
      <c r="D90" s="851"/>
      <c r="E90" s="357"/>
      <c r="F90" s="361"/>
      <c r="G90" s="910"/>
      <c r="H90" s="1003"/>
      <c r="I90" s="339"/>
      <c r="J90" s="340"/>
      <c r="K90" s="341"/>
    </row>
    <row r="91" spans="1:11" s="96" customFormat="1" ht="23.4" customHeight="1" x14ac:dyDescent="0.4">
      <c r="A91" s="1018" t="s">
        <v>24</v>
      </c>
      <c r="B91" s="1019"/>
      <c r="C91" s="1020"/>
      <c r="D91" s="1021"/>
      <c r="E91" s="650"/>
      <c r="F91" s="608">
        <f>F15-F84</f>
        <v>-1747.9912613395863</v>
      </c>
      <c r="G91" s="911"/>
      <c r="H91" s="1004"/>
      <c r="I91" s="343"/>
      <c r="J91" s="344"/>
      <c r="K91" s="345"/>
    </row>
    <row r="92" spans="1:11" s="96" customFormat="1" ht="13.65" customHeight="1" x14ac:dyDescent="0.4">
      <c r="A92" s="355"/>
      <c r="B92" s="100"/>
      <c r="C92" s="327"/>
      <c r="D92" s="356"/>
      <c r="E92" s="357"/>
      <c r="F92" s="99"/>
      <c r="G92" s="911"/>
      <c r="H92" s="1004"/>
      <c r="I92" s="343"/>
      <c r="J92" s="344" t="s">
        <v>88</v>
      </c>
      <c r="K92" s="345"/>
    </row>
    <row r="93" spans="1:11" s="48" customFormat="1" ht="18.75" customHeight="1" x14ac:dyDescent="0.4">
      <c r="A93" s="694" t="s">
        <v>26</v>
      </c>
      <c r="B93" s="310"/>
      <c r="C93" s="308"/>
      <c r="D93" s="358"/>
      <c r="E93" s="359"/>
      <c r="F93" s="695">
        <f>F15/F84</f>
        <v>0.95619363622692022</v>
      </c>
      <c r="G93" s="912"/>
      <c r="H93" s="1005"/>
      <c r="I93" s="63"/>
      <c r="J93" s="119"/>
      <c r="K93" s="123"/>
    </row>
    <row r="94" spans="1:11" s="48" customFormat="1" ht="13.5" customHeight="1" x14ac:dyDescent="0.4">
      <c r="A94" s="152"/>
      <c r="B94" s="310"/>
      <c r="C94" s="308"/>
      <c r="D94" s="358"/>
      <c r="E94" s="359"/>
      <c r="F94" s="634"/>
      <c r="G94" s="912"/>
      <c r="H94" s="1005"/>
      <c r="I94" s="63"/>
      <c r="J94" s="119"/>
      <c r="K94" s="123"/>
    </row>
    <row r="95" spans="1:11" s="48" customFormat="1" ht="21.65" customHeight="1" x14ac:dyDescent="0.4">
      <c r="A95" s="696" t="s">
        <v>28</v>
      </c>
      <c r="B95" s="696"/>
      <c r="C95" s="110" t="s">
        <v>430</v>
      </c>
      <c r="D95" s="697"/>
      <c r="E95" s="697"/>
      <c r="F95" s="697">
        <f>F12-F43</f>
        <v>22549.169177652133</v>
      </c>
      <c r="G95" s="912"/>
      <c r="H95" s="1005"/>
      <c r="I95" s="63"/>
      <c r="J95" s="119"/>
      <c r="K95" s="123"/>
    </row>
    <row r="96" spans="1:11" s="48" customFormat="1" ht="21.65" customHeight="1" x14ac:dyDescent="0.4">
      <c r="A96" s="696"/>
      <c r="B96" s="696"/>
      <c r="C96" s="110" t="s">
        <v>431</v>
      </c>
      <c r="D96" s="697"/>
      <c r="E96" s="697"/>
      <c r="F96" s="635">
        <f>F15-F43</f>
        <v>23649.169177652133</v>
      </c>
      <c r="G96" s="912"/>
      <c r="H96" s="1005"/>
      <c r="I96" s="63"/>
      <c r="J96" s="119"/>
      <c r="K96" s="123"/>
    </row>
    <row r="97" spans="1:11" s="48" customFormat="1" ht="13.5" customHeight="1" x14ac:dyDescent="0.4">
      <c r="A97" s="152"/>
      <c r="B97" s="310"/>
      <c r="C97" s="308"/>
      <c r="D97" s="358"/>
      <c r="E97" s="359"/>
      <c r="F97" s="634"/>
      <c r="G97" s="912"/>
      <c r="H97" s="1005"/>
      <c r="I97" s="63"/>
      <c r="J97" s="119"/>
      <c r="K97" s="123"/>
    </row>
    <row r="98" spans="1:11" s="48" customFormat="1" ht="25.25" customHeight="1" x14ac:dyDescent="0.4">
      <c r="A98" s="309" t="s">
        <v>29</v>
      </c>
      <c r="B98" s="310"/>
      <c r="C98" s="308"/>
      <c r="D98" s="358"/>
      <c r="E98" s="359"/>
      <c r="F98" s="698">
        <f>F91+F37</f>
        <v>5541.3107355840993</v>
      </c>
      <c r="G98" s="912"/>
      <c r="H98" s="1005"/>
      <c r="I98" s="63"/>
      <c r="J98" s="119"/>
      <c r="K98" s="123"/>
    </row>
    <row r="99" spans="1:11" s="48" customFormat="1" ht="18.75" customHeight="1" x14ac:dyDescent="0.4">
      <c r="A99" s="353"/>
      <c r="B99" s="313"/>
      <c r="C99" s="311"/>
      <c r="D99" s="337"/>
      <c r="E99" s="338"/>
      <c r="F99" s="354"/>
      <c r="G99" s="912"/>
      <c r="H99" s="1005"/>
      <c r="I99" s="63"/>
      <c r="J99" s="119"/>
      <c r="K99" s="123"/>
    </row>
    <row r="100" spans="1:11" s="1" customFormat="1" ht="16.5" customHeight="1" x14ac:dyDescent="0.4">
      <c r="A100" s="152" t="s">
        <v>433</v>
      </c>
      <c r="B100" s="144"/>
      <c r="C100" s="215"/>
      <c r="D100" s="360"/>
      <c r="E100" s="213"/>
      <c r="F100" s="288">
        <f>F84-F75</f>
        <v>22775.531034066873</v>
      </c>
      <c r="G100" s="133"/>
      <c r="H100" s="1006"/>
      <c r="J100" s="33"/>
      <c r="K100" s="121"/>
    </row>
    <row r="101" spans="1:11" s="1" customFormat="1" ht="16.5" customHeight="1" x14ac:dyDescent="0.4">
      <c r="A101" s="325" t="s">
        <v>140</v>
      </c>
      <c r="B101" s="144"/>
      <c r="C101" s="215"/>
      <c r="D101" s="360"/>
      <c r="E101" s="213"/>
      <c r="F101" s="288">
        <f>F75</f>
        <v>17127.147727272728</v>
      </c>
      <c r="G101" s="133"/>
      <c r="H101" s="1006"/>
      <c r="J101" s="33"/>
      <c r="K101" s="121"/>
    </row>
    <row r="102" spans="1:11" ht="18" x14ac:dyDescent="0.4">
      <c r="A102" s="325" t="s">
        <v>437</v>
      </c>
      <c r="B102" s="84"/>
      <c r="C102" s="84"/>
      <c r="D102" s="84"/>
      <c r="E102" s="84"/>
      <c r="F102" s="288">
        <f>F15-F100</f>
        <v>15379.156465933142</v>
      </c>
      <c r="G102" s="18"/>
      <c r="H102" s="1007"/>
    </row>
    <row r="103" spans="1:11" ht="20" x14ac:dyDescent="0.4">
      <c r="A103" s="737" t="s">
        <v>437</v>
      </c>
      <c r="B103" s="1024"/>
      <c r="C103" s="1024"/>
      <c r="D103" s="1024"/>
      <c r="E103" s="578"/>
      <c r="F103" s="637">
        <f>F102/D75</f>
        <v>23.191809414771281</v>
      </c>
      <c r="G103" s="18"/>
    </row>
    <row r="104" spans="1:11" s="1" customFormat="1" ht="20" x14ac:dyDescent="0.4">
      <c r="A104" s="737"/>
      <c r="B104" s="1024"/>
      <c r="C104" s="1024"/>
      <c r="D104" s="1024"/>
      <c r="E104" s="578"/>
      <c r="F104" s="637"/>
      <c r="G104" s="18"/>
      <c r="H104" s="18"/>
      <c r="J104" s="33"/>
      <c r="K104" s="121"/>
    </row>
    <row r="105" spans="1:11" s="302" customFormat="1" ht="20" x14ac:dyDescent="0.4">
      <c r="A105" s="737" t="s">
        <v>434</v>
      </c>
      <c r="B105" s="737"/>
      <c r="C105" s="737"/>
      <c r="D105" s="737"/>
      <c r="E105" s="636"/>
      <c r="F105" s="638">
        <f>(F102-(B75*'Données normes'!C34))/(D75-B75)</f>
        <v>24.322003246639564</v>
      </c>
      <c r="G105" s="310"/>
      <c r="H105" s="771"/>
      <c r="J105" s="346"/>
      <c r="K105" s="347"/>
    </row>
    <row r="106" spans="1:11" s="313" customFormat="1" ht="20" x14ac:dyDescent="0.4">
      <c r="A106" s="271"/>
      <c r="B106" s="271"/>
      <c r="C106" s="271"/>
      <c r="D106" s="271"/>
      <c r="E106" s="271"/>
      <c r="F106" s="348"/>
      <c r="G106" s="310"/>
      <c r="H106" s="310"/>
      <c r="J106" s="311"/>
      <c r="K106" s="349"/>
    </row>
    <row r="107" spans="1:11" ht="22.65" customHeight="1" x14ac:dyDescent="0.4">
      <c r="A107" s="364" t="s">
        <v>30</v>
      </c>
      <c r="B107" s="1513" t="s">
        <v>31</v>
      </c>
      <c r="C107" s="1513"/>
      <c r="D107" s="1513"/>
      <c r="E107" s="1513"/>
      <c r="F107" s="652">
        <f>K59+F75+F35+F27+F19+F70</f>
        <v>31112.582945075759</v>
      </c>
      <c r="G107" s="43">
        <f>F15</f>
        <v>38154.687500000015</v>
      </c>
    </row>
    <row r="108" spans="1:11" s="1" customFormat="1" ht="15" customHeight="1" x14ac:dyDescent="0.4">
      <c r="A108" s="364"/>
      <c r="B108" s="365"/>
      <c r="C108" s="365"/>
      <c r="D108" s="365"/>
      <c r="E108" s="365"/>
      <c r="F108" s="652"/>
      <c r="G108" s="43"/>
      <c r="H108" s="18"/>
      <c r="J108" s="33"/>
      <c r="K108" s="121"/>
    </row>
    <row r="109" spans="1:11" ht="15.5" x14ac:dyDescent="0.35">
      <c r="A109" s="152" t="s">
        <v>32</v>
      </c>
      <c r="B109" s="110" t="s">
        <v>438</v>
      </c>
      <c r="C109" s="144"/>
      <c r="D109" s="144"/>
      <c r="E109" s="144"/>
      <c r="F109" s="653">
        <f>F15/D75</f>
        <v>57.537371619846255</v>
      </c>
      <c r="G109" s="18"/>
    </row>
    <row r="110" spans="1:11" ht="13" x14ac:dyDescent="0.3">
      <c r="A110" s="84"/>
      <c r="B110" s="144" t="s">
        <v>439</v>
      </c>
      <c r="C110" s="144"/>
      <c r="D110" s="144"/>
      <c r="E110" s="144"/>
      <c r="F110" s="367">
        <f>D9/D75</f>
        <v>42.459700912798603</v>
      </c>
      <c r="G110" s="18"/>
    </row>
    <row r="111" spans="1:11" ht="13" x14ac:dyDescent="0.3">
      <c r="A111" s="84"/>
      <c r="B111" s="144"/>
      <c r="C111" s="144"/>
      <c r="D111" s="144"/>
      <c r="E111" s="144"/>
      <c r="F111" s="367"/>
      <c r="G111" s="18"/>
    </row>
    <row r="112" spans="1:11" s="1" customFormat="1" ht="20" x14ac:dyDescent="0.4">
      <c r="A112" s="309" t="s">
        <v>33</v>
      </c>
      <c r="B112" s="110" t="s">
        <v>440</v>
      </c>
      <c r="C112" s="110"/>
      <c r="D112" s="110"/>
      <c r="E112" s="110"/>
      <c r="F112" s="654">
        <f>(F91+F79)/E79</f>
        <v>-4.9835235947750713E-3</v>
      </c>
      <c r="G112" s="18"/>
      <c r="H112" s="18"/>
      <c r="J112" s="33"/>
      <c r="K112" s="8"/>
    </row>
    <row r="113" spans="1:11" x14ac:dyDescent="0.25">
      <c r="A113" s="13"/>
      <c r="B113" s="13"/>
      <c r="C113" s="13"/>
      <c r="D113" s="13"/>
      <c r="E113" s="13"/>
      <c r="F113" s="368"/>
    </row>
    <row r="114" spans="1:11" x14ac:dyDescent="0.25">
      <c r="A114" s="13"/>
      <c r="B114" s="13"/>
      <c r="C114" s="13"/>
      <c r="D114" s="13"/>
      <c r="E114" s="13"/>
      <c r="F114" s="368"/>
    </row>
    <row r="115" spans="1:11" x14ac:dyDescent="0.25">
      <c r="F115" s="35"/>
    </row>
    <row r="116" spans="1:11" ht="20" x14ac:dyDescent="0.4">
      <c r="A116" s="627" t="s">
        <v>34</v>
      </c>
      <c r="B116" s="628"/>
      <c r="C116" s="628"/>
      <c r="D116" s="628"/>
      <c r="E116" s="628"/>
      <c r="F116" s="631"/>
    </row>
    <row r="117" spans="1:11" x14ac:dyDescent="0.25">
      <c r="F117" s="35"/>
    </row>
    <row r="118" spans="1:11" s="1069" customFormat="1" ht="31" x14ac:dyDescent="0.25">
      <c r="A118" s="860" t="s">
        <v>139</v>
      </c>
      <c r="B118" s="856" t="s">
        <v>110</v>
      </c>
      <c r="C118" s="856" t="s">
        <v>21</v>
      </c>
      <c r="G118" s="1070"/>
      <c r="H118" s="1071"/>
      <c r="J118" s="1072"/>
      <c r="K118" s="1073"/>
    </row>
    <row r="119" spans="1:11" ht="13" x14ac:dyDescent="0.3">
      <c r="A119" s="18" t="s">
        <v>140</v>
      </c>
      <c r="B119" s="43">
        <f>F75+F70</f>
        <v>23437.647727272728</v>
      </c>
      <c r="C119" s="859">
        <f>B119/$B$122</f>
        <v>0.58737028326982144</v>
      </c>
      <c r="D119" s="1"/>
      <c r="E119" s="1"/>
      <c r="F119" s="1"/>
    </row>
    <row r="120" spans="1:11" ht="13" x14ac:dyDescent="0.3">
      <c r="A120" s="18" t="s">
        <v>35</v>
      </c>
      <c r="B120" s="43">
        <f>F80</f>
        <v>1972.0743594462635</v>
      </c>
      <c r="C120" s="859">
        <f>B120/$B$122</f>
        <v>4.9422104496827463E-2</v>
      </c>
      <c r="D120" s="1"/>
      <c r="E120" s="1"/>
      <c r="F120" s="1"/>
    </row>
    <row r="121" spans="1:11" ht="13.5" thickBot="1" x14ac:dyDescent="0.35">
      <c r="A121" s="18" t="s">
        <v>142</v>
      </c>
      <c r="B121" s="464">
        <f>F84-B119-B120</f>
        <v>14492.956674620609</v>
      </c>
      <c r="C121" s="859">
        <f>B121/$B$122</f>
        <v>0.36320761223335113</v>
      </c>
      <c r="D121" s="1"/>
      <c r="E121" s="1"/>
      <c r="F121" s="1"/>
    </row>
    <row r="122" spans="1:11" ht="13" x14ac:dyDescent="0.3">
      <c r="A122" s="84" t="str">
        <f>A84</f>
        <v>Coûts de production par ha</v>
      </c>
      <c r="B122" s="43">
        <f>F84</f>
        <v>39902.678761339601</v>
      </c>
      <c r="C122" s="859">
        <f>B122/$B$122</f>
        <v>1</v>
      </c>
      <c r="D122" s="33"/>
      <c r="E122" s="1"/>
      <c r="F122" s="1"/>
    </row>
    <row r="123" spans="1:11" x14ac:dyDescent="0.25">
      <c r="A123" s="18"/>
      <c r="B123" s="18"/>
      <c r="C123" s="18"/>
      <c r="D123" s="1"/>
      <c r="E123" s="1"/>
      <c r="F123" s="8"/>
    </row>
    <row r="124" spans="1:11" s="170" customFormat="1" ht="30.75" customHeight="1" x14ac:dyDescent="0.25">
      <c r="A124" s="860" t="s">
        <v>36</v>
      </c>
      <c r="B124" s="854" t="s">
        <v>110</v>
      </c>
      <c r="C124" s="861" t="s">
        <v>435</v>
      </c>
      <c r="D124" s="173"/>
      <c r="G124" s="173"/>
      <c r="H124" s="920"/>
      <c r="J124" s="171"/>
      <c r="K124" s="172"/>
    </row>
    <row r="125" spans="1:11" ht="13" x14ac:dyDescent="0.3">
      <c r="A125" s="144" t="str">
        <f>B78</f>
        <v>Pour le terrain</v>
      </c>
      <c r="B125" s="43">
        <f>F78</f>
        <v>660</v>
      </c>
      <c r="C125" s="553">
        <f>B125/$B$127</f>
        <v>0.33467297865244827</v>
      </c>
      <c r="D125" s="1"/>
      <c r="E125" s="1"/>
      <c r="F125" s="1"/>
    </row>
    <row r="126" spans="1:11" ht="13.5" thickBot="1" x14ac:dyDescent="0.35">
      <c r="A126" s="144" t="str">
        <f>B79</f>
        <v>Pour l'investissement de la culture fruitière</v>
      </c>
      <c r="B126" s="464">
        <f>F79</f>
        <v>1312.0743594462635</v>
      </c>
      <c r="C126" s="553">
        <f>B126/$B$127</f>
        <v>0.66532702134755173</v>
      </c>
      <c r="D126" s="1"/>
      <c r="E126" s="1"/>
      <c r="F126" s="1"/>
    </row>
    <row r="127" spans="1:11" ht="13" x14ac:dyDescent="0.3">
      <c r="A127" s="862" t="s">
        <v>37</v>
      </c>
      <c r="B127" s="43">
        <f>SUM(B125:B126)</f>
        <v>1972.0743594462635</v>
      </c>
      <c r="C127" s="553">
        <f>B127/$B$127</f>
        <v>1</v>
      </c>
      <c r="D127" s="1"/>
      <c r="E127" s="1"/>
      <c r="F127" s="1"/>
    </row>
    <row r="128" spans="1:11" ht="13.65" customHeight="1" x14ac:dyDescent="0.25">
      <c r="A128" s="13"/>
      <c r="B128" s="13"/>
      <c r="C128" s="13"/>
      <c r="F128" s="35"/>
    </row>
    <row r="129" spans="1:11" s="170" customFormat="1" ht="31" x14ac:dyDescent="0.25">
      <c r="A129" s="863" t="s">
        <v>436</v>
      </c>
      <c r="B129" s="854" t="s">
        <v>110</v>
      </c>
      <c r="C129" s="861" t="s">
        <v>435</v>
      </c>
      <c r="D129" s="173"/>
      <c r="G129" s="173"/>
      <c r="H129" s="920"/>
      <c r="J129" s="171"/>
      <c r="K129" s="172"/>
    </row>
    <row r="130" spans="1:11" ht="13" x14ac:dyDescent="0.3">
      <c r="A130" s="144" t="str">
        <f>B63</f>
        <v>Fertilisation</v>
      </c>
      <c r="B130" s="43">
        <f>F63</f>
        <v>59</v>
      </c>
      <c r="C130" s="553">
        <f t="shared" ref="C130:C139" si="4">B130/$B$139</f>
        <v>3.4448234428462519E-3</v>
      </c>
      <c r="D130" s="1"/>
      <c r="E130" s="1"/>
      <c r="F130" s="1"/>
    </row>
    <row r="131" spans="1:11" ht="25.5" x14ac:dyDescent="0.3">
      <c r="A131" s="281" t="str">
        <f>B64</f>
        <v>Protection phytosanitaire y compris les contrôles et fauchage</v>
      </c>
      <c r="B131" s="43">
        <f>F64</f>
        <v>1268.5</v>
      </c>
      <c r="C131" s="553">
        <f t="shared" si="4"/>
        <v>7.4063704021194415E-2</v>
      </c>
      <c r="D131" s="1"/>
      <c r="E131" s="1"/>
      <c r="F131" s="1"/>
    </row>
    <row r="132" spans="1:11" ht="13" x14ac:dyDescent="0.3">
      <c r="A132" s="144" t="str">
        <f>B65</f>
        <v>Taille 
(été + hiver)</v>
      </c>
      <c r="B132" s="43">
        <f>F65</f>
        <v>2950</v>
      </c>
      <c r="C132" s="553">
        <f t="shared" si="4"/>
        <v>0.1722411721423126</v>
      </c>
      <c r="D132" s="1"/>
      <c r="E132" s="1"/>
      <c r="F132" s="1"/>
    </row>
    <row r="133" spans="1:11" ht="13" x14ac:dyDescent="0.3">
      <c r="A133" s="144" t="str">
        <f>B66</f>
        <v>Paillage et broyage des branches</v>
      </c>
      <c r="B133" s="43">
        <f>F66</f>
        <v>265.5</v>
      </c>
      <c r="C133" s="553">
        <f t="shared" si="4"/>
        <v>1.5501705492808134E-2</v>
      </c>
      <c r="D133" s="1"/>
      <c r="E133" s="1"/>
      <c r="F133" s="1"/>
    </row>
    <row r="134" spans="1:11" ht="13" x14ac:dyDescent="0.3">
      <c r="A134" s="144" t="str">
        <f>B67</f>
        <v>Régulation de la charge (manuelle)</v>
      </c>
      <c r="B134" s="43">
        <f>F67</f>
        <v>1767.5</v>
      </c>
      <c r="C134" s="553">
        <f t="shared" si="4"/>
        <v>0.10319873619035171</v>
      </c>
      <c r="D134" s="1"/>
      <c r="E134" s="1"/>
      <c r="F134" s="1"/>
    </row>
    <row r="135" spans="1:11" ht="13" x14ac:dyDescent="0.3">
      <c r="A135" s="144" t="s">
        <v>147</v>
      </c>
      <c r="B135" s="43">
        <f>F72+F73</f>
        <v>9416.6477272727279</v>
      </c>
      <c r="C135" s="553">
        <f t="shared" si="4"/>
        <v>0.54980828549040628</v>
      </c>
      <c r="D135" s="1"/>
      <c r="E135" s="1"/>
      <c r="F135" s="1"/>
    </row>
    <row r="136" spans="1:11" ht="13" x14ac:dyDescent="0.3">
      <c r="A136" s="144" t="s">
        <v>388</v>
      </c>
      <c r="B136" s="43">
        <f>F68</f>
        <v>0</v>
      </c>
      <c r="C136" s="553">
        <f t="shared" si="4"/>
        <v>0</v>
      </c>
      <c r="D136" s="1"/>
      <c r="E136" s="1"/>
      <c r="F136" s="1"/>
    </row>
    <row r="137" spans="1:11" ht="13" x14ac:dyDescent="0.3">
      <c r="A137" s="144" t="s">
        <v>413</v>
      </c>
      <c r="B137" s="43">
        <f>F69</f>
        <v>0</v>
      </c>
      <c r="C137" s="553">
        <f t="shared" si="4"/>
        <v>0</v>
      </c>
      <c r="D137" s="1"/>
      <c r="E137" s="1"/>
      <c r="F137" s="1"/>
    </row>
    <row r="138" spans="1:11" ht="13.5" thickBot="1" x14ac:dyDescent="0.35">
      <c r="A138" s="144" t="str">
        <f>B74</f>
        <v>Administration + travaux divers</v>
      </c>
      <c r="B138" s="464">
        <f>F74</f>
        <v>1400</v>
      </c>
      <c r="C138" s="553">
        <f t="shared" si="4"/>
        <v>8.1741573220080563E-2</v>
      </c>
      <c r="D138" s="1"/>
      <c r="E138" s="1"/>
      <c r="F138" s="1"/>
    </row>
    <row r="139" spans="1:11" ht="13" x14ac:dyDescent="0.3">
      <c r="A139" s="862" t="str">
        <f>A119</f>
        <v>Coûts de main-d'oeuvre</v>
      </c>
      <c r="B139" s="43">
        <f>SUM(B130:B138)</f>
        <v>17127.147727272728</v>
      </c>
      <c r="C139" s="553">
        <f t="shared" si="4"/>
        <v>1</v>
      </c>
      <c r="D139" s="1"/>
      <c r="E139" s="1"/>
      <c r="F139" s="1"/>
    </row>
    <row r="140" spans="1:11" x14ac:dyDescent="0.25">
      <c r="A140" s="13"/>
      <c r="B140" s="13"/>
      <c r="C140" s="13"/>
    </row>
    <row r="141" spans="1:11" x14ac:dyDescent="0.25">
      <c r="A141" s="13"/>
      <c r="B141" s="13"/>
      <c r="C141" s="13"/>
      <c r="F141" s="35"/>
    </row>
    <row r="142" spans="1:11" s="170" customFormat="1" ht="18" customHeight="1" x14ac:dyDescent="0.25">
      <c r="A142" s="696" t="s">
        <v>39</v>
      </c>
      <c r="B142" s="854" t="s">
        <v>110</v>
      </c>
      <c r="C142" s="1087" t="s">
        <v>38</v>
      </c>
      <c r="D142" s="173"/>
      <c r="E142" s="173"/>
      <c r="F142" s="150"/>
      <c r="G142" s="173"/>
      <c r="H142" s="920"/>
      <c r="J142" s="171"/>
      <c r="K142" s="172"/>
    </row>
    <row r="143" spans="1:11" ht="13" x14ac:dyDescent="0.3">
      <c r="A143" s="144" t="str">
        <f>A29</f>
        <v xml:space="preserve">Déductions   </v>
      </c>
      <c r="B143" s="43">
        <f>F35</f>
        <v>338.25</v>
      </c>
      <c r="C143" s="446">
        <f>B143/$B$147</f>
        <v>2.3338923008879731E-2</v>
      </c>
      <c r="D143" s="174"/>
      <c r="E143" s="32"/>
      <c r="F143" s="175"/>
    </row>
    <row r="144" spans="1:11" ht="15.75" customHeight="1" x14ac:dyDescent="0.25">
      <c r="A144" s="839" t="str">
        <f>A37</f>
        <v>Amortissement de la culture</v>
      </c>
      <c r="B144" s="632">
        <f>F37</f>
        <v>7289.3019969236857</v>
      </c>
      <c r="C144" s="446">
        <f>B144/$B$147</f>
        <v>0.50295479111507813</v>
      </c>
      <c r="D144" s="1"/>
      <c r="E144" s="1"/>
      <c r="F144" s="1"/>
    </row>
    <row r="145" spans="1:11" ht="13" x14ac:dyDescent="0.25">
      <c r="A145" s="144" t="str">
        <f>A47</f>
        <v>Machines et équipements</v>
      </c>
      <c r="B145" s="43">
        <f>F60</f>
        <v>6147.9383522727276</v>
      </c>
      <c r="C145" s="446">
        <f>B145/$B$147</f>
        <v>0.42420180300674676</v>
      </c>
      <c r="D145" s="1"/>
      <c r="E145" s="1"/>
      <c r="F145" s="1"/>
    </row>
    <row r="146" spans="1:11" ht="13.5" thickBot="1" x14ac:dyDescent="0.3">
      <c r="A146" s="144" t="s">
        <v>40</v>
      </c>
      <c r="B146" s="464">
        <f>B147-B143-B144-B145</f>
        <v>717.46632542419593</v>
      </c>
      <c r="C146" s="446">
        <f>B146/$B$147</f>
        <v>4.9504482869295367E-2</v>
      </c>
      <c r="D146" s="1"/>
      <c r="E146" s="1"/>
      <c r="F146" s="1"/>
    </row>
    <row r="147" spans="1:11" ht="13" x14ac:dyDescent="0.25">
      <c r="A147" s="18" t="str">
        <f>A121</f>
        <v>Coûts de matériel</v>
      </c>
      <c r="B147" s="43">
        <f>B121</f>
        <v>14492.956674620609</v>
      </c>
      <c r="C147" s="446">
        <f>B147/$B$147</f>
        <v>1</v>
      </c>
      <c r="D147" s="1"/>
      <c r="E147" s="1"/>
      <c r="F147" s="1"/>
    </row>
    <row r="148" spans="1:11" x14ac:dyDescent="0.25">
      <c r="A148" s="13"/>
      <c r="B148" s="13"/>
      <c r="C148" s="13"/>
    </row>
    <row r="149" spans="1:11" x14ac:dyDescent="0.25">
      <c r="A149" s="13"/>
      <c r="B149" s="13"/>
      <c r="C149" s="13"/>
    </row>
    <row r="150" spans="1:11" s="170" customFormat="1" ht="47.25" customHeight="1" x14ac:dyDescent="0.25">
      <c r="A150" s="860" t="s">
        <v>41</v>
      </c>
      <c r="B150" s="854" t="s">
        <v>110</v>
      </c>
      <c r="C150" s="854" t="s">
        <v>21</v>
      </c>
      <c r="G150" s="173"/>
      <c r="H150" s="920"/>
      <c r="J150" s="171"/>
      <c r="K150" s="172"/>
    </row>
    <row r="151" spans="1:11" ht="13" x14ac:dyDescent="0.3">
      <c r="A151" s="18" t="str">
        <f>A43</f>
        <v>Total des coûts spécifiques</v>
      </c>
      <c r="B151" s="43">
        <f>F43</f>
        <v>14505.518322347882</v>
      </c>
      <c r="C151" s="859">
        <f>G43</f>
        <v>0.36352241936202545</v>
      </c>
      <c r="D151" s="1"/>
      <c r="E151" s="1"/>
      <c r="F151" s="1"/>
    </row>
    <row r="152" spans="1:11" ht="13.5" thickBot="1" x14ac:dyDescent="0.35">
      <c r="A152" s="18" t="str">
        <f>A82</f>
        <v>Total des coûts de structure</v>
      </c>
      <c r="B152" s="464">
        <f>F82</f>
        <v>25397.160438991719</v>
      </c>
      <c r="C152" s="859">
        <f>G82</f>
        <v>0.63647758063797455</v>
      </c>
      <c r="D152" s="1"/>
      <c r="E152" s="1"/>
      <c r="F152" s="1"/>
    </row>
    <row r="153" spans="1:11" ht="13" x14ac:dyDescent="0.3">
      <c r="A153" s="18" t="str">
        <f>A84</f>
        <v>Coûts de production par ha</v>
      </c>
      <c r="B153" s="43">
        <f>SUM(B151:B152)</f>
        <v>39902.678761339601</v>
      </c>
      <c r="C153" s="859">
        <f>SUM(C151:C152)</f>
        <v>1</v>
      </c>
      <c r="D153" s="1"/>
      <c r="E153" s="1"/>
      <c r="F153" s="1"/>
    </row>
    <row r="154" spans="1:11" x14ac:dyDescent="0.25">
      <c r="A154" s="13"/>
      <c r="B154" s="13"/>
      <c r="C154" s="13"/>
    </row>
    <row r="156" spans="1:11" ht="20" x14ac:dyDescent="0.4">
      <c r="A156" s="627" t="s">
        <v>42</v>
      </c>
      <c r="B156" s="627"/>
      <c r="C156" s="627"/>
      <c r="D156" s="627"/>
      <c r="E156" s="627"/>
      <c r="F156" s="633"/>
    </row>
    <row r="157" spans="1:11" s="1" customFormat="1" ht="11" customHeight="1" x14ac:dyDescent="0.4">
      <c r="A157" s="312"/>
      <c r="B157" s="312"/>
      <c r="C157" s="312"/>
      <c r="D157" s="312"/>
      <c r="E157" s="312"/>
      <c r="F157" s="373"/>
      <c r="H157" s="18"/>
      <c r="J157" s="33"/>
      <c r="K157" s="121"/>
    </row>
    <row r="158" spans="1:11" x14ac:dyDescent="0.25">
      <c r="A158" s="13"/>
      <c r="B158" s="854" t="s">
        <v>110</v>
      </c>
      <c r="C158" s="854" t="s">
        <v>21</v>
      </c>
    </row>
    <row r="159" spans="1:11" ht="13" x14ac:dyDescent="0.3">
      <c r="A159" s="69" t="s">
        <v>155</v>
      </c>
      <c r="B159" s="13"/>
      <c r="C159" s="13"/>
    </row>
    <row r="160" spans="1:11" ht="13" x14ac:dyDescent="0.3">
      <c r="A160" s="107" t="s">
        <v>43</v>
      </c>
      <c r="B160" s="82">
        <f>F27</f>
        <v>5347.8</v>
      </c>
      <c r="C160" s="295">
        <f>B160/$F$84</f>
        <v>0.134021077431556</v>
      </c>
    </row>
    <row r="161" spans="1:3" x14ac:dyDescent="0.25">
      <c r="A161" s="13"/>
      <c r="B161" s="43"/>
      <c r="C161" s="295"/>
    </row>
    <row r="162" spans="1:3" ht="13" x14ac:dyDescent="0.3">
      <c r="A162" s="69" t="s">
        <v>163</v>
      </c>
      <c r="B162" s="41"/>
      <c r="C162" s="295"/>
    </row>
    <row r="163" spans="1:3" x14ac:dyDescent="0.25">
      <c r="A163" s="18" t="str">
        <f>B47</f>
        <v>Pulvérisateur traîné avec ventilateur, 1000 l</v>
      </c>
      <c r="B163" s="43">
        <f>F47</f>
        <v>1106.5999999999999</v>
      </c>
      <c r="C163" s="295">
        <f t="shared" ref="C163:C169" si="5">B163/$F$84</f>
        <v>2.7732473967941932E-2</v>
      </c>
    </row>
    <row r="164" spans="1:3" x14ac:dyDescent="0.25">
      <c r="A164" s="18" t="str">
        <f>B48</f>
        <v>Rampe de pulvérisation pour herbicides</v>
      </c>
      <c r="B164" s="43">
        <f>F48</f>
        <v>414</v>
      </c>
      <c r="C164" s="295">
        <f t="shared" si="5"/>
        <v>1.0375243288205278E-2</v>
      </c>
    </row>
    <row r="165" spans="1:3" ht="13" thickBot="1" x14ac:dyDescent="0.3">
      <c r="A165" s="18" t="s">
        <v>248</v>
      </c>
      <c r="B165" s="858">
        <f>((C47*D47)+(C48*D48))*E56</f>
        <v>1148</v>
      </c>
      <c r="C165" s="295">
        <f t="shared" si="5"/>
        <v>2.8769998296762463E-2</v>
      </c>
    </row>
    <row r="166" spans="1:3" ht="13" x14ac:dyDescent="0.3">
      <c r="A166" s="18"/>
      <c r="B166" s="82">
        <f>SUM(B163:B165)</f>
        <v>2668.6</v>
      </c>
      <c r="C166" s="295">
        <f t="shared" si="5"/>
        <v>6.6877715552909667E-2</v>
      </c>
    </row>
    <row r="167" spans="1:3" x14ac:dyDescent="0.25">
      <c r="A167" s="18"/>
      <c r="B167" s="41"/>
      <c r="C167" s="295"/>
    </row>
    <row r="168" spans="1:3" ht="13" x14ac:dyDescent="0.3">
      <c r="A168" s="84" t="s">
        <v>164</v>
      </c>
      <c r="B168" s="41"/>
      <c r="C168" s="295"/>
    </row>
    <row r="169" spans="1:3" ht="26" thickBot="1" x14ac:dyDescent="0.35">
      <c r="A169" s="1036" t="str">
        <f>B64</f>
        <v>Protection phytosanitaire y compris les contrôles et fauchage</v>
      </c>
      <c r="B169" s="625">
        <f>F64</f>
        <v>1268.5</v>
      </c>
      <c r="C169" s="295">
        <f t="shared" si="5"/>
        <v>3.1789845678957478E-2</v>
      </c>
    </row>
    <row r="170" spans="1:3" x14ac:dyDescent="0.25">
      <c r="A170" s="18"/>
      <c r="B170" s="18"/>
      <c r="C170" s="13"/>
    </row>
    <row r="171" spans="1:3" ht="13" x14ac:dyDescent="0.3">
      <c r="A171" s="84" t="s">
        <v>44</v>
      </c>
      <c r="B171" s="82">
        <f>B160+B166+B169</f>
        <v>9284.9</v>
      </c>
      <c r="C171" s="855">
        <f>B171/$F$84</f>
        <v>0.23268863866342315</v>
      </c>
    </row>
    <row r="172" spans="1:3" x14ac:dyDescent="0.25">
      <c r="A172" s="13" t="s">
        <v>161</v>
      </c>
      <c r="B172" s="43">
        <f>F84-B178</f>
        <v>30617.778761339599</v>
      </c>
      <c r="C172" s="295">
        <f>B172/$F$84</f>
        <v>0.76731136133657685</v>
      </c>
    </row>
    <row r="173" spans="1:3" x14ac:dyDescent="0.25">
      <c r="A173" s="13"/>
      <c r="B173" s="18"/>
      <c r="C173" s="13"/>
    </row>
    <row r="174" spans="1:3" ht="15.5" x14ac:dyDescent="0.35">
      <c r="A174" s="303" t="s">
        <v>47</v>
      </c>
      <c r="B174" s="854" t="s">
        <v>110</v>
      </c>
      <c r="C174" s="856" t="s">
        <v>48</v>
      </c>
    </row>
    <row r="175" spans="1:3" x14ac:dyDescent="0.25">
      <c r="A175" s="13" t="s">
        <v>155</v>
      </c>
      <c r="B175" s="43">
        <f>B160</f>
        <v>5347.8</v>
      </c>
      <c r="C175" s="295">
        <f>B175/$B$178</f>
        <v>0.57596743099010228</v>
      </c>
    </row>
    <row r="176" spans="1:3" x14ac:dyDescent="0.25">
      <c r="A176" s="13" t="s">
        <v>163</v>
      </c>
      <c r="B176" s="43">
        <f>B166</f>
        <v>2668.6</v>
      </c>
      <c r="C176" s="295">
        <f>B176/$B$178</f>
        <v>0.28741289620782129</v>
      </c>
    </row>
    <row r="177" spans="1:11" ht="13" thickBot="1" x14ac:dyDescent="0.3">
      <c r="A177" s="13" t="s">
        <v>164</v>
      </c>
      <c r="B177" s="464">
        <f>B169</f>
        <v>1268.5</v>
      </c>
      <c r="C177" s="295">
        <f>B177/$B$178</f>
        <v>0.13661967280207649</v>
      </c>
    </row>
    <row r="178" spans="1:11" s="170" customFormat="1" ht="28.5" customHeight="1" x14ac:dyDescent="0.25">
      <c r="A178" s="857" t="s">
        <v>160</v>
      </c>
      <c r="B178" s="840">
        <f>SUM(B175:B177)</f>
        <v>9284.9</v>
      </c>
      <c r="C178" s="295">
        <f>B178/$B$178</f>
        <v>1</v>
      </c>
      <c r="G178" s="173"/>
      <c r="H178" s="920"/>
      <c r="J178" s="171"/>
      <c r="K178" s="172"/>
    </row>
    <row r="179" spans="1:11" ht="15.75" customHeight="1" x14ac:dyDescent="0.25">
      <c r="A179" s="1"/>
      <c r="B179" s="32"/>
      <c r="C179" s="88"/>
      <c r="D179" s="1"/>
    </row>
    <row r="181" spans="1:11" ht="20" x14ac:dyDescent="0.4">
      <c r="A181" s="627" t="s">
        <v>514</v>
      </c>
      <c r="B181" s="628"/>
      <c r="C181" s="628"/>
      <c r="D181" s="628"/>
      <c r="E181" s="628"/>
      <c r="F181" s="631"/>
    </row>
    <row r="182" spans="1:11" s="1" customFormat="1" ht="20" x14ac:dyDescent="0.4">
      <c r="A182" s="312"/>
      <c r="B182" s="313"/>
      <c r="C182" s="313"/>
      <c r="D182" s="313"/>
      <c r="E182" s="313"/>
      <c r="F182" s="374"/>
      <c r="H182" s="18"/>
      <c r="J182" s="33"/>
      <c r="K182" s="121"/>
    </row>
    <row r="183" spans="1:11" x14ac:dyDescent="0.25">
      <c r="A183" s="13"/>
      <c r="B183" s="854" t="s">
        <v>110</v>
      </c>
      <c r="C183" s="854" t="s">
        <v>21</v>
      </c>
      <c r="D183" s="13"/>
    </row>
    <row r="184" spans="1:11" ht="13" x14ac:dyDescent="0.3">
      <c r="A184" s="69" t="s">
        <v>163</v>
      </c>
      <c r="B184" s="18"/>
      <c r="C184" s="13"/>
      <c r="D184" s="13"/>
    </row>
    <row r="185" spans="1:11" x14ac:dyDescent="0.25">
      <c r="A185" s="107" t="str">
        <f>B50</f>
        <v>Char d'arboriculture</v>
      </c>
      <c r="B185" s="43">
        <f>F50+F52</f>
        <v>495.83333333333331</v>
      </c>
      <c r="C185" s="295">
        <f>B185/$F$84</f>
        <v>1.2426066337524437E-2</v>
      </c>
      <c r="D185" s="13"/>
    </row>
    <row r="186" spans="1:11" x14ac:dyDescent="0.25">
      <c r="A186" s="107" t="s">
        <v>248</v>
      </c>
      <c r="B186" s="377">
        <f>((D51*E51)+(D52*E52))*E56</f>
        <v>3834.8200757575751</v>
      </c>
      <c r="C186" s="295">
        <f t="shared" ref="C186:C193" si="6">B186/$F$84</f>
        <v>9.6104326696808309E-2</v>
      </c>
      <c r="D186" s="13"/>
    </row>
    <row r="187" spans="1:11" x14ac:dyDescent="0.25">
      <c r="A187" s="107"/>
      <c r="B187" s="377"/>
      <c r="C187" s="295"/>
      <c r="D187" s="13"/>
    </row>
    <row r="188" spans="1:11" ht="13" x14ac:dyDescent="0.3">
      <c r="A188" s="69" t="s">
        <v>164</v>
      </c>
      <c r="B188" s="41"/>
      <c r="C188" s="295"/>
      <c r="D188" s="13"/>
    </row>
    <row r="189" spans="1:11" x14ac:dyDescent="0.25">
      <c r="A189" s="750" t="str">
        <f>B72</f>
        <v>sur l'arbre</v>
      </c>
      <c r="B189" s="43">
        <f>F72</f>
        <v>9267.8977272727279</v>
      </c>
      <c r="C189" s="295">
        <f t="shared" si="6"/>
        <v>0.23226254514652012</v>
      </c>
      <c r="D189" s="13"/>
    </row>
    <row r="190" spans="1:11" x14ac:dyDescent="0.25">
      <c r="A190" s="750" t="str">
        <f>B73</f>
        <v>au sol</v>
      </c>
      <c r="B190" s="43">
        <f>F73</f>
        <v>148.75</v>
      </c>
      <c r="C190" s="295">
        <f t="shared" si="6"/>
        <v>3.7278199012573312E-3</v>
      </c>
      <c r="D190" s="13"/>
    </row>
    <row r="191" spans="1:11" ht="13" thickBot="1" x14ac:dyDescent="0.3">
      <c r="A191" s="750" t="s">
        <v>49</v>
      </c>
      <c r="B191" s="464">
        <f>F74</f>
        <v>1400</v>
      </c>
      <c r="C191" s="295">
        <f t="shared" si="6"/>
        <v>3.5085363776539591E-2</v>
      </c>
      <c r="D191" s="13"/>
    </row>
    <row r="192" spans="1:11" ht="15.5" x14ac:dyDescent="0.35">
      <c r="A192" s="303" t="s">
        <v>171</v>
      </c>
      <c r="B192" s="82">
        <f>SUM(B185:B191)</f>
        <v>15147.301136363636</v>
      </c>
      <c r="C192" s="855">
        <f t="shared" si="6"/>
        <v>0.37960612185864978</v>
      </c>
      <c r="D192" s="13"/>
    </row>
    <row r="193" spans="1:4" x14ac:dyDescent="0.25">
      <c r="A193" s="13" t="s">
        <v>161</v>
      </c>
      <c r="B193" s="43">
        <f>F84-B192</f>
        <v>24755.377624975965</v>
      </c>
      <c r="C193" s="295">
        <f t="shared" si="6"/>
        <v>0.62039387814135027</v>
      </c>
      <c r="D193" s="13"/>
    </row>
    <row r="194" spans="1:4" x14ac:dyDescent="0.25">
      <c r="A194" s="13"/>
      <c r="B194" s="18"/>
      <c r="C194" s="13"/>
      <c r="D194" s="13"/>
    </row>
    <row r="195" spans="1:4" ht="15.5" x14ac:dyDescent="0.35">
      <c r="A195" s="303" t="s">
        <v>47</v>
      </c>
      <c r="B195" s="854" t="s">
        <v>110</v>
      </c>
      <c r="C195" s="854" t="s">
        <v>50</v>
      </c>
      <c r="D195" s="13"/>
    </row>
    <row r="196" spans="1:4" x14ac:dyDescent="0.25">
      <c r="A196" s="13" t="s">
        <v>163</v>
      </c>
      <c r="B196" s="43">
        <f>B185+B186</f>
        <v>4330.6534090909081</v>
      </c>
      <c r="C196" s="295">
        <f>B196/$B$198</f>
        <v>0.28590264167221502</v>
      </c>
      <c r="D196" s="13"/>
    </row>
    <row r="197" spans="1:4" ht="13" thickBot="1" x14ac:dyDescent="0.3">
      <c r="A197" s="13" t="s">
        <v>164</v>
      </c>
      <c r="B197" s="464">
        <f>B189+B190+B191</f>
        <v>10816.647727272728</v>
      </c>
      <c r="C197" s="295">
        <f>B197/$B$198</f>
        <v>0.71409735832778498</v>
      </c>
      <c r="D197" s="13"/>
    </row>
    <row r="198" spans="1:4" ht="13" x14ac:dyDescent="0.3">
      <c r="A198" s="13" t="s">
        <v>171</v>
      </c>
      <c r="B198" s="82">
        <f>SUM(B196:B197)</f>
        <v>15147.301136363636</v>
      </c>
      <c r="C198" s="295">
        <f>B198/$B$198</f>
        <v>1</v>
      </c>
      <c r="D198" s="13"/>
    </row>
    <row r="199" spans="1:4" x14ac:dyDescent="0.25">
      <c r="B199" s="24"/>
      <c r="C199" s="193"/>
    </row>
  </sheetData>
  <mergeCells count="8">
    <mergeCell ref="J44:K44"/>
    <mergeCell ref="L44:M44"/>
    <mergeCell ref="B107:E107"/>
    <mergeCell ref="A5:G6"/>
    <mergeCell ref="G7:G8"/>
    <mergeCell ref="A57:A58"/>
    <mergeCell ref="C7:D7"/>
    <mergeCell ref="A30:A31"/>
  </mergeCells>
  <phoneticPr fontId="24" type="noConversion"/>
  <printOptions gridLines="1" gridLinesSet="0"/>
  <pageMargins left="0.18" right="0.17" top="0.59055118110236227" bottom="0.39370078740157483" header="0.51181102362204722" footer="0.51181102362204722"/>
  <pageSetup paperSize="9" scale="6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ndardCashflow">
    <tabColor indexed="10"/>
  </sheetPr>
  <dimension ref="A1:L47"/>
  <sheetViews>
    <sheetView zoomScale="75" workbookViewId="0">
      <selection activeCell="L20" sqref="L20"/>
    </sheetView>
  </sheetViews>
  <sheetFormatPr baseColWidth="10" defaultRowHeight="12.5" x14ac:dyDescent="0.25"/>
  <cols>
    <col min="1" max="1" width="33.08984375" customWidth="1"/>
    <col min="2" max="2" width="10.453125" customWidth="1"/>
    <col min="3" max="3" width="19.54296875" customWidth="1"/>
    <col min="4" max="4" width="12.453125" customWidth="1"/>
    <col min="5" max="5" width="21.81640625" customWidth="1"/>
    <col min="6" max="6" width="14.453125" customWidth="1"/>
    <col min="7" max="7" width="13" customWidth="1"/>
    <col min="11" max="11" width="14.81640625" customWidth="1"/>
    <col min="12" max="12" width="13.7265625" customWidth="1"/>
  </cols>
  <sheetData>
    <row r="1" spans="1:10" ht="25" x14ac:dyDescent="0.5">
      <c r="A1" s="1441" t="str">
        <f>'Normes pleine production'!A1</f>
        <v>Arbokost 2023</v>
      </c>
    </row>
    <row r="2" spans="1:10" ht="15.5" x14ac:dyDescent="0.25">
      <c r="A2" s="699" t="s">
        <v>442</v>
      </c>
    </row>
    <row r="3" spans="1:10" s="1" customFormat="1" ht="21" customHeight="1" x14ac:dyDescent="0.25">
      <c r="A3" s="705"/>
    </row>
    <row r="4" spans="1:10" ht="23" x14ac:dyDescent="0.5">
      <c r="A4" s="700" t="s">
        <v>441</v>
      </c>
      <c r="B4" s="701"/>
      <c r="C4" s="702"/>
      <c r="D4" s="702"/>
      <c r="E4" s="702"/>
      <c r="F4" s="703"/>
      <c r="G4" s="703"/>
      <c r="H4" s="703"/>
      <c r="I4" s="704"/>
      <c r="J4" s="704"/>
    </row>
    <row r="5" spans="1:10" s="1" customFormat="1" ht="30" x14ac:dyDescent="0.6">
      <c r="A5" s="665"/>
      <c r="B5" s="665"/>
      <c r="C5" s="665"/>
      <c r="D5" s="665"/>
      <c r="E5" s="665"/>
      <c r="F5" s="665"/>
      <c r="G5" s="665"/>
      <c r="H5" s="665"/>
      <c r="I5" s="665"/>
      <c r="J5" s="665"/>
    </row>
    <row r="6" spans="1:10" s="1" customFormat="1" ht="30" x14ac:dyDescent="0.6">
      <c r="A6" s="665"/>
      <c r="B6" s="665"/>
      <c r="C6" s="665"/>
      <c r="D6" s="665"/>
      <c r="E6" s="665"/>
      <c r="F6" s="665"/>
      <c r="G6" s="665"/>
      <c r="H6" s="665"/>
      <c r="I6" s="665"/>
      <c r="J6" s="665"/>
    </row>
    <row r="7" spans="1:10" s="1" customFormat="1" ht="30" x14ac:dyDescent="0.6">
      <c r="A7" s="665"/>
      <c r="B7" s="665"/>
      <c r="C7" s="665"/>
      <c r="D7" s="665"/>
      <c r="E7" s="665"/>
      <c r="F7" s="665"/>
      <c r="G7" s="665"/>
      <c r="H7" s="665"/>
      <c r="I7" s="665"/>
      <c r="J7" s="665"/>
    </row>
    <row r="8" spans="1:10" s="1" customFormat="1" ht="30" x14ac:dyDescent="0.6">
      <c r="A8" s="665"/>
      <c r="B8" s="665"/>
      <c r="C8" s="665"/>
      <c r="D8" s="665"/>
      <c r="E8" s="665"/>
      <c r="F8" s="665"/>
      <c r="G8" s="665"/>
      <c r="H8" s="665"/>
      <c r="I8" s="665"/>
      <c r="J8" s="665"/>
    </row>
    <row r="9" spans="1:10" s="1" customFormat="1" ht="30" x14ac:dyDescent="0.6">
      <c r="A9" s="665"/>
      <c r="B9" s="665"/>
      <c r="C9" s="665"/>
      <c r="D9" s="665"/>
      <c r="E9" s="665"/>
      <c r="F9" s="665"/>
      <c r="G9" s="665"/>
      <c r="H9" s="665"/>
      <c r="I9" s="665"/>
      <c r="J9" s="665"/>
    </row>
    <row r="10" spans="1:10" s="1" customFormat="1" ht="30" x14ac:dyDescent="0.6">
      <c r="A10" s="665"/>
      <c r="B10" s="665"/>
      <c r="C10" s="665"/>
      <c r="D10" s="665"/>
      <c r="E10" s="665"/>
      <c r="F10" s="665"/>
      <c r="G10" s="665"/>
      <c r="H10" s="665"/>
      <c r="I10" s="665"/>
      <c r="J10" s="665"/>
    </row>
    <row r="11" spans="1:10" s="1" customFormat="1" ht="30" x14ac:dyDescent="0.6">
      <c r="A11" s="665"/>
      <c r="B11" s="665"/>
      <c r="C11" s="665"/>
      <c r="D11" s="665"/>
      <c r="E11" s="665"/>
      <c r="F11" s="665"/>
      <c r="G11" s="665"/>
      <c r="H11" s="665"/>
      <c r="I11" s="665"/>
      <c r="J11" s="665"/>
    </row>
    <row r="12" spans="1:10" s="1" customFormat="1" ht="30" x14ac:dyDescent="0.6">
      <c r="A12" s="665"/>
      <c r="B12" s="665"/>
      <c r="C12" s="665"/>
      <c r="D12" s="665"/>
      <c r="E12" s="665"/>
      <c r="F12" s="665"/>
      <c r="G12" s="665"/>
      <c r="H12" s="665"/>
      <c r="I12" s="665"/>
      <c r="J12" s="665"/>
    </row>
    <row r="13" spans="1:10" s="1" customFormat="1" ht="30" x14ac:dyDescent="0.6">
      <c r="A13" s="665"/>
      <c r="B13" s="665"/>
      <c r="C13" s="665"/>
      <c r="D13" s="665"/>
      <c r="E13" s="665"/>
      <c r="F13" s="665"/>
      <c r="G13" s="665"/>
      <c r="H13" s="665"/>
      <c r="I13" s="665"/>
      <c r="J13" s="665"/>
    </row>
    <row r="14" spans="1:10" s="1" customFormat="1" ht="30" x14ac:dyDescent="0.6">
      <c r="A14" s="665"/>
      <c r="B14" s="665"/>
      <c r="C14" s="665"/>
      <c r="D14" s="665"/>
      <c r="E14" s="665"/>
      <c r="F14" s="665"/>
      <c r="G14" s="665"/>
      <c r="H14" s="665"/>
      <c r="I14" s="665"/>
      <c r="J14" s="665"/>
    </row>
    <row r="15" spans="1:10" ht="24" customHeight="1" x14ac:dyDescent="0.4">
      <c r="A15" s="378"/>
      <c r="B15" s="272"/>
      <c r="C15" s="272"/>
      <c r="D15" s="241"/>
      <c r="E15" s="379"/>
      <c r="F15" s="102"/>
    </row>
    <row r="16" spans="1:10" s="16" customFormat="1" ht="15.5" x14ac:dyDescent="0.35">
      <c r="A16" s="375"/>
      <c r="B16" s="375"/>
      <c r="G16" s="380"/>
    </row>
    <row r="17" spans="1:12" x14ac:dyDescent="0.25">
      <c r="A17" s="1"/>
      <c r="B17" s="1"/>
      <c r="C17" s="65" t="str">
        <f>'Données normes'!B47</f>
        <v>Catégorie I</v>
      </c>
      <c r="D17" s="65" t="str">
        <f>'Données normes'!C47</f>
        <v>Catégorie II</v>
      </c>
      <c r="E17" s="65" t="str">
        <f>'Données normes'!D47</f>
        <v>Cidre</v>
      </c>
    </row>
    <row r="18" spans="1:12" ht="17.5" x14ac:dyDescent="0.35">
      <c r="A18" s="3" t="s">
        <v>443</v>
      </c>
      <c r="B18" s="381">
        <f>'Données normes'!B10</f>
        <v>2000</v>
      </c>
      <c r="C18" s="45">
        <f>'Données normes'!B66</f>
        <v>1.1200000000000006</v>
      </c>
      <c r="D18" s="45">
        <f>'Données normes'!C66</f>
        <v>0.45000000000000012</v>
      </c>
      <c r="E18" s="45">
        <f>'Données normes'!D66</f>
        <v>0.23</v>
      </c>
    </row>
    <row r="19" spans="1:12" s="1" customFormat="1" ht="17.5" x14ac:dyDescent="0.35">
      <c r="A19" s="3"/>
      <c r="B19" s="381"/>
      <c r="C19" s="45"/>
      <c r="D19" s="45"/>
      <c r="E19" s="45"/>
    </row>
    <row r="20" spans="1:12" ht="62" x14ac:dyDescent="0.25">
      <c r="A20" s="888"/>
      <c r="B20" s="889"/>
      <c r="C20" s="892" t="s">
        <v>444</v>
      </c>
      <c r="D20" s="889"/>
      <c r="E20" s="889"/>
      <c r="F20" s="889"/>
      <c r="G20" s="889"/>
      <c r="H20" s="889"/>
      <c r="I20" s="889"/>
      <c r="J20" s="890"/>
    </row>
    <row r="21" spans="1:12" s="1082" customFormat="1" ht="39" x14ac:dyDescent="0.3">
      <c r="A21" s="1074"/>
      <c r="B21" s="1075"/>
      <c r="C21" s="1076" t="s">
        <v>110</v>
      </c>
      <c r="D21" s="1077" t="s">
        <v>367</v>
      </c>
      <c r="E21" s="1077" t="s">
        <v>25</v>
      </c>
      <c r="F21" s="1078" t="s">
        <v>379</v>
      </c>
      <c r="G21" s="1077" t="s">
        <v>27</v>
      </c>
      <c r="H21" s="1079" t="s">
        <v>55</v>
      </c>
      <c r="I21" s="1080" t="s">
        <v>369</v>
      </c>
      <c r="J21" s="1081" t="s">
        <v>381</v>
      </c>
    </row>
    <row r="22" spans="1:12" ht="15.5" x14ac:dyDescent="0.35">
      <c r="A22" s="867" t="s">
        <v>475</v>
      </c>
      <c r="B22" s="868">
        <v>0</v>
      </c>
      <c r="C22" s="893">
        <f>'Normes années de végétation'!F79</f>
        <v>-59539.32327272727</v>
      </c>
      <c r="D22" s="869">
        <v>0</v>
      </c>
      <c r="E22" s="870">
        <f>C22*(-1)</f>
        <v>59539.32327272727</v>
      </c>
      <c r="F22" s="871">
        <f>D22-E22</f>
        <v>-59539.32327272727</v>
      </c>
      <c r="G22" s="872">
        <f>D22/E22</f>
        <v>0</v>
      </c>
      <c r="H22" s="873"/>
      <c r="I22" s="873"/>
      <c r="J22" s="874">
        <f>('Normes années de végétation'!F79)*(-1)</f>
        <v>59539.32327272727</v>
      </c>
      <c r="K22" s="8"/>
      <c r="L22" s="8"/>
    </row>
    <row r="23" spans="1:12" ht="15.5" x14ac:dyDescent="0.35">
      <c r="A23" s="211" t="s">
        <v>445</v>
      </c>
      <c r="B23" s="11">
        <v>1</v>
      </c>
      <c r="C23" s="894">
        <f>'Normes années de végétation'!F80</f>
        <v>-70160.613121818184</v>
      </c>
      <c r="D23" s="377">
        <f>'Normes années de végétation'!F15</f>
        <v>1100</v>
      </c>
      <c r="E23" s="217">
        <f>'Normes années de végétation'!F76</f>
        <v>11721.289849090908</v>
      </c>
      <c r="F23" s="655">
        <f t="shared" ref="F23:F37" si="0">D23-E23</f>
        <v>-10621.289849090908</v>
      </c>
      <c r="G23" s="60">
        <f t="shared" ref="G23:G37" si="1">D23/E23</f>
        <v>9.384632699662443E-2</v>
      </c>
      <c r="H23" s="267">
        <f>'Normes années de végétation'!D12</f>
        <v>0</v>
      </c>
      <c r="I23" s="256">
        <f>H23/B18</f>
        <v>0</v>
      </c>
      <c r="J23" s="875">
        <f>'Normes années de végétation'!F81</f>
        <v>70160.613121818184</v>
      </c>
      <c r="K23" s="9"/>
      <c r="L23" s="7"/>
    </row>
    <row r="24" spans="1:12" ht="15.5" x14ac:dyDescent="0.35">
      <c r="A24" s="211" t="s">
        <v>394</v>
      </c>
      <c r="B24" s="11">
        <v>2</v>
      </c>
      <c r="C24" s="894">
        <f>'Normes années de végétation'!M80</f>
        <v>-78481.435386827274</v>
      </c>
      <c r="D24" s="377">
        <f>'Normes années de végétation'!M15</f>
        <v>5585</v>
      </c>
      <c r="E24" s="217">
        <f>'Normes années de végétation'!M76</f>
        <v>13905.82226500909</v>
      </c>
      <c r="F24" s="655">
        <f t="shared" si="0"/>
        <v>-8320.8222650090902</v>
      </c>
      <c r="G24" s="60">
        <f t="shared" si="1"/>
        <v>0.4016303310630836</v>
      </c>
      <c r="H24" s="267">
        <f>'Normes années de végétation'!K12</f>
        <v>5000</v>
      </c>
      <c r="I24" s="256">
        <f>H24/B18</f>
        <v>2.5</v>
      </c>
      <c r="J24" s="875">
        <f>'Normes années de végétation'!M81</f>
        <v>78481.435386827274</v>
      </c>
      <c r="K24" s="9"/>
      <c r="L24" s="7"/>
    </row>
    <row r="25" spans="1:12" s="46" customFormat="1" ht="15.5" x14ac:dyDescent="0.35">
      <c r="A25" s="252" t="s">
        <v>395</v>
      </c>
      <c r="B25" s="111">
        <v>3</v>
      </c>
      <c r="C25" s="894">
        <f>'Normes années de végétation'!T80</f>
        <v>-87471.623963084232</v>
      </c>
      <c r="D25" s="656">
        <f>'Normes années de végétation'!T15</f>
        <v>17246</v>
      </c>
      <c r="E25" s="656">
        <f>'Normes années de végétation'!T76</f>
        <v>26236.188576256955</v>
      </c>
      <c r="F25" s="655">
        <f t="shared" si="0"/>
        <v>-8990.1885762569545</v>
      </c>
      <c r="G25" s="553">
        <f t="shared" si="1"/>
        <v>0.65733633335777919</v>
      </c>
      <c r="H25" s="307">
        <f>'Normes années de végétation'!R12</f>
        <v>18000</v>
      </c>
      <c r="I25" s="306">
        <f>H25/B18</f>
        <v>9</v>
      </c>
      <c r="J25" s="876">
        <f>'Normes années de végétation'!T81</f>
        <v>87471.623963084232</v>
      </c>
      <c r="K25" s="182"/>
      <c r="L25" s="183"/>
    </row>
    <row r="26" spans="1:12" s="54" customFormat="1" ht="15.5" x14ac:dyDescent="0.35">
      <c r="A26" s="877" t="s">
        <v>396</v>
      </c>
      <c r="B26" s="748">
        <v>4</v>
      </c>
      <c r="C26" s="894">
        <f>'Normes années de végétation'!AA80</f>
        <v>-92470.413663439584</v>
      </c>
      <c r="D26" s="217">
        <f>'Normes années de végétation'!AA15</f>
        <v>23525.000000000004</v>
      </c>
      <c r="E26" s="217">
        <f>'Normes années de végétation'!AA76</f>
        <v>28523.789700355352</v>
      </c>
      <c r="F26" s="655">
        <f t="shared" si="0"/>
        <v>-4998.789700355348</v>
      </c>
      <c r="G26" s="214">
        <f t="shared" si="1"/>
        <v>0.82475015582192879</v>
      </c>
      <c r="H26" s="657">
        <f>'Normes années de végétation'!Y12</f>
        <v>25000</v>
      </c>
      <c r="I26" s="658">
        <f>H26/B18</f>
        <v>12.5</v>
      </c>
      <c r="J26" s="878">
        <f>'Normes années de végétation'!AA81</f>
        <v>80182.32196616054</v>
      </c>
      <c r="K26" s="180"/>
      <c r="L26" s="181"/>
    </row>
    <row r="27" spans="1:12" ht="15.5" x14ac:dyDescent="0.35">
      <c r="A27" s="211" t="s">
        <v>397</v>
      </c>
      <c r="B27" s="11">
        <v>5</v>
      </c>
      <c r="C27" s="894">
        <f>'Normes années de végétation'!AH80</f>
        <v>-91141.1113456639</v>
      </c>
      <c r="D27" s="377">
        <f>'Normes années de végétation'!AH15</f>
        <v>32495.000000000004</v>
      </c>
      <c r="E27" s="217">
        <f>'Normes années de végétation'!AH76</f>
        <v>31165.697682224323</v>
      </c>
      <c r="F27" s="655">
        <f t="shared" si="0"/>
        <v>1329.3023177756804</v>
      </c>
      <c r="G27" s="60">
        <f t="shared" si="1"/>
        <v>1.0426527373566183</v>
      </c>
      <c r="H27" s="267">
        <f>'Normes années de végétation'!AF12</f>
        <v>35000</v>
      </c>
      <c r="I27" s="256">
        <f>H27/B18</f>
        <v>17.5</v>
      </c>
      <c r="J27" s="875">
        <f>'Normes années de végétation'!AH81</f>
        <v>72893.019969236848</v>
      </c>
      <c r="K27" s="9"/>
      <c r="L27" s="7"/>
    </row>
    <row r="28" spans="1:12" ht="15.5" x14ac:dyDescent="0.35">
      <c r="A28" s="211" t="s">
        <v>398</v>
      </c>
      <c r="B28" s="11">
        <v>6</v>
      </c>
      <c r="C28" s="894">
        <f>'Normes années de végétation'!AO80</f>
        <v>-83388.795629485219</v>
      </c>
      <c r="D28" s="377">
        <f>'Normes années de végétation'!AO15</f>
        <v>41465</v>
      </c>
      <c r="E28" s="217">
        <f>'Normes années de végétation'!AO76</f>
        <v>33712.68428382132</v>
      </c>
      <c r="F28" s="655">
        <f t="shared" si="0"/>
        <v>7752.3157161786803</v>
      </c>
      <c r="G28" s="60">
        <f t="shared" si="1"/>
        <v>1.2299524906089725</v>
      </c>
      <c r="H28" s="267">
        <f>'Normes années de végétation'!AM12</f>
        <v>45000</v>
      </c>
      <c r="I28" s="256">
        <f>H28/B18</f>
        <v>22.5</v>
      </c>
      <c r="J28" s="875">
        <f>'Normes années de végétation'!AO81</f>
        <v>65603.717972313156</v>
      </c>
      <c r="K28" s="9"/>
      <c r="L28" s="7"/>
    </row>
    <row r="29" spans="1:12" ht="15.5" x14ac:dyDescent="0.35">
      <c r="A29" s="211" t="s">
        <v>399</v>
      </c>
      <c r="B29" s="11">
        <v>7</v>
      </c>
      <c r="C29" s="894">
        <f>'Normes années de végétation'!AV80</f>
        <v>-75520.195177563859</v>
      </c>
      <c r="D29" s="377">
        <f>'Normes années de végétation'!AV15</f>
        <v>41465</v>
      </c>
      <c r="E29" s="217">
        <f>'Normes années de végétation'!AV76</f>
        <v>33596.39954807864</v>
      </c>
      <c r="F29" s="655">
        <f t="shared" si="0"/>
        <v>7868.6004519213602</v>
      </c>
      <c r="G29" s="60">
        <f t="shared" si="1"/>
        <v>1.2342096342990825</v>
      </c>
      <c r="H29" s="267">
        <f>'Normes années de végétation'!AT12</f>
        <v>45000</v>
      </c>
      <c r="I29" s="256">
        <f>H29/B18</f>
        <v>22.5</v>
      </c>
      <c r="J29" s="875">
        <f>'Normes années de végétation'!AV81</f>
        <v>58314.415975389471</v>
      </c>
      <c r="K29" s="9"/>
      <c r="L29" s="7"/>
    </row>
    <row r="30" spans="1:12" ht="15.5" x14ac:dyDescent="0.35">
      <c r="A30" s="879" t="s">
        <v>400</v>
      </c>
      <c r="B30" s="106">
        <v>8</v>
      </c>
      <c r="C30" s="894">
        <f>'Normes années de végétation'!BC80</f>
        <v>-67533.565718863683</v>
      </c>
      <c r="D30" s="377">
        <f>'Normes années de végétation'!BC15</f>
        <v>41465</v>
      </c>
      <c r="E30" s="217">
        <f>'Normes années de végétation'!BC76</f>
        <v>33478.370541299824</v>
      </c>
      <c r="F30" s="655">
        <f t="shared" si="0"/>
        <v>7986.6294587001757</v>
      </c>
      <c r="G30" s="60">
        <f t="shared" si="1"/>
        <v>1.2385608776522636</v>
      </c>
      <c r="H30" s="267">
        <f>'Normes années de végétation'!BA12</f>
        <v>45000</v>
      </c>
      <c r="I30" s="256">
        <f>H30/B18</f>
        <v>22.5</v>
      </c>
      <c r="J30" s="875">
        <f>'Normes années de végétation'!BC81</f>
        <v>51025.113978465786</v>
      </c>
      <c r="K30" s="9"/>
      <c r="L30" s="7"/>
    </row>
    <row r="31" spans="1:12" ht="15.5" x14ac:dyDescent="0.35">
      <c r="A31" s="211" t="s">
        <v>401</v>
      </c>
      <c r="B31" s="11">
        <v>9</v>
      </c>
      <c r="C31" s="894">
        <f>'Normes années de végétation'!BJ80</f>
        <v>-59427.136818283005</v>
      </c>
      <c r="D31" s="377">
        <f>'Normes années de végétation'!BJ15</f>
        <v>41465</v>
      </c>
      <c r="E31" s="217">
        <f>'Normes années de végétation'!BJ76</f>
        <v>33358.571099419321</v>
      </c>
      <c r="F31" s="655">
        <f t="shared" si="0"/>
        <v>8106.4289005806786</v>
      </c>
      <c r="G31" s="60">
        <f t="shared" si="1"/>
        <v>1.2430088769815979</v>
      </c>
      <c r="H31" s="267">
        <f>'Normes années de végétation'!BH12</f>
        <v>45000</v>
      </c>
      <c r="I31" s="256">
        <f>H31/B18</f>
        <v>22.5</v>
      </c>
      <c r="J31" s="875">
        <f>'Normes années de végétation'!BJ81</f>
        <v>43735.811981542101</v>
      </c>
      <c r="K31" s="9"/>
      <c r="L31" s="7"/>
    </row>
    <row r="32" spans="1:12" ht="15.5" x14ac:dyDescent="0.35">
      <c r="A32" s="879" t="s">
        <v>402</v>
      </c>
      <c r="B32" s="11">
        <v>10</v>
      </c>
      <c r="C32" s="894">
        <f>'Normes années de végétation'!BQ80</f>
        <v>-52706.611484193621</v>
      </c>
      <c r="D32" s="377">
        <f>'Normes années de végétation'!BQ15</f>
        <v>39957.5</v>
      </c>
      <c r="E32" s="217">
        <f>'Normes années de végétation'!BQ76</f>
        <v>33236.974665910609</v>
      </c>
      <c r="F32" s="655">
        <f t="shared" si="0"/>
        <v>6720.5253340893905</v>
      </c>
      <c r="G32" s="60">
        <f t="shared" si="1"/>
        <v>1.2022002724869625</v>
      </c>
      <c r="H32" s="267">
        <f>'Normes années de végétation'!BO12</f>
        <v>45000</v>
      </c>
      <c r="I32" s="256">
        <f>H32/B18</f>
        <v>22.5</v>
      </c>
      <c r="J32" s="875">
        <f>'Normes années de végétation'!BQ81</f>
        <v>36446.509984618417</v>
      </c>
      <c r="K32" s="9"/>
      <c r="L32" s="7"/>
    </row>
    <row r="33" spans="1:12" ht="15.5" x14ac:dyDescent="0.35">
      <c r="A33" s="879" t="s">
        <v>403</v>
      </c>
      <c r="B33" s="11">
        <v>11</v>
      </c>
      <c r="C33" s="894">
        <f>'Normes années de végétation'!BX80</f>
        <v>-45885.27827009288</v>
      </c>
      <c r="D33" s="659">
        <f>'Normes années de végétation'!BX15</f>
        <v>39957.5</v>
      </c>
      <c r="E33" s="660">
        <f>'Normes années de végétation'!BX76</f>
        <v>33136.166785899266</v>
      </c>
      <c r="F33" s="655">
        <f t="shared" si="0"/>
        <v>6821.333214100734</v>
      </c>
      <c r="G33" s="60">
        <f t="shared" si="1"/>
        <v>1.2058576436488568</v>
      </c>
      <c r="H33" s="267">
        <f>'Normes années de végétation'!BV12</f>
        <v>45000</v>
      </c>
      <c r="I33" s="256">
        <f>H33/B18</f>
        <v>22.5</v>
      </c>
      <c r="J33" s="875">
        <f>'Normes années de végétation'!BX81</f>
        <v>29157.207987694732</v>
      </c>
      <c r="K33" s="9"/>
      <c r="L33" s="7"/>
    </row>
    <row r="34" spans="1:12" ht="15.5" x14ac:dyDescent="0.35">
      <c r="A34" s="211" t="s">
        <v>404</v>
      </c>
      <c r="B34" s="11">
        <v>12</v>
      </c>
      <c r="C34" s="894">
        <f>'Normes années de végétation'!CE80</f>
        <v>-38961.625057780635</v>
      </c>
      <c r="D34" s="659">
        <f>'Normes années de végétation'!CE15</f>
        <v>39957.5</v>
      </c>
      <c r="E34" s="660">
        <f>'Normes années de végétation'!CE76</f>
        <v>33033.846787687755</v>
      </c>
      <c r="F34" s="655">
        <f t="shared" si="0"/>
        <v>6923.6532123122452</v>
      </c>
      <c r="G34" s="60">
        <f t="shared" si="1"/>
        <v>1.2095927022006048</v>
      </c>
      <c r="H34" s="267">
        <f>'Normes années de végétation'!CC12</f>
        <v>45000</v>
      </c>
      <c r="I34" s="256">
        <f>H34/B18</f>
        <v>22.5</v>
      </c>
      <c r="J34" s="875">
        <f>'Normes années de végétation'!CE81</f>
        <v>21867.905990771047</v>
      </c>
      <c r="K34" s="9"/>
      <c r="L34" s="7"/>
    </row>
    <row r="35" spans="1:12" ht="15.5" x14ac:dyDescent="0.35">
      <c r="A35" s="211" t="s">
        <v>405</v>
      </c>
      <c r="B35" s="748">
        <v>13</v>
      </c>
      <c r="C35" s="894">
        <f>'Normes années de végétation'!CL80</f>
        <v>-33441.617047283711</v>
      </c>
      <c r="D35" s="659">
        <f>'Normes années de végétation'!CL15</f>
        <v>38450</v>
      </c>
      <c r="E35" s="660">
        <f>'Normes années de végétation'!CL76</f>
        <v>32929.991989503076</v>
      </c>
      <c r="F35" s="655">
        <f t="shared" si="0"/>
        <v>5520.0080104969238</v>
      </c>
      <c r="G35" s="60">
        <f t="shared" si="1"/>
        <v>1.1676285864951472</v>
      </c>
      <c r="H35" s="267">
        <f>'Normes années de végétation'!CJ12</f>
        <v>45000</v>
      </c>
      <c r="I35" s="256">
        <f>H35/B18</f>
        <v>22.5</v>
      </c>
      <c r="J35" s="875">
        <f>'Normes années de végétation'!CL81</f>
        <v>14578.603993847362</v>
      </c>
      <c r="K35" s="9"/>
      <c r="L35" s="7"/>
    </row>
    <row r="36" spans="1:12" ht="15.5" x14ac:dyDescent="0.35">
      <c r="A36" s="211" t="s">
        <v>406</v>
      </c>
      <c r="B36" s="11">
        <v>14</v>
      </c>
      <c r="C36" s="894">
        <f>'Normes années de végétation'!CS80</f>
        <v>-27838.808916629321</v>
      </c>
      <c r="D36" s="659">
        <f>'Normes années de végétation'!CS15</f>
        <v>38450</v>
      </c>
      <c r="E36" s="660">
        <f>'Normes années de végétation'!CS76</f>
        <v>32847.191869345617</v>
      </c>
      <c r="F36" s="655">
        <f t="shared" si="0"/>
        <v>5602.8081306543827</v>
      </c>
      <c r="G36" s="60">
        <f t="shared" si="1"/>
        <v>1.1705719062055699</v>
      </c>
      <c r="H36" s="267">
        <f>'Normes années de végétation'!CQ12</f>
        <v>45000</v>
      </c>
      <c r="I36" s="256">
        <f>H36/B18</f>
        <v>22.5</v>
      </c>
      <c r="J36" s="875">
        <f>'Normes années de végétation'!CS81</f>
        <v>7289.3019969236766</v>
      </c>
      <c r="K36" s="9"/>
      <c r="L36" s="7"/>
    </row>
    <row r="37" spans="1:12" ht="15.5" x14ac:dyDescent="0.35">
      <c r="A37" s="880" t="s">
        <v>407</v>
      </c>
      <c r="B37" s="30">
        <v>15</v>
      </c>
      <c r="C37" s="895">
        <f>'Normes années de végétation'!CZ80</f>
        <v>-28651.958664015125</v>
      </c>
      <c r="D37" s="881">
        <f>'Normes années de végétation'!CZ15</f>
        <v>38450</v>
      </c>
      <c r="E37" s="882">
        <f>'Normes années de végétation'!CZ76</f>
        <v>39263.149747385803</v>
      </c>
      <c r="F37" s="883">
        <f t="shared" si="0"/>
        <v>-813.14974738580349</v>
      </c>
      <c r="G37" s="884">
        <f t="shared" si="1"/>
        <v>0.97928974744467756</v>
      </c>
      <c r="H37" s="885">
        <f>'Normes années de végétation'!CX12</f>
        <v>45000</v>
      </c>
      <c r="I37" s="886">
        <f>H37/$B$18</f>
        <v>22.5</v>
      </c>
      <c r="J37" s="887">
        <f>'Normes années de végétation'!CZ81</f>
        <v>-9.0949470177292824E-12</v>
      </c>
      <c r="K37" s="9"/>
      <c r="L37" s="7"/>
    </row>
    <row r="38" spans="1:12" x14ac:dyDescent="0.25">
      <c r="A38" s="13"/>
      <c r="B38" s="11"/>
      <c r="C38" s="148"/>
      <c r="D38" s="377"/>
      <c r="E38" s="217"/>
      <c r="F38" s="866"/>
      <c r="G38" s="60"/>
      <c r="H38" s="267"/>
      <c r="I38" s="256"/>
      <c r="J38" s="864"/>
      <c r="K38" s="9"/>
      <c r="L38" s="7"/>
    </row>
    <row r="39" spans="1:12" ht="13" x14ac:dyDescent="0.3">
      <c r="A39" s="13"/>
      <c r="B39" s="13"/>
      <c r="C39" s="13"/>
      <c r="D39" s="17"/>
      <c r="E39" s="29"/>
      <c r="F39" s="13"/>
      <c r="G39" s="13"/>
      <c r="H39" s="13"/>
      <c r="I39" s="13"/>
      <c r="J39" s="13"/>
    </row>
    <row r="40" spans="1:12" ht="24.75" customHeight="1" x14ac:dyDescent="0.4">
      <c r="A40" s="1522" t="s">
        <v>449</v>
      </c>
      <c r="B40" s="1522"/>
      <c r="C40" s="587">
        <f>C37</f>
        <v>-28651.958664015125</v>
      </c>
      <c r="D40" s="13"/>
      <c r="E40" s="13"/>
      <c r="F40" s="13"/>
      <c r="G40" s="13"/>
      <c r="H40" s="13"/>
      <c r="I40" s="13"/>
      <c r="J40" s="13"/>
    </row>
    <row r="41" spans="1:12" ht="7.5" customHeight="1" x14ac:dyDescent="0.35">
      <c r="A41" s="716"/>
      <c r="B41" s="717"/>
      <c r="C41" s="715"/>
    </row>
    <row r="42" spans="1:12" ht="15.5" x14ac:dyDescent="0.35">
      <c r="A42" s="603" t="s">
        <v>495</v>
      </c>
      <c r="B42" s="519"/>
      <c r="C42" s="662">
        <f>'Normes pleine production'!F103</f>
        <v>23.191809414771281</v>
      </c>
    </row>
    <row r="43" spans="1:12" ht="15.5" x14ac:dyDescent="0.35">
      <c r="A43" s="600" t="s">
        <v>446</v>
      </c>
      <c r="B43" s="525"/>
      <c r="C43" s="663">
        <f>'Normes pleine production'!D75</f>
        <v>663.12878787878788</v>
      </c>
    </row>
    <row r="44" spans="1:12" ht="15.5" x14ac:dyDescent="0.35">
      <c r="A44" s="600" t="s">
        <v>447</v>
      </c>
      <c r="B44" s="524"/>
      <c r="C44" s="664">
        <f>2700/C43</f>
        <v>4.071607279540288</v>
      </c>
      <c r="D44" t="s">
        <v>448</v>
      </c>
    </row>
    <row r="45" spans="1:12" ht="9.75" customHeight="1" x14ac:dyDescent="0.25"/>
    <row r="47" spans="1:12" x14ac:dyDescent="0.25">
      <c r="C47" s="70"/>
      <c r="D47" s="70"/>
      <c r="E47" s="71"/>
    </row>
  </sheetData>
  <mergeCells count="1">
    <mergeCell ref="A40:B40"/>
  </mergeCells>
  <phoneticPr fontId="24" type="noConversion"/>
  <printOptions gridLines="1" gridLinesSet="0"/>
  <pageMargins left="0.78740157480314965" right="0.78740157480314965" top="0.59055118110236227" bottom="0.59055118110236227" header="0.51181102362204722" footer="0.51181102362204722"/>
  <pageSetup paperSize="9" scale="60" orientation="landscape" r:id="rId1"/>
  <headerFooter alignWithMargins="0">
    <oddFooter>&amp;L&amp;6&amp;F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3:L22"/>
  <sheetViews>
    <sheetView workbookViewId="0">
      <selection activeCell="H23" sqref="H23"/>
    </sheetView>
  </sheetViews>
  <sheetFormatPr baseColWidth="10" defaultRowHeight="12.5" x14ac:dyDescent="0.25"/>
  <sheetData>
    <row r="3" spans="1:12" ht="14" x14ac:dyDescent="0.3">
      <c r="A3" s="46" t="s">
        <v>69</v>
      </c>
      <c r="B3" s="54" t="s">
        <v>70</v>
      </c>
      <c r="C3" s="54"/>
      <c r="D3" s="54"/>
      <c r="E3" s="54"/>
      <c r="F3" s="54"/>
      <c r="G3" s="54"/>
      <c r="H3" s="54"/>
      <c r="I3" s="54"/>
      <c r="J3" s="54"/>
      <c r="K3" s="54"/>
      <c r="L3" s="223"/>
    </row>
    <row r="4" spans="1:12" ht="14" x14ac:dyDescent="0.3">
      <c r="A4" s="54"/>
      <c r="B4" s="54" t="s">
        <v>81</v>
      </c>
      <c r="C4" s="54"/>
      <c r="D4" s="54"/>
      <c r="E4" s="54"/>
      <c r="F4" s="54"/>
      <c r="G4" s="54"/>
      <c r="H4" s="54"/>
      <c r="I4" s="54"/>
      <c r="J4" s="54"/>
      <c r="K4" s="54"/>
      <c r="L4" s="223"/>
    </row>
    <row r="5" spans="1:12" ht="14" x14ac:dyDescent="0.3">
      <c r="A5" s="54"/>
      <c r="B5" s="54" t="s">
        <v>71</v>
      </c>
      <c r="C5" s="54"/>
      <c r="D5" s="54"/>
      <c r="E5" s="54"/>
      <c r="F5" s="54"/>
      <c r="G5" s="54"/>
      <c r="H5" s="54"/>
      <c r="I5" s="54"/>
      <c r="J5" s="54"/>
      <c r="K5" s="54"/>
      <c r="L5" s="223"/>
    </row>
    <row r="6" spans="1:12" ht="14" x14ac:dyDescent="0.3">
      <c r="A6" s="54"/>
      <c r="B6" s="54" t="s">
        <v>73</v>
      </c>
      <c r="C6" s="54"/>
      <c r="D6" s="54"/>
      <c r="E6" s="54"/>
      <c r="F6" s="54"/>
      <c r="G6" s="54"/>
      <c r="H6" s="54"/>
      <c r="I6" s="54"/>
      <c r="J6" s="54"/>
      <c r="K6" s="54"/>
      <c r="L6" s="223"/>
    </row>
    <row r="7" spans="1:12" ht="14" x14ac:dyDescent="0.3">
      <c r="A7" s="54"/>
      <c r="B7" s="54"/>
      <c r="C7" s="54" t="s">
        <v>72</v>
      </c>
      <c r="D7" s="54"/>
      <c r="E7" s="54"/>
      <c r="F7" s="54"/>
      <c r="G7" s="54"/>
      <c r="H7" s="54"/>
      <c r="I7" s="54"/>
      <c r="J7" s="54"/>
      <c r="K7" s="54"/>
      <c r="L7" s="223"/>
    </row>
    <row r="8" spans="1:12" ht="14" x14ac:dyDescent="0.3">
      <c r="A8" s="54"/>
      <c r="B8" s="54" t="s">
        <v>76</v>
      </c>
      <c r="D8" s="54"/>
      <c r="E8" s="54"/>
      <c r="F8" s="54"/>
      <c r="G8" s="54"/>
      <c r="H8" s="54"/>
      <c r="I8" s="54"/>
      <c r="J8" s="54"/>
      <c r="K8" s="54"/>
      <c r="L8" s="223"/>
    </row>
    <row r="9" spans="1:12" ht="14" x14ac:dyDescent="0.3">
      <c r="A9" s="54"/>
      <c r="B9" s="54" t="s">
        <v>78</v>
      </c>
      <c r="D9" s="54"/>
      <c r="E9" s="54"/>
      <c r="F9" s="54"/>
      <c r="G9" s="54"/>
      <c r="H9" s="54"/>
      <c r="I9" s="54"/>
      <c r="J9" s="54"/>
      <c r="K9" s="54"/>
      <c r="L9" s="223"/>
    </row>
    <row r="10" spans="1:12" ht="14" x14ac:dyDescent="0.3">
      <c r="A10" s="54"/>
      <c r="B10" s="54"/>
      <c r="C10" s="54"/>
      <c r="D10" s="54"/>
      <c r="E10" s="54"/>
      <c r="F10" s="54"/>
      <c r="G10" s="54"/>
      <c r="H10" s="54"/>
      <c r="I10" s="54"/>
      <c r="J10" s="54"/>
      <c r="K10" s="54"/>
      <c r="L10" s="223"/>
    </row>
    <row r="11" spans="1:12" ht="14" x14ac:dyDescent="0.3">
      <c r="B11" t="s">
        <v>77</v>
      </c>
      <c r="D11" s="54"/>
      <c r="E11" s="54"/>
      <c r="F11" s="54"/>
      <c r="G11" s="54"/>
      <c r="H11" s="54"/>
      <c r="I11" s="54"/>
      <c r="J11" s="54"/>
      <c r="K11" s="54"/>
      <c r="L11" s="223"/>
    </row>
    <row r="12" spans="1:12" x14ac:dyDescent="0.25">
      <c r="B12" t="s">
        <v>80</v>
      </c>
      <c r="D12" s="54"/>
      <c r="E12" s="54"/>
      <c r="F12" s="54"/>
      <c r="G12" s="54"/>
      <c r="H12" s="54"/>
      <c r="I12" s="54"/>
      <c r="J12" s="54"/>
      <c r="K12" s="54"/>
    </row>
    <row r="13" spans="1:12" x14ac:dyDescent="0.25">
      <c r="B13" s="54" t="s">
        <v>79</v>
      </c>
      <c r="D13" s="54"/>
      <c r="E13" s="54"/>
      <c r="F13" s="54"/>
      <c r="G13" s="54"/>
      <c r="H13" s="54"/>
      <c r="I13" s="54"/>
      <c r="J13" s="54"/>
      <c r="K13" s="54"/>
    </row>
    <row r="14" spans="1:12" x14ac:dyDescent="0.25">
      <c r="D14" s="54"/>
      <c r="E14" s="54"/>
      <c r="F14" s="54"/>
      <c r="G14" s="54"/>
      <c r="H14" s="54"/>
      <c r="I14" s="54"/>
      <c r="J14" s="54"/>
      <c r="K14" s="54"/>
    </row>
    <row r="15" spans="1:12" x14ac:dyDescent="0.25">
      <c r="A15" s="54"/>
      <c r="B15" s="54"/>
      <c r="C15" s="54"/>
      <c r="D15" s="54"/>
      <c r="E15" s="54"/>
      <c r="F15" s="54"/>
      <c r="G15" s="54"/>
      <c r="H15" s="54"/>
      <c r="I15" s="54"/>
      <c r="J15" s="54"/>
      <c r="K15" s="54"/>
    </row>
    <row r="16" spans="1:12" x14ac:dyDescent="0.25">
      <c r="A16" s="54" t="s">
        <v>74</v>
      </c>
      <c r="B16" s="54"/>
      <c r="C16" s="54" t="s">
        <v>75</v>
      </c>
      <c r="D16" s="54"/>
      <c r="E16" s="54"/>
      <c r="F16" s="54"/>
      <c r="G16" s="54"/>
      <c r="H16" s="54"/>
      <c r="I16" s="54"/>
      <c r="J16" s="54"/>
      <c r="K16" s="54"/>
    </row>
    <row r="17" spans="1:11" x14ac:dyDescent="0.25">
      <c r="A17" s="54"/>
      <c r="B17" s="54"/>
      <c r="C17" s="54"/>
      <c r="D17" s="54"/>
      <c r="E17" s="54"/>
      <c r="F17" s="54"/>
      <c r="G17" s="54"/>
      <c r="H17" s="54"/>
      <c r="I17" s="54"/>
      <c r="J17" s="54"/>
      <c r="K17" s="54"/>
    </row>
    <row r="18" spans="1:11" x14ac:dyDescent="0.25">
      <c r="C18" s="54" t="s">
        <v>84</v>
      </c>
      <c r="D18" s="54"/>
      <c r="E18" s="54" t="s">
        <v>82</v>
      </c>
      <c r="F18" s="54"/>
      <c r="G18" s="54"/>
      <c r="H18" s="54"/>
      <c r="I18" s="54"/>
      <c r="J18" s="54"/>
      <c r="K18" s="54"/>
    </row>
    <row r="19" spans="1:11" x14ac:dyDescent="0.25">
      <c r="C19" s="54" t="s">
        <v>63</v>
      </c>
      <c r="D19" s="54"/>
      <c r="E19" s="54" t="s">
        <v>83</v>
      </c>
      <c r="F19" s="54"/>
      <c r="G19" s="54"/>
      <c r="H19" s="54"/>
      <c r="I19" s="54"/>
      <c r="J19" s="54"/>
      <c r="K19" s="54"/>
    </row>
    <row r="20" spans="1:11" x14ac:dyDescent="0.25">
      <c r="A20" s="54"/>
      <c r="B20" s="54"/>
      <c r="C20" s="54"/>
      <c r="D20" s="54"/>
      <c r="E20" s="54"/>
      <c r="F20" s="54"/>
      <c r="G20" s="54"/>
      <c r="H20" s="54"/>
      <c r="I20" s="54"/>
      <c r="J20" s="54"/>
      <c r="K20" s="54"/>
    </row>
    <row r="21" spans="1:11" x14ac:dyDescent="0.25">
      <c r="A21" s="54"/>
      <c r="B21" s="54"/>
      <c r="C21" s="54"/>
      <c r="D21" s="54"/>
      <c r="E21" s="54"/>
      <c r="F21" s="54"/>
      <c r="G21" s="54"/>
      <c r="H21" s="54"/>
      <c r="I21" s="54"/>
      <c r="J21" s="54"/>
      <c r="K21" s="54"/>
    </row>
    <row r="22" spans="1:11" x14ac:dyDescent="0.25">
      <c r="A22" s="54"/>
      <c r="B22" s="54"/>
      <c r="C22" s="54"/>
      <c r="D22" s="54"/>
      <c r="E22" s="54"/>
      <c r="F22" s="54"/>
      <c r="G22" s="54"/>
      <c r="H22" s="54"/>
      <c r="I22" s="54"/>
      <c r="J22" s="54"/>
      <c r="K22" s="54"/>
    </row>
  </sheetData>
  <phoneticPr fontId="24" type="noConversion"/>
  <pageMargins left="0.78740157499999996" right="0.78740157499999996" top="0.984251969" bottom="0.984251969" header="0.4921259845" footer="0.4921259845"/>
  <pageSetup paperSize="9" orientation="portrait" horizontalDpi="4294967292"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ndardVorgaben1">
    <tabColor indexed="50"/>
  </sheetPr>
  <dimension ref="A1:I243"/>
  <sheetViews>
    <sheetView topLeftCell="A19" zoomScale="70" zoomScaleNormal="70" workbookViewId="0">
      <selection activeCell="G41" sqref="G41:G43"/>
    </sheetView>
  </sheetViews>
  <sheetFormatPr baseColWidth="10" defaultRowHeight="12.5" x14ac:dyDescent="0.25"/>
  <cols>
    <col min="1" max="1" width="35.7265625" customWidth="1"/>
    <col min="2" max="2" width="32.81640625" customWidth="1"/>
    <col min="3" max="3" width="17" style="90" customWidth="1"/>
    <col min="4" max="4" width="17" style="10" customWidth="1"/>
    <col min="5" max="5" width="19.26953125" style="10" customWidth="1"/>
    <col min="6" max="6" width="15.453125" style="10" customWidth="1"/>
    <col min="7" max="7" width="19.81640625" customWidth="1"/>
    <col min="8" max="8" width="12.81640625" customWidth="1"/>
  </cols>
  <sheetData>
    <row r="1" spans="1:8" ht="44.25" customHeight="1" x14ac:dyDescent="0.5">
      <c r="A1" s="1443" t="str">
        <f>'Page variable'!A1</f>
        <v>Arbokost 2023</v>
      </c>
      <c r="B1" s="971"/>
      <c r="C1" s="766"/>
      <c r="D1" s="767"/>
      <c r="E1" s="768"/>
      <c r="F1" s="769"/>
      <c r="G1" s="770"/>
      <c r="H1" s="765"/>
    </row>
    <row r="2" spans="1:8" ht="27" customHeight="1" x14ac:dyDescent="0.5">
      <c r="A2" s="973" t="s">
        <v>91</v>
      </c>
      <c r="B2" s="804"/>
      <c r="C2" s="766"/>
      <c r="D2" s="767"/>
      <c r="E2" s="768"/>
      <c r="F2" s="769"/>
      <c r="G2" s="770"/>
      <c r="H2" s="765"/>
    </row>
    <row r="3" spans="1:8" s="1" customFormat="1" ht="48" customHeight="1" x14ac:dyDescent="0.25">
      <c r="A3" s="805" t="s">
        <v>450</v>
      </c>
      <c r="B3" s="1483" t="str">
        <f>'Données normes'!B3:H3</f>
        <v>Culture actuelle de pommes de table sur des porte-greffes faibles. Les valeurs sont basées sur des exploitations agricoles mixtes avec 2-5 ha de vergers, à un endroit approprié sur l'un des domaines de production principal en Suisse.</v>
      </c>
      <c r="C3" s="1483"/>
      <c r="D3" s="1483"/>
      <c r="E3" s="1483"/>
      <c r="F3" s="1483"/>
      <c r="G3" s="1483"/>
      <c r="H3" s="1483"/>
    </row>
    <row r="4" spans="1:8" s="1" customFormat="1" ht="38.25" customHeight="1" x14ac:dyDescent="0.25">
      <c r="A4" s="1484" t="s">
        <v>467</v>
      </c>
      <c r="B4" s="1484"/>
      <c r="C4" s="1484"/>
      <c r="D4" s="1484"/>
      <c r="E4" s="1484"/>
      <c r="F4" s="1484"/>
      <c r="G4" s="1484"/>
      <c r="H4" s="1484"/>
    </row>
    <row r="5" spans="1:8" s="1" customFormat="1" ht="13.5" customHeight="1" x14ac:dyDescent="0.25">
      <c r="A5" s="144"/>
      <c r="C5" s="92"/>
      <c r="D5" s="33"/>
      <c r="E5" s="33"/>
      <c r="F5" s="33"/>
      <c r="H5" s="33"/>
    </row>
    <row r="6" spans="1:8" ht="25" x14ac:dyDescent="0.5">
      <c r="A6" s="1480" t="s">
        <v>174</v>
      </c>
      <c r="B6" s="1480"/>
      <c r="C6" s="1480"/>
      <c r="D6" s="1480"/>
      <c r="E6" s="1480"/>
      <c r="F6" s="1480"/>
      <c r="G6" s="1480"/>
      <c r="H6" s="1480"/>
    </row>
    <row r="7" spans="1:8" s="1" customFormat="1" ht="15.5" x14ac:dyDescent="0.35">
      <c r="A7" s="2" t="s">
        <v>175</v>
      </c>
      <c r="B7" s="528" t="s">
        <v>491</v>
      </c>
      <c r="C7" s="718"/>
      <c r="D7" s="18"/>
      <c r="E7" s="18"/>
      <c r="F7" s="18"/>
      <c r="G7" s="18"/>
    </row>
    <row r="8" spans="1:8" s="1" customFormat="1" ht="15.5" x14ac:dyDescent="0.35">
      <c r="A8" s="2" t="s">
        <v>176</v>
      </c>
      <c r="B8" s="528" t="s">
        <v>726</v>
      </c>
      <c r="C8" s="529" t="s">
        <v>177</v>
      </c>
      <c r="D8" s="18"/>
      <c r="E8" s="18"/>
      <c r="F8" s="18"/>
      <c r="G8" s="18"/>
    </row>
    <row r="9" spans="1:8" s="1" customFormat="1" ht="15.5" x14ac:dyDescent="0.35">
      <c r="A9" s="2" t="s">
        <v>178</v>
      </c>
      <c r="B9" s="528" t="s">
        <v>179</v>
      </c>
      <c r="C9" s="533"/>
      <c r="D9" s="18"/>
      <c r="E9" s="18"/>
      <c r="F9" s="18"/>
      <c r="G9" s="18"/>
    </row>
    <row r="10" spans="1:8" s="1" customFormat="1" ht="19.5" customHeight="1" x14ac:dyDescent="0.35">
      <c r="A10" s="2" t="s">
        <v>180</v>
      </c>
      <c r="B10" s="242">
        <f>B24</f>
        <v>2000</v>
      </c>
      <c r="C10" s="18"/>
      <c r="D10" s="127"/>
      <c r="E10" s="40"/>
    </row>
    <row r="11" spans="1:8" s="1" customFormat="1" ht="20.25" customHeight="1" x14ac:dyDescent="0.35">
      <c r="A11" s="2" t="s">
        <v>181</v>
      </c>
      <c r="B11" s="528" t="s">
        <v>476</v>
      </c>
      <c r="C11" s="529"/>
      <c r="D11" s="529"/>
      <c r="E11" s="529"/>
      <c r="F11" s="529"/>
    </row>
    <row r="12" spans="1:8" s="1" customFormat="1" ht="20.25" customHeight="1" x14ac:dyDescent="0.35">
      <c r="A12" s="2" t="s">
        <v>182</v>
      </c>
      <c r="B12" s="1485" t="s">
        <v>716</v>
      </c>
      <c r="C12" s="1485"/>
      <c r="D12" s="1485"/>
      <c r="E12" s="1485"/>
      <c r="F12" s="1485"/>
      <c r="G12" s="682"/>
    </row>
    <row r="13" spans="1:8" ht="15.5" x14ac:dyDescent="0.35">
      <c r="A13" s="2" t="s">
        <v>183</v>
      </c>
      <c r="B13" s="530" t="s">
        <v>184</v>
      </c>
      <c r="C13" s="531"/>
      <c r="D13" s="532"/>
      <c r="E13" s="533"/>
      <c r="F13" s="534"/>
      <c r="G13" s="18"/>
    </row>
    <row r="14" spans="1:8" ht="15.5" x14ac:dyDescent="0.35">
      <c r="A14" s="2" t="s">
        <v>185</v>
      </c>
      <c r="B14" s="1487" t="s">
        <v>186</v>
      </c>
      <c r="C14" s="1487"/>
      <c r="D14" s="1487"/>
      <c r="E14" s="535"/>
      <c r="F14" s="536"/>
      <c r="G14" s="1"/>
    </row>
    <row r="15" spans="1:8" ht="13" x14ac:dyDescent="0.3">
      <c r="B15" s="1"/>
      <c r="C15" s="18"/>
      <c r="D15" s="38"/>
      <c r="E15" s="18"/>
      <c r="F15" s="130"/>
      <c r="G15" s="18"/>
    </row>
    <row r="16" spans="1:8" s="1" customFormat="1" ht="18.5" thickBot="1" x14ac:dyDescent="0.45">
      <c r="A16" s="680" t="s">
        <v>451</v>
      </c>
      <c r="B16" s="681"/>
      <c r="C16" s="681"/>
      <c r="D16" s="681"/>
      <c r="E16" s="694"/>
      <c r="F16" s="694"/>
      <c r="G16" s="694"/>
      <c r="H16" s="694"/>
    </row>
    <row r="17" spans="1:6" s="1" customFormat="1" x14ac:dyDescent="0.25">
      <c r="A17" s="161"/>
      <c r="B17" s="153" t="s">
        <v>515</v>
      </c>
      <c r="C17" s="160" t="s">
        <v>452</v>
      </c>
      <c r="D17" s="135" t="s">
        <v>188</v>
      </c>
      <c r="E17" s="33"/>
      <c r="F17" s="33"/>
    </row>
    <row r="18" spans="1:6" s="1" customFormat="1" ht="13" x14ac:dyDescent="0.3">
      <c r="A18" s="162" t="s">
        <v>189</v>
      </c>
      <c r="B18" s="537">
        <v>125</v>
      </c>
      <c r="C18" s="539">
        <v>110</v>
      </c>
      <c r="D18" s="541">
        <f>1-(C20/B20)</f>
        <v>0.20799999999999996</v>
      </c>
      <c r="E18" s="33"/>
      <c r="F18" s="33"/>
    </row>
    <row r="19" spans="1:6" s="1" customFormat="1" x14ac:dyDescent="0.25">
      <c r="A19" s="162" t="s">
        <v>190</v>
      </c>
      <c r="B19" s="538">
        <v>80</v>
      </c>
      <c r="C19" s="540">
        <v>72</v>
      </c>
      <c r="D19" s="666"/>
      <c r="E19" s="33"/>
      <c r="F19" s="33"/>
    </row>
    <row r="20" spans="1:6" s="1" customFormat="1" ht="13.5" thickBot="1" x14ac:dyDescent="0.35">
      <c r="A20" s="163" t="s">
        <v>191</v>
      </c>
      <c r="B20" s="543">
        <f>B18*B19</f>
        <v>10000</v>
      </c>
      <c r="C20" s="544">
        <f>C18*C19</f>
        <v>7920</v>
      </c>
      <c r="D20" s="542">
        <f>B20-C20</f>
        <v>2080</v>
      </c>
      <c r="E20" s="33"/>
      <c r="F20" s="33"/>
    </row>
    <row r="21" spans="1:6" s="1" customFormat="1" ht="13" x14ac:dyDescent="0.3">
      <c r="A21" s="164" t="s">
        <v>192</v>
      </c>
      <c r="B21" s="85"/>
      <c r="C21" s="547">
        <v>3.5</v>
      </c>
      <c r="D21" s="154"/>
      <c r="E21" s="33"/>
      <c r="F21" s="33"/>
    </row>
    <row r="22" spans="1:6" s="1" customFormat="1" ht="13" x14ac:dyDescent="0.3">
      <c r="A22" s="164" t="s">
        <v>193</v>
      </c>
      <c r="B22" s="85"/>
      <c r="C22" s="547">
        <v>1.1000000000000001</v>
      </c>
      <c r="D22" s="154"/>
      <c r="E22" s="33"/>
      <c r="F22" s="33"/>
    </row>
    <row r="23" spans="1:6" s="1" customFormat="1" ht="13" x14ac:dyDescent="0.3">
      <c r="A23" s="164" t="s">
        <v>194</v>
      </c>
      <c r="B23" s="85"/>
      <c r="C23" s="545">
        <f>ROUND((C19/C21),0)</f>
        <v>21</v>
      </c>
      <c r="D23" s="134"/>
      <c r="E23" s="33"/>
      <c r="F23" s="33"/>
    </row>
    <row r="24" spans="1:6" s="1" customFormat="1" ht="16" thickBot="1" x14ac:dyDescent="0.4">
      <c r="A24" s="165" t="s">
        <v>195</v>
      </c>
      <c r="B24" s="1083">
        <f>'Page variable'!D31</f>
        <v>2000</v>
      </c>
      <c r="C24" s="546">
        <f>ROUND(((C18/C22)+1),0)*ROUND(C23,0)</f>
        <v>2121</v>
      </c>
      <c r="D24" s="667"/>
      <c r="E24" s="33"/>
      <c r="F24" s="33"/>
    </row>
    <row r="25" spans="1:6" s="1" customFormat="1" x14ac:dyDescent="0.25">
      <c r="A25" s="18"/>
      <c r="B25" s="18"/>
      <c r="C25" s="18"/>
      <c r="D25" s="33"/>
      <c r="E25" s="33"/>
      <c r="F25" s="33"/>
    </row>
    <row r="26" spans="1:6" s="1" customFormat="1" x14ac:dyDescent="0.25">
      <c r="A26" s="18" t="s">
        <v>196</v>
      </c>
      <c r="B26" s="1041">
        <v>15</v>
      </c>
      <c r="C26" s="18"/>
      <c r="D26" s="33"/>
      <c r="E26" s="33"/>
      <c r="F26" s="33"/>
    </row>
    <row r="27" spans="1:6" s="1" customFormat="1" x14ac:dyDescent="0.25">
      <c r="A27" s="18" t="s">
        <v>197</v>
      </c>
      <c r="B27" s="1041">
        <v>3</v>
      </c>
      <c r="C27" s="18"/>
      <c r="D27" s="33"/>
      <c r="E27" s="33"/>
      <c r="F27" s="33"/>
    </row>
    <row r="28" spans="1:6" s="1" customFormat="1" ht="13" thickBot="1" x14ac:dyDescent="0.3">
      <c r="A28" s="18" t="s">
        <v>198</v>
      </c>
      <c r="B28" s="1042">
        <f>B26-B27</f>
        <v>12</v>
      </c>
      <c r="C28" s="18"/>
      <c r="D28" s="33"/>
      <c r="E28" s="33"/>
      <c r="F28" s="33"/>
    </row>
    <row r="29" spans="1:6" s="1" customFormat="1" ht="15.5" x14ac:dyDescent="0.35">
      <c r="A29" s="152" t="s">
        <v>199</v>
      </c>
      <c r="B29" s="1084">
        <f>B28</f>
        <v>12</v>
      </c>
      <c r="C29" s="18"/>
      <c r="D29" s="33"/>
      <c r="E29" s="33"/>
      <c r="F29" s="33"/>
    </row>
    <row r="30" spans="1:6" s="1" customFormat="1" x14ac:dyDescent="0.25">
      <c r="B30" s="18"/>
      <c r="C30" s="18"/>
      <c r="D30" s="41"/>
      <c r="E30" s="41"/>
      <c r="F30" s="41"/>
    </row>
    <row r="31" spans="1:6" s="1" customFormat="1" ht="13" x14ac:dyDescent="0.3">
      <c r="A31" s="38" t="s">
        <v>200</v>
      </c>
      <c r="B31" s="144" t="s">
        <v>201</v>
      </c>
      <c r="C31" s="780">
        <f>'Page variable'!D32</f>
        <v>8.5</v>
      </c>
      <c r="D31" s="84" t="s">
        <v>492</v>
      </c>
      <c r="E31" s="18"/>
      <c r="F31" s="18"/>
    </row>
    <row r="32" spans="1:6" s="1" customFormat="1" ht="13" x14ac:dyDescent="0.3">
      <c r="A32" s="38" t="s">
        <v>202</v>
      </c>
      <c r="B32" s="144" t="s">
        <v>203</v>
      </c>
      <c r="C32" s="248">
        <f>'Page variable'!D26</f>
        <v>35</v>
      </c>
      <c r="D32" s="13"/>
      <c r="E32" s="13"/>
      <c r="F32" s="18"/>
    </row>
    <row r="33" spans="1:8" s="1" customFormat="1" ht="13" x14ac:dyDescent="0.3">
      <c r="A33" s="38"/>
      <c r="B33" s="144" t="s">
        <v>204</v>
      </c>
      <c r="C33" s="248">
        <f>'Page variable'!D27</f>
        <v>24</v>
      </c>
      <c r="D33" s="13"/>
      <c r="E33" s="13"/>
      <c r="F33" s="18"/>
    </row>
    <row r="34" spans="1:8" s="1" customFormat="1" ht="27.75" customHeight="1" thickBot="1" x14ac:dyDescent="0.35">
      <c r="A34" s="18"/>
      <c r="B34" s="144" t="s">
        <v>205</v>
      </c>
      <c r="C34" s="458">
        <f>'Page variable'!D28</f>
        <v>21</v>
      </c>
      <c r="D34" s="1490" t="s">
        <v>494</v>
      </c>
      <c r="E34" s="1491"/>
      <c r="F34" s="553">
        <f>'Page variable'!D29</f>
        <v>0.5</v>
      </c>
      <c r="G34" s="146"/>
    </row>
    <row r="35" spans="1:8" s="1" customFormat="1" ht="14" x14ac:dyDescent="0.3">
      <c r="A35" s="18"/>
      <c r="B35" s="144" t="s">
        <v>206</v>
      </c>
      <c r="C35" s="774">
        <f>(F34*C34)+(((1-F34)/2)*C33)+ (((1-F34)/2)*C32)</f>
        <v>25.25</v>
      </c>
      <c r="D35" s="11"/>
      <c r="E35" s="41"/>
      <c r="F35" s="41"/>
    </row>
    <row r="36" spans="1:8" s="1" customFormat="1" ht="14" x14ac:dyDescent="0.3">
      <c r="A36" s="18"/>
      <c r="B36" s="144" t="s">
        <v>207</v>
      </c>
      <c r="C36" s="774">
        <f>AVERAGE(C32:C33)</f>
        <v>29.5</v>
      </c>
      <c r="D36" s="11"/>
      <c r="E36" s="41"/>
      <c r="F36" s="41"/>
    </row>
    <row r="37" spans="1:8" s="1" customFormat="1" ht="14" x14ac:dyDescent="0.3">
      <c r="A37" s="18"/>
      <c r="B37" s="144" t="s">
        <v>639</v>
      </c>
      <c r="C37" s="774">
        <f>AVERAGE(C32,C34)</f>
        <v>28</v>
      </c>
      <c r="D37" s="11"/>
      <c r="E37" s="41"/>
      <c r="F37" s="41"/>
      <c r="G37" s="18"/>
      <c r="H37" s="18"/>
    </row>
    <row r="38" spans="1:8" s="1" customFormat="1" ht="13" x14ac:dyDescent="0.3">
      <c r="A38" s="84" t="s">
        <v>493</v>
      </c>
      <c r="B38" s="18"/>
      <c r="C38" s="778">
        <v>6500</v>
      </c>
      <c r="E38" s="1489" t="s">
        <v>411</v>
      </c>
      <c r="F38" s="246" t="s">
        <v>211</v>
      </c>
      <c r="G38" s="1033">
        <v>300</v>
      </c>
      <c r="H38" s="18"/>
    </row>
    <row r="39" spans="1:8" s="1" customFormat="1" ht="13" x14ac:dyDescent="0.3">
      <c r="A39" s="38" t="s">
        <v>208</v>
      </c>
      <c r="B39" s="18"/>
      <c r="C39" s="775">
        <v>1100</v>
      </c>
      <c r="D39" s="18"/>
      <c r="E39" s="1489"/>
      <c r="F39" s="18" t="s">
        <v>212</v>
      </c>
      <c r="G39" s="777">
        <v>0.9</v>
      </c>
      <c r="H39" s="18"/>
    </row>
    <row r="40" spans="1:8" s="1" customFormat="1" ht="13" x14ac:dyDescent="0.3">
      <c r="A40" s="38" t="s">
        <v>109</v>
      </c>
      <c r="B40" s="18"/>
      <c r="C40" s="781">
        <f>'Page variable'!D36</f>
        <v>2.5000000000000001E-2</v>
      </c>
      <c r="D40" s="18"/>
      <c r="E40" s="18"/>
      <c r="F40" s="18"/>
      <c r="G40" s="18">
        <v>7</v>
      </c>
      <c r="H40" s="18"/>
    </row>
    <row r="41" spans="1:8" ht="13" x14ac:dyDescent="0.3">
      <c r="A41" s="144" t="s">
        <v>209</v>
      </c>
      <c r="B41" s="18"/>
      <c r="C41" s="564">
        <v>0.6</v>
      </c>
      <c r="D41" s="41"/>
      <c r="E41" s="229" t="s">
        <v>213</v>
      </c>
      <c r="F41" s="246" t="str">
        <f>F38</f>
        <v>Catégorie I+II</v>
      </c>
      <c r="G41" s="777">
        <v>0</v>
      </c>
      <c r="H41" s="18"/>
    </row>
    <row r="42" spans="1:8" ht="13" x14ac:dyDescent="0.3">
      <c r="A42" s="38" t="s">
        <v>210</v>
      </c>
      <c r="B42" s="18"/>
      <c r="C42" s="779">
        <v>660</v>
      </c>
      <c r="D42" s="41"/>
      <c r="E42" s="229" t="s">
        <v>214</v>
      </c>
      <c r="F42" s="247" t="str">
        <f>F38</f>
        <v>Catégorie I+II</v>
      </c>
      <c r="G42" s="777">
        <v>0</v>
      </c>
      <c r="H42" s="18"/>
    </row>
    <row r="43" spans="1:8" ht="13" x14ac:dyDescent="0.3">
      <c r="A43" s="69"/>
      <c r="B43" s="18"/>
      <c r="C43" s="782"/>
      <c r="D43" s="41"/>
      <c r="E43" s="41"/>
      <c r="F43" s="149" t="s">
        <v>215</v>
      </c>
      <c r="G43" s="777">
        <v>0</v>
      </c>
      <c r="H43" s="18"/>
    </row>
    <row r="44" spans="1:8" ht="13" x14ac:dyDescent="0.3">
      <c r="A44" s="46"/>
      <c r="B44" s="1"/>
      <c r="C44" s="243"/>
      <c r="D44" s="33"/>
      <c r="E44" s="41"/>
      <c r="F44" s="149"/>
      <c r="G44" s="249"/>
      <c r="H44" s="1"/>
    </row>
    <row r="45" spans="1:8" ht="13" x14ac:dyDescent="0.3">
      <c r="A45" s="46"/>
      <c r="B45" s="1"/>
      <c r="C45" s="243"/>
      <c r="D45" s="33"/>
      <c r="E45" s="41"/>
      <c r="F45" s="149"/>
      <c r="G45" s="249"/>
      <c r="H45" s="1"/>
    </row>
    <row r="46" spans="1:8" s="1" customFormat="1" ht="25" x14ac:dyDescent="0.5">
      <c r="A46" s="1480" t="s">
        <v>707</v>
      </c>
      <c r="B46" s="1480"/>
      <c r="C46" s="1480"/>
      <c r="D46" s="1480"/>
      <c r="E46" s="1480"/>
      <c r="F46" s="1480"/>
      <c r="G46" s="1480"/>
      <c r="H46" s="1480"/>
    </row>
    <row r="47" spans="1:8" s="1" customFormat="1" ht="13" x14ac:dyDescent="0.3">
      <c r="A47" s="77" t="s">
        <v>216</v>
      </c>
      <c r="B47" s="178" t="s">
        <v>217</v>
      </c>
      <c r="C47" s="83" t="s">
        <v>93</v>
      </c>
      <c r="D47" s="36" t="s">
        <v>212</v>
      </c>
      <c r="E47" s="77" t="s">
        <v>54</v>
      </c>
      <c r="F47" s="77" t="s">
        <v>218</v>
      </c>
      <c r="G47" s="1043" t="s">
        <v>216</v>
      </c>
      <c r="H47" s="783"/>
    </row>
    <row r="48" spans="1:8" s="1" customFormat="1" ht="13" x14ac:dyDescent="0.3">
      <c r="A48" s="142">
        <v>1</v>
      </c>
      <c r="B48" s="45">
        <f>'Page variable'!D7</f>
        <v>1.1200000000000001</v>
      </c>
      <c r="C48" s="42">
        <f>'Page variable'!D8</f>
        <v>0.45</v>
      </c>
      <c r="D48" s="42">
        <f>'Page variable'!D9</f>
        <v>0.23</v>
      </c>
      <c r="E48" s="121">
        <f>'Données normes'!E48*(1+'Page variable'!$C$22)</f>
        <v>0</v>
      </c>
      <c r="F48" s="34">
        <f>E48/'Variante données'!$B$24</f>
        <v>0</v>
      </c>
      <c r="G48" s="272">
        <v>1</v>
      </c>
    </row>
    <row r="49" spans="1:7" s="1" customFormat="1" ht="13" x14ac:dyDescent="0.3">
      <c r="A49" s="142">
        <v>2</v>
      </c>
      <c r="B49" s="45">
        <f t="shared" ref="B49:B62" si="0">B48</f>
        <v>1.1200000000000001</v>
      </c>
      <c r="C49" s="45">
        <f t="shared" ref="C49:C62" si="1">C48</f>
        <v>0.45</v>
      </c>
      <c r="D49" s="45">
        <f t="shared" ref="D49:D62" si="2">$D$48</f>
        <v>0.23</v>
      </c>
      <c r="E49" s="121">
        <f>'Données normes'!E49*(1+'Page variable'!$C$22)</f>
        <v>5000</v>
      </c>
      <c r="F49" s="34">
        <f>E49/'Variante données'!$B$24</f>
        <v>2.5</v>
      </c>
      <c r="G49" s="272">
        <v>2</v>
      </c>
    </row>
    <row r="50" spans="1:7" s="1" customFormat="1" ht="13" x14ac:dyDescent="0.3">
      <c r="A50" s="142">
        <v>3</v>
      </c>
      <c r="B50" s="45">
        <f t="shared" si="0"/>
        <v>1.1200000000000001</v>
      </c>
      <c r="C50" s="45">
        <f t="shared" si="1"/>
        <v>0.45</v>
      </c>
      <c r="D50" s="45">
        <f t="shared" si="2"/>
        <v>0.23</v>
      </c>
      <c r="E50" s="121">
        <f>'Données normes'!E50*(1+'Page variable'!$C$22)</f>
        <v>18000</v>
      </c>
      <c r="F50" s="34">
        <f>E50/'Variante données'!$B$24</f>
        <v>9</v>
      </c>
      <c r="G50" s="272">
        <v>3</v>
      </c>
    </row>
    <row r="51" spans="1:7" s="1" customFormat="1" ht="13" x14ac:dyDescent="0.3">
      <c r="A51" s="142">
        <v>4</v>
      </c>
      <c r="B51" s="45">
        <f t="shared" si="0"/>
        <v>1.1200000000000001</v>
      </c>
      <c r="C51" s="45">
        <f t="shared" si="1"/>
        <v>0.45</v>
      </c>
      <c r="D51" s="45">
        <f t="shared" si="2"/>
        <v>0.23</v>
      </c>
      <c r="E51" s="121">
        <f>'Données normes'!E51*(1+'Page variable'!$C$22)</f>
        <v>25000</v>
      </c>
      <c r="F51" s="34">
        <f>E51/'Variante données'!$B$24</f>
        <v>12.5</v>
      </c>
      <c r="G51" s="272">
        <v>4</v>
      </c>
    </row>
    <row r="52" spans="1:7" s="1" customFormat="1" ht="13" x14ac:dyDescent="0.3">
      <c r="A52" s="142">
        <v>5</v>
      </c>
      <c r="B52" s="45">
        <f t="shared" si="0"/>
        <v>1.1200000000000001</v>
      </c>
      <c r="C52" s="45">
        <f t="shared" si="1"/>
        <v>0.45</v>
      </c>
      <c r="D52" s="45">
        <f t="shared" si="2"/>
        <v>0.23</v>
      </c>
      <c r="E52" s="121">
        <f>'Données normes'!E52*(1+'Page variable'!$C$22)</f>
        <v>35000</v>
      </c>
      <c r="F52" s="34">
        <f>E52/'Variante données'!$B$24</f>
        <v>17.5</v>
      </c>
      <c r="G52" s="272">
        <v>5</v>
      </c>
    </row>
    <row r="53" spans="1:7" s="1" customFormat="1" ht="13" x14ac:dyDescent="0.3">
      <c r="A53" s="142">
        <v>6</v>
      </c>
      <c r="B53" s="45">
        <f t="shared" si="0"/>
        <v>1.1200000000000001</v>
      </c>
      <c r="C53" s="45">
        <f t="shared" si="1"/>
        <v>0.45</v>
      </c>
      <c r="D53" s="45">
        <f t="shared" si="2"/>
        <v>0.23</v>
      </c>
      <c r="E53" s="121">
        <f>'Données normes'!E53*(1+'Page variable'!$C$22)</f>
        <v>45000</v>
      </c>
      <c r="F53" s="34">
        <f>E53/'Variante données'!$B$24</f>
        <v>22.5</v>
      </c>
      <c r="G53" s="272">
        <v>6</v>
      </c>
    </row>
    <row r="54" spans="1:7" s="1" customFormat="1" ht="13" x14ac:dyDescent="0.3">
      <c r="A54" s="142">
        <v>7</v>
      </c>
      <c r="B54" s="45">
        <f t="shared" si="0"/>
        <v>1.1200000000000001</v>
      </c>
      <c r="C54" s="45">
        <f t="shared" si="1"/>
        <v>0.45</v>
      </c>
      <c r="D54" s="45">
        <f t="shared" si="2"/>
        <v>0.23</v>
      </c>
      <c r="E54" s="121">
        <f>'Données normes'!E54*(1+'Page variable'!$C$22)</f>
        <v>45000</v>
      </c>
      <c r="F54" s="34">
        <f>E54/'Variante données'!$B$24</f>
        <v>22.5</v>
      </c>
      <c r="G54" s="272">
        <v>7</v>
      </c>
    </row>
    <row r="55" spans="1:7" s="1" customFormat="1" ht="13" x14ac:dyDescent="0.3">
      <c r="A55" s="142">
        <v>8</v>
      </c>
      <c r="B55" s="45">
        <f t="shared" si="0"/>
        <v>1.1200000000000001</v>
      </c>
      <c r="C55" s="45">
        <f t="shared" si="1"/>
        <v>0.45</v>
      </c>
      <c r="D55" s="45">
        <f t="shared" si="2"/>
        <v>0.23</v>
      </c>
      <c r="E55" s="121">
        <f>'Données normes'!E55*(1+'Page variable'!$C$22)</f>
        <v>45000</v>
      </c>
      <c r="F55" s="34">
        <f>E55/'Variante données'!$B$24</f>
        <v>22.5</v>
      </c>
      <c r="G55" s="272">
        <v>8</v>
      </c>
    </row>
    <row r="56" spans="1:7" s="1" customFormat="1" ht="13" x14ac:dyDescent="0.3">
      <c r="A56" s="142">
        <v>9</v>
      </c>
      <c r="B56" s="45">
        <f t="shared" si="0"/>
        <v>1.1200000000000001</v>
      </c>
      <c r="C56" s="45">
        <f t="shared" si="1"/>
        <v>0.45</v>
      </c>
      <c r="D56" s="45">
        <f t="shared" si="2"/>
        <v>0.23</v>
      </c>
      <c r="E56" s="121">
        <f>'Données normes'!E56*(1+'Page variable'!$C$22)</f>
        <v>45000</v>
      </c>
      <c r="F56" s="34">
        <f>E56/'Variante données'!$B$24</f>
        <v>22.5</v>
      </c>
      <c r="G56" s="272">
        <v>9</v>
      </c>
    </row>
    <row r="57" spans="1:7" s="1" customFormat="1" ht="13" x14ac:dyDescent="0.3">
      <c r="A57" s="142">
        <v>10</v>
      </c>
      <c r="B57" s="45">
        <f t="shared" si="0"/>
        <v>1.1200000000000001</v>
      </c>
      <c r="C57" s="45">
        <f t="shared" si="1"/>
        <v>0.45</v>
      </c>
      <c r="D57" s="45">
        <f t="shared" si="2"/>
        <v>0.23</v>
      </c>
      <c r="E57" s="121">
        <f>'Données normes'!E57*(1+'Page variable'!$C$22)</f>
        <v>45000</v>
      </c>
      <c r="F57" s="34">
        <f>E57/'Variante données'!$B$24</f>
        <v>22.5</v>
      </c>
      <c r="G57" s="272">
        <v>10</v>
      </c>
    </row>
    <row r="58" spans="1:7" s="1" customFormat="1" ht="13" x14ac:dyDescent="0.3">
      <c r="A58" s="142">
        <v>11</v>
      </c>
      <c r="B58" s="45">
        <f t="shared" si="0"/>
        <v>1.1200000000000001</v>
      </c>
      <c r="C58" s="45">
        <f t="shared" si="1"/>
        <v>0.45</v>
      </c>
      <c r="D58" s="45">
        <f t="shared" si="2"/>
        <v>0.23</v>
      </c>
      <c r="E58" s="121">
        <f>'Données normes'!E58*(1+'Page variable'!$C$22)</f>
        <v>45000</v>
      </c>
      <c r="F58" s="34">
        <f>E58/'Variante données'!$B$24</f>
        <v>22.5</v>
      </c>
      <c r="G58" s="272">
        <v>11</v>
      </c>
    </row>
    <row r="59" spans="1:7" s="1" customFormat="1" ht="13" x14ac:dyDescent="0.3">
      <c r="A59" s="142">
        <v>12</v>
      </c>
      <c r="B59" s="45">
        <f t="shared" si="0"/>
        <v>1.1200000000000001</v>
      </c>
      <c r="C59" s="45">
        <f t="shared" si="1"/>
        <v>0.45</v>
      </c>
      <c r="D59" s="45">
        <f t="shared" si="2"/>
        <v>0.23</v>
      </c>
      <c r="E59" s="121">
        <f>'Données normes'!E59*(1+'Page variable'!$C$22)</f>
        <v>45000</v>
      </c>
      <c r="F59" s="34">
        <f>E59/'Variante données'!$B$24</f>
        <v>22.5</v>
      </c>
      <c r="G59" s="272">
        <v>12</v>
      </c>
    </row>
    <row r="60" spans="1:7" s="1" customFormat="1" ht="13" x14ac:dyDescent="0.3">
      <c r="A60" s="142">
        <v>13</v>
      </c>
      <c r="B60" s="45">
        <f t="shared" si="0"/>
        <v>1.1200000000000001</v>
      </c>
      <c r="C60" s="45">
        <f t="shared" si="1"/>
        <v>0.45</v>
      </c>
      <c r="D60" s="45">
        <f t="shared" si="2"/>
        <v>0.23</v>
      </c>
      <c r="E60" s="121">
        <f>'Données normes'!E60*(1+'Page variable'!$C$22)</f>
        <v>45000</v>
      </c>
      <c r="F60" s="34">
        <f>E60/'Variante données'!$B$24</f>
        <v>22.5</v>
      </c>
      <c r="G60" s="272">
        <v>13</v>
      </c>
    </row>
    <row r="61" spans="1:7" s="1" customFormat="1" ht="13" x14ac:dyDescent="0.3">
      <c r="A61" s="142">
        <v>14</v>
      </c>
      <c r="B61" s="45">
        <f t="shared" si="0"/>
        <v>1.1200000000000001</v>
      </c>
      <c r="C61" s="45">
        <f t="shared" si="1"/>
        <v>0.45</v>
      </c>
      <c r="D61" s="45">
        <f t="shared" si="2"/>
        <v>0.23</v>
      </c>
      <c r="E61" s="121">
        <f>'Données normes'!E61*(1+'Page variable'!$C$22)</f>
        <v>45000</v>
      </c>
      <c r="F61" s="34">
        <f>E61/'Variante données'!$B$24</f>
        <v>22.5</v>
      </c>
      <c r="G61" s="272">
        <v>14</v>
      </c>
    </row>
    <row r="62" spans="1:7" s="1" customFormat="1" ht="13" x14ac:dyDescent="0.3">
      <c r="A62" s="142">
        <v>15</v>
      </c>
      <c r="B62" s="45">
        <f t="shared" si="0"/>
        <v>1.1200000000000001</v>
      </c>
      <c r="C62" s="45">
        <f t="shared" si="1"/>
        <v>0.45</v>
      </c>
      <c r="D62" s="45">
        <f t="shared" si="2"/>
        <v>0.23</v>
      </c>
      <c r="E62" s="121">
        <f>'Données normes'!E62*(1+'Page variable'!$C$22)</f>
        <v>45000</v>
      </c>
      <c r="F62" s="34">
        <f>E62/'Variante données'!$B$24</f>
        <v>22.5</v>
      </c>
      <c r="G62" s="272">
        <v>15</v>
      </c>
    </row>
    <row r="63" spans="1:7" s="1" customFormat="1" ht="13" x14ac:dyDescent="0.3">
      <c r="A63" s="47" t="s">
        <v>219</v>
      </c>
      <c r="E63" s="61">
        <f>SUM(E48:E50)</f>
        <v>23000</v>
      </c>
      <c r="F63" s="76">
        <f>SUM(F48:F50)</f>
        <v>11.5</v>
      </c>
    </row>
    <row r="64" spans="1:7" s="1" customFormat="1" ht="25.5" x14ac:dyDescent="0.3">
      <c r="A64" s="1044" t="s">
        <v>220</v>
      </c>
      <c r="E64" s="61">
        <f>SUM(E48:E62)</f>
        <v>533000</v>
      </c>
      <c r="F64" s="76">
        <f>SUM(F48:F62)</f>
        <v>266.5</v>
      </c>
    </row>
    <row r="65" spans="1:8" s="1" customFormat="1" ht="13" x14ac:dyDescent="0.3">
      <c r="A65" s="47" t="s">
        <v>221</v>
      </c>
      <c r="B65" s="552">
        <f>AVERAGE(B51:B62)</f>
        <v>1.1200000000000003</v>
      </c>
      <c r="C65" s="552">
        <f>AVERAGE(C51:C62)</f>
        <v>0.45000000000000012</v>
      </c>
      <c r="D65" s="552">
        <f>AVERAGE(D51:D62)</f>
        <v>0.23</v>
      </c>
      <c r="E65" s="61">
        <f>'Page variable'!D22</f>
        <v>42500</v>
      </c>
      <c r="F65" s="76">
        <f>AVERAGE(F51:F62)</f>
        <v>21.25</v>
      </c>
    </row>
    <row r="66" spans="1:8" s="1" customFormat="1" ht="13" x14ac:dyDescent="0.3">
      <c r="A66" s="253" t="s">
        <v>222</v>
      </c>
      <c r="B66" s="552">
        <f>AVERAGE(B48:B62)</f>
        <v>1.1200000000000006</v>
      </c>
      <c r="C66" s="552">
        <f>AVERAGE(C48:C62)</f>
        <v>0.45000000000000012</v>
      </c>
      <c r="D66" s="552">
        <f>AVERAGE(D48:D62)</f>
        <v>0.23</v>
      </c>
      <c r="E66" s="61">
        <f>AVERAGE(E48:E62)</f>
        <v>35533.333333333336</v>
      </c>
      <c r="F66" s="76">
        <f>AVERAGE(F48:F62)</f>
        <v>17.766666666666666</v>
      </c>
      <c r="G66" s="553">
        <v>0</v>
      </c>
    </row>
    <row r="67" spans="1:8" s="1" customFormat="1" ht="13" x14ac:dyDescent="0.3">
      <c r="B67" s="75"/>
      <c r="C67" s="75"/>
      <c r="D67" s="75"/>
      <c r="E67" s="61"/>
      <c r="F67" s="76"/>
    </row>
    <row r="68" spans="1:8" s="1" customFormat="1" ht="32.4" customHeight="1" x14ac:dyDescent="0.5">
      <c r="A68" s="1480" t="s">
        <v>516</v>
      </c>
      <c r="B68" s="1480"/>
      <c r="C68" s="1480"/>
      <c r="D68" s="1480"/>
      <c r="E68" s="1480"/>
      <c r="F68" s="1480"/>
      <c r="G68" s="1480"/>
      <c r="H68" s="1480"/>
    </row>
    <row r="69" spans="1:8" s="1" customFormat="1" ht="12.75" customHeight="1" x14ac:dyDescent="0.3">
      <c r="A69" s="787"/>
      <c r="B69" s="788"/>
      <c r="C69" s="785"/>
      <c r="D69" s="1488" t="s">
        <v>212</v>
      </c>
      <c r="E69" s="1488"/>
      <c r="F69" s="789"/>
      <c r="G69" s="1493" t="s">
        <v>223</v>
      </c>
      <c r="H69" s="1493"/>
    </row>
    <row r="70" spans="1:8" s="1" customFormat="1" ht="13" x14ac:dyDescent="0.3">
      <c r="A70" s="784" t="s">
        <v>216</v>
      </c>
      <c r="B70" s="785" t="s">
        <v>224</v>
      </c>
      <c r="C70" s="785" t="s">
        <v>225</v>
      </c>
      <c r="D70" s="91" t="s">
        <v>226</v>
      </c>
      <c r="E70" s="91" t="s">
        <v>227</v>
      </c>
      <c r="F70" s="786"/>
      <c r="G70" s="83" t="s">
        <v>228</v>
      </c>
      <c r="H70" s="83" t="s">
        <v>229</v>
      </c>
    </row>
    <row r="71" spans="1:8" s="1" customFormat="1" ht="13" x14ac:dyDescent="0.3">
      <c r="A71" s="251">
        <v>1</v>
      </c>
      <c r="B71" s="133">
        <f>'Page variable'!D10</f>
        <v>0.7</v>
      </c>
      <c r="C71" s="133">
        <f>'Page variable'!D11</f>
        <v>0.2</v>
      </c>
      <c r="D71" s="133">
        <f>'Page variable'!D12</f>
        <v>0.05</v>
      </c>
      <c r="E71" s="133">
        <f>'Page variable'!D13</f>
        <v>0.05</v>
      </c>
      <c r="F71" s="133">
        <v>0.1</v>
      </c>
      <c r="G71" s="250">
        <f>'Page variable'!D24</f>
        <v>110</v>
      </c>
      <c r="H71" s="250">
        <f>'Page variable'!D25</f>
        <v>300</v>
      </c>
    </row>
    <row r="72" spans="1:8" s="1" customFormat="1" ht="13" x14ac:dyDescent="0.3">
      <c r="A72" s="251">
        <v>2</v>
      </c>
      <c r="B72" s="133">
        <f>B71</f>
        <v>0.7</v>
      </c>
      <c r="C72" s="133">
        <f>C71</f>
        <v>0.2</v>
      </c>
      <c r="D72" s="133">
        <f>D71</f>
        <v>0.05</v>
      </c>
      <c r="E72" s="133">
        <f>E71</f>
        <v>0.05</v>
      </c>
      <c r="F72" s="129">
        <f t="shared" ref="F72:F85" si="3">$F$71</f>
        <v>0.1</v>
      </c>
      <c r="G72" s="250">
        <f>G71</f>
        <v>110</v>
      </c>
      <c r="H72" s="250">
        <f>H71</f>
        <v>300</v>
      </c>
    </row>
    <row r="73" spans="1:8" s="1" customFormat="1" ht="13" x14ac:dyDescent="0.3">
      <c r="A73" s="251">
        <v>3</v>
      </c>
      <c r="B73" s="133">
        <f>B71</f>
        <v>0.7</v>
      </c>
      <c r="C73" s="133">
        <f>C71</f>
        <v>0.2</v>
      </c>
      <c r="D73" s="133">
        <f>D71</f>
        <v>0.05</v>
      </c>
      <c r="E73" s="133">
        <f>E71</f>
        <v>0.05</v>
      </c>
      <c r="F73" s="129">
        <f t="shared" si="3"/>
        <v>0.1</v>
      </c>
      <c r="G73" s="250">
        <f>G71</f>
        <v>110</v>
      </c>
      <c r="H73" s="250">
        <f>H71</f>
        <v>300</v>
      </c>
    </row>
    <row r="74" spans="1:8" s="1" customFormat="1" ht="13" x14ac:dyDescent="0.3">
      <c r="A74" s="251">
        <v>4</v>
      </c>
      <c r="B74" s="133">
        <f>B71</f>
        <v>0.7</v>
      </c>
      <c r="C74" s="133">
        <f>C71</f>
        <v>0.2</v>
      </c>
      <c r="D74" s="133">
        <f>D71</f>
        <v>0.05</v>
      </c>
      <c r="E74" s="133">
        <f>E71</f>
        <v>0.05</v>
      </c>
      <c r="F74" s="129">
        <f t="shared" si="3"/>
        <v>0.1</v>
      </c>
      <c r="G74" s="250">
        <f>G71</f>
        <v>110</v>
      </c>
      <c r="H74" s="250">
        <f>H71</f>
        <v>300</v>
      </c>
    </row>
    <row r="75" spans="1:8" s="1" customFormat="1" ht="13" x14ac:dyDescent="0.3">
      <c r="A75" s="252">
        <v>5</v>
      </c>
      <c r="B75" s="133">
        <f>B71</f>
        <v>0.7</v>
      </c>
      <c r="C75" s="133">
        <f>C71</f>
        <v>0.2</v>
      </c>
      <c r="D75" s="133">
        <f>D71</f>
        <v>0.05</v>
      </c>
      <c r="E75" s="133">
        <f>E71</f>
        <v>0.05</v>
      </c>
      <c r="F75" s="129">
        <f t="shared" si="3"/>
        <v>0.1</v>
      </c>
      <c r="G75" s="250">
        <f>G71</f>
        <v>110</v>
      </c>
      <c r="H75" s="250">
        <f>H71</f>
        <v>300</v>
      </c>
    </row>
    <row r="76" spans="1:8" s="1" customFormat="1" ht="13" x14ac:dyDescent="0.3">
      <c r="A76" s="252">
        <v>6</v>
      </c>
      <c r="B76" s="133">
        <f>B71</f>
        <v>0.7</v>
      </c>
      <c r="C76" s="133">
        <f>C71</f>
        <v>0.2</v>
      </c>
      <c r="D76" s="133">
        <f>D71</f>
        <v>0.05</v>
      </c>
      <c r="E76" s="133">
        <f>E71</f>
        <v>0.05</v>
      </c>
      <c r="F76" s="129">
        <f t="shared" si="3"/>
        <v>0.1</v>
      </c>
      <c r="G76" s="250">
        <f>G71</f>
        <v>110</v>
      </c>
      <c r="H76" s="250">
        <f>H71</f>
        <v>300</v>
      </c>
    </row>
    <row r="77" spans="1:8" s="1" customFormat="1" ht="13" x14ac:dyDescent="0.3">
      <c r="A77" s="252">
        <v>7</v>
      </c>
      <c r="B77" s="133">
        <f>B71</f>
        <v>0.7</v>
      </c>
      <c r="C77" s="133">
        <f>C71</f>
        <v>0.2</v>
      </c>
      <c r="D77" s="133">
        <f>D71</f>
        <v>0.05</v>
      </c>
      <c r="E77" s="133">
        <f>E71</f>
        <v>0.05</v>
      </c>
      <c r="F77" s="129">
        <f t="shared" si="3"/>
        <v>0.1</v>
      </c>
      <c r="G77" s="250">
        <f>G71</f>
        <v>110</v>
      </c>
      <c r="H77" s="250">
        <f>H71</f>
        <v>300</v>
      </c>
    </row>
    <row r="78" spans="1:8" s="1" customFormat="1" ht="13" x14ac:dyDescent="0.3">
      <c r="A78" s="252">
        <v>8</v>
      </c>
      <c r="B78" s="133">
        <f>B71</f>
        <v>0.7</v>
      </c>
      <c r="C78" s="133">
        <f>C71</f>
        <v>0.2</v>
      </c>
      <c r="D78" s="133">
        <f>D71</f>
        <v>0.05</v>
      </c>
      <c r="E78" s="133">
        <f>E71</f>
        <v>0.05</v>
      </c>
      <c r="F78" s="129">
        <f t="shared" si="3"/>
        <v>0.1</v>
      </c>
      <c r="G78" s="250">
        <f>G71</f>
        <v>110</v>
      </c>
      <c r="H78" s="250">
        <f>H71</f>
        <v>300</v>
      </c>
    </row>
    <row r="79" spans="1:8" s="1" customFormat="1" ht="13" x14ac:dyDescent="0.3">
      <c r="A79" s="252">
        <v>9</v>
      </c>
      <c r="B79" s="133">
        <f>B71</f>
        <v>0.7</v>
      </c>
      <c r="C79" s="133">
        <f>C71</f>
        <v>0.2</v>
      </c>
      <c r="D79" s="133">
        <f>D71</f>
        <v>0.05</v>
      </c>
      <c r="E79" s="133">
        <f>E71</f>
        <v>0.05</v>
      </c>
      <c r="F79" s="129">
        <f t="shared" si="3"/>
        <v>0.1</v>
      </c>
      <c r="G79" s="250">
        <f>G71</f>
        <v>110</v>
      </c>
      <c r="H79" s="250">
        <f>H71</f>
        <v>300</v>
      </c>
    </row>
    <row r="80" spans="1:8" s="1" customFormat="1" ht="13" x14ac:dyDescent="0.3">
      <c r="A80" s="252">
        <v>10</v>
      </c>
      <c r="B80" s="133">
        <f>'Page variable'!D14</f>
        <v>0.65</v>
      </c>
      <c r="C80" s="133">
        <f>'Page variable'!D15</f>
        <v>0.25</v>
      </c>
      <c r="D80" s="133">
        <f>D71</f>
        <v>0.05</v>
      </c>
      <c r="E80" s="133">
        <f>E71</f>
        <v>0.05</v>
      </c>
      <c r="F80" s="129">
        <f t="shared" si="3"/>
        <v>0.1</v>
      </c>
      <c r="G80" s="250">
        <f>G71</f>
        <v>110</v>
      </c>
      <c r="H80" s="250">
        <f>H71</f>
        <v>300</v>
      </c>
    </row>
    <row r="81" spans="1:8" s="1" customFormat="1" ht="13" x14ac:dyDescent="0.3">
      <c r="A81" s="252">
        <v>11</v>
      </c>
      <c r="B81" s="133">
        <f>B80</f>
        <v>0.65</v>
      </c>
      <c r="C81" s="133">
        <f>C80</f>
        <v>0.25</v>
      </c>
      <c r="D81" s="133">
        <f>D71</f>
        <v>0.05</v>
      </c>
      <c r="E81" s="133">
        <f>E71</f>
        <v>0.05</v>
      </c>
      <c r="F81" s="129">
        <f t="shared" si="3"/>
        <v>0.1</v>
      </c>
      <c r="G81" s="250">
        <f>G71</f>
        <v>110</v>
      </c>
      <c r="H81" s="250">
        <f>H71</f>
        <v>300</v>
      </c>
    </row>
    <row r="82" spans="1:8" s="1" customFormat="1" ht="13" x14ac:dyDescent="0.3">
      <c r="A82" s="252">
        <v>12</v>
      </c>
      <c r="B82" s="133">
        <f>B80</f>
        <v>0.65</v>
      </c>
      <c r="C82" s="133">
        <f>C80</f>
        <v>0.25</v>
      </c>
      <c r="D82" s="133">
        <f>D71</f>
        <v>0.05</v>
      </c>
      <c r="E82" s="133">
        <f>E71</f>
        <v>0.05</v>
      </c>
      <c r="F82" s="129">
        <f t="shared" si="3"/>
        <v>0.1</v>
      </c>
      <c r="G82" s="250">
        <f>G71</f>
        <v>110</v>
      </c>
      <c r="H82" s="250">
        <f>H71</f>
        <v>300</v>
      </c>
    </row>
    <row r="83" spans="1:8" s="1" customFormat="1" ht="13" x14ac:dyDescent="0.3">
      <c r="A83" s="324">
        <v>13</v>
      </c>
      <c r="B83" s="133">
        <f>'Page variable'!D18</f>
        <v>0.6</v>
      </c>
      <c r="C83" s="133">
        <f>'Page variable'!D19</f>
        <v>0.3</v>
      </c>
      <c r="D83" s="133">
        <f>D71</f>
        <v>0.05</v>
      </c>
      <c r="E83" s="133">
        <f>E71</f>
        <v>0.05</v>
      </c>
      <c r="F83" s="129">
        <f t="shared" si="3"/>
        <v>0.1</v>
      </c>
      <c r="G83" s="250">
        <f>G71</f>
        <v>110</v>
      </c>
      <c r="H83" s="250">
        <f>H71</f>
        <v>300</v>
      </c>
    </row>
    <row r="84" spans="1:8" s="1" customFormat="1" ht="13" x14ac:dyDescent="0.3">
      <c r="A84" s="324">
        <v>14</v>
      </c>
      <c r="B84" s="133">
        <f>B83</f>
        <v>0.6</v>
      </c>
      <c r="C84" s="133">
        <f>C83</f>
        <v>0.3</v>
      </c>
      <c r="D84" s="133">
        <f>D71</f>
        <v>0.05</v>
      </c>
      <c r="E84" s="133">
        <f>E71</f>
        <v>0.05</v>
      </c>
      <c r="F84" s="129">
        <f t="shared" si="3"/>
        <v>0.1</v>
      </c>
      <c r="G84" s="250">
        <f>G71</f>
        <v>110</v>
      </c>
      <c r="H84" s="250">
        <f>H71</f>
        <v>300</v>
      </c>
    </row>
    <row r="85" spans="1:8" s="1" customFormat="1" ht="13" x14ac:dyDescent="0.3">
      <c r="A85" s="324">
        <v>15</v>
      </c>
      <c r="B85" s="133">
        <f>B83</f>
        <v>0.6</v>
      </c>
      <c r="C85" s="133">
        <f>C83</f>
        <v>0.3</v>
      </c>
      <c r="D85" s="133">
        <f>D71</f>
        <v>0.05</v>
      </c>
      <c r="E85" s="133">
        <f>E71</f>
        <v>0.05</v>
      </c>
      <c r="F85" s="129">
        <f t="shared" si="3"/>
        <v>0.1</v>
      </c>
      <c r="G85" s="250">
        <f>G71</f>
        <v>110</v>
      </c>
      <c r="H85" s="250">
        <f>H71</f>
        <v>300</v>
      </c>
    </row>
    <row r="86" spans="1:8" s="1" customFormat="1" ht="13" x14ac:dyDescent="0.3">
      <c r="A86" s="47" t="s">
        <v>221</v>
      </c>
      <c r="B86" s="554">
        <f t="shared" ref="B86:H86" si="4">AVERAGE(B74:B85)</f>
        <v>0.66249999999999998</v>
      </c>
      <c r="C86" s="554">
        <f t="shared" si="4"/>
        <v>0.23749999999999996</v>
      </c>
      <c r="D86" s="554">
        <f t="shared" si="4"/>
        <v>4.9999999999999996E-2</v>
      </c>
      <c r="E86" s="554">
        <f t="shared" si="4"/>
        <v>4.9999999999999996E-2</v>
      </c>
      <c r="F86" s="554">
        <f t="shared" si="4"/>
        <v>9.9999999999999992E-2</v>
      </c>
      <c r="G86" s="555">
        <f t="shared" si="4"/>
        <v>110</v>
      </c>
      <c r="H86" s="555">
        <f t="shared" si="4"/>
        <v>300</v>
      </c>
    </row>
    <row r="87" spans="1:8" s="1" customFormat="1" ht="13" x14ac:dyDescent="0.3">
      <c r="A87" s="253" t="s">
        <v>222</v>
      </c>
      <c r="B87" s="556">
        <f t="shared" ref="B87:H87" si="5">AVERAGE(B71:B85)</f>
        <v>0.67</v>
      </c>
      <c r="C87" s="556">
        <f t="shared" si="5"/>
        <v>0.22999999999999995</v>
      </c>
      <c r="D87" s="556">
        <f t="shared" si="5"/>
        <v>5.000000000000001E-2</v>
      </c>
      <c r="E87" s="556">
        <f t="shared" si="5"/>
        <v>5.000000000000001E-2</v>
      </c>
      <c r="F87" s="556">
        <f t="shared" si="5"/>
        <v>0.10000000000000002</v>
      </c>
      <c r="G87" s="557">
        <f t="shared" si="5"/>
        <v>110</v>
      </c>
      <c r="H87" s="557">
        <f t="shared" si="5"/>
        <v>300</v>
      </c>
    </row>
    <row r="88" spans="1:8" s="1" customFormat="1" ht="13" x14ac:dyDescent="0.3">
      <c r="B88" s="75"/>
      <c r="C88" s="75"/>
      <c r="D88" s="75"/>
      <c r="E88" s="61"/>
      <c r="F88" s="76"/>
    </row>
    <row r="89" spans="1:8" s="1" customFormat="1" ht="32.4" customHeight="1" x14ac:dyDescent="0.5">
      <c r="A89" s="1480" t="s">
        <v>432</v>
      </c>
      <c r="B89" s="1480"/>
      <c r="C89" s="1480"/>
      <c r="D89" s="1480"/>
      <c r="E89" s="1480"/>
      <c r="F89" s="1480"/>
      <c r="G89" s="1480"/>
      <c r="H89" s="1480"/>
    </row>
    <row r="90" spans="1:8" s="1" customFormat="1" ht="22.5" customHeight="1" x14ac:dyDescent="0.65">
      <c r="A90" s="790"/>
      <c r="B90" s="265"/>
      <c r="C90" s="265"/>
      <c r="D90" s="1494" t="s">
        <v>230</v>
      </c>
      <c r="E90" s="1486" t="s">
        <v>231</v>
      </c>
      <c r="F90" s="266"/>
      <c r="G90" s="114"/>
      <c r="H90" s="157"/>
    </row>
    <row r="91" spans="1:8" s="1" customFormat="1" ht="29.25" customHeight="1" x14ac:dyDescent="0.25">
      <c r="A91" s="18"/>
      <c r="B91" s="213" t="s">
        <v>454</v>
      </c>
      <c r="C91" s="213" t="s">
        <v>232</v>
      </c>
      <c r="D91" s="1494"/>
      <c r="E91" s="1486"/>
      <c r="F91" s="254" t="s">
        <v>233</v>
      </c>
      <c r="G91" s="144" t="s">
        <v>150</v>
      </c>
    </row>
    <row r="92" spans="1:8" s="1" customFormat="1" ht="13" thickBot="1" x14ac:dyDescent="0.3">
      <c r="A92" s="18"/>
      <c r="B92" s="140" t="s">
        <v>234</v>
      </c>
      <c r="C92" s="140" t="s">
        <v>234</v>
      </c>
      <c r="D92" s="140" t="s">
        <v>234</v>
      </c>
      <c r="E92" s="140" t="s">
        <v>234</v>
      </c>
      <c r="F92" s="140" t="s">
        <v>234</v>
      </c>
      <c r="G92" s="140" t="s">
        <v>234</v>
      </c>
    </row>
    <row r="93" spans="1:8" s="1" customFormat="1" ht="13" x14ac:dyDescent="0.3">
      <c r="A93" s="72" t="s">
        <v>198</v>
      </c>
      <c r="B93" s="668">
        <v>5</v>
      </c>
      <c r="C93" s="668">
        <v>10</v>
      </c>
      <c r="D93" s="668">
        <v>100</v>
      </c>
      <c r="E93" s="141">
        <f>'Page variable'!D30</f>
        <v>70</v>
      </c>
      <c r="F93" s="670">
        <v>30</v>
      </c>
      <c r="G93" s="671">
        <v>10</v>
      </c>
    </row>
    <row r="94" spans="1:8" s="1" customFormat="1" ht="13" x14ac:dyDescent="0.3">
      <c r="A94" s="1" t="s">
        <v>414</v>
      </c>
      <c r="B94" s="669">
        <v>5</v>
      </c>
      <c r="C94" s="669">
        <v>10</v>
      </c>
      <c r="D94" s="669">
        <v>100</v>
      </c>
      <c r="E94" s="669">
        <v>0</v>
      </c>
      <c r="F94" s="670">
        <v>10</v>
      </c>
      <c r="G94" s="671">
        <v>10</v>
      </c>
    </row>
    <row r="95" spans="1:8" s="1" customFormat="1" ht="13" x14ac:dyDescent="0.3">
      <c r="A95" s="1" t="s">
        <v>415</v>
      </c>
      <c r="B95" s="669">
        <v>5</v>
      </c>
      <c r="C95" s="669">
        <v>10</v>
      </c>
      <c r="D95" s="669">
        <v>100</v>
      </c>
      <c r="E95" s="669">
        <v>20</v>
      </c>
      <c r="F95" s="670">
        <v>10</v>
      </c>
      <c r="G95" s="671">
        <v>10</v>
      </c>
    </row>
    <row r="96" spans="1:8" s="1" customFormat="1" ht="13" x14ac:dyDescent="0.3">
      <c r="A96" s="1" t="s">
        <v>416</v>
      </c>
      <c r="B96" s="138" t="s">
        <v>238</v>
      </c>
      <c r="C96" s="138"/>
      <c r="D96" s="138"/>
      <c r="E96" s="138"/>
      <c r="F96" s="76"/>
    </row>
    <row r="97" spans="1:8" s="1" customFormat="1" ht="13" x14ac:dyDescent="0.3">
      <c r="B97" s="138"/>
      <c r="C97" s="138"/>
      <c r="D97" s="138"/>
      <c r="E97" s="138"/>
      <c r="F97" s="76"/>
    </row>
    <row r="98" spans="1:8" x14ac:dyDescent="0.25">
      <c r="G98" s="1"/>
    </row>
    <row r="99" spans="1:8" s="1" customFormat="1" ht="25" x14ac:dyDescent="0.5">
      <c r="A99" s="1480" t="s">
        <v>706</v>
      </c>
      <c r="B99" s="1480"/>
      <c r="C99" s="1480"/>
      <c r="D99" s="1480"/>
      <c r="E99" s="1480"/>
      <c r="F99" s="1480"/>
      <c r="G99" s="1480"/>
      <c r="H99" s="1480"/>
    </row>
    <row r="100" spans="1:8" ht="22.65" customHeight="1" x14ac:dyDescent="0.35">
      <c r="A100" s="1"/>
      <c r="B100" s="278" t="s">
        <v>239</v>
      </c>
      <c r="C100" s="278" t="s">
        <v>722</v>
      </c>
      <c r="D100" s="264"/>
      <c r="E100" s="264"/>
      <c r="G100" s="1"/>
    </row>
    <row r="101" spans="1:8" ht="13" x14ac:dyDescent="0.3">
      <c r="A101" s="279" t="s">
        <v>240</v>
      </c>
      <c r="B101" s="719">
        <v>0.42</v>
      </c>
      <c r="C101" s="719">
        <v>0.85</v>
      </c>
      <c r="D101" s="159"/>
      <c r="E101" s="159"/>
      <c r="G101" s="1"/>
    </row>
    <row r="102" spans="1:8" x14ac:dyDescent="0.25">
      <c r="A102" s="139"/>
      <c r="B102" s="720"/>
      <c r="C102" s="720"/>
      <c r="D102" s="66"/>
      <c r="G102" s="1"/>
    </row>
    <row r="103" spans="1:8" ht="13" x14ac:dyDescent="0.3">
      <c r="A103" s="272" t="s">
        <v>470</v>
      </c>
      <c r="B103" s="721">
        <v>0</v>
      </c>
      <c r="C103" s="721">
        <v>0</v>
      </c>
      <c r="D103" s="103"/>
      <c r="G103" s="1"/>
    </row>
    <row r="104" spans="1:8" x14ac:dyDescent="0.25">
      <c r="A104" s="66"/>
      <c r="B104" s="529"/>
      <c r="C104" s="722"/>
      <c r="G104" s="1"/>
    </row>
    <row r="105" spans="1:8" ht="13" x14ac:dyDescent="0.3">
      <c r="A105" s="272" t="s">
        <v>414</v>
      </c>
      <c r="B105" s="721">
        <v>50</v>
      </c>
      <c r="C105" s="721">
        <v>50</v>
      </c>
      <c r="D105" s="103"/>
      <c r="G105" s="1"/>
    </row>
    <row r="106" spans="1:8" x14ac:dyDescent="0.25">
      <c r="A106" s="108" t="s">
        <v>165</v>
      </c>
      <c r="B106" s="527">
        <v>0</v>
      </c>
      <c r="C106" s="527">
        <v>0</v>
      </c>
      <c r="D106" s="103"/>
      <c r="G106" s="1"/>
    </row>
    <row r="107" spans="1:8" ht="13" x14ac:dyDescent="0.3">
      <c r="A107" s="272" t="s">
        <v>417</v>
      </c>
      <c r="B107" s="721">
        <v>100</v>
      </c>
      <c r="C107" s="721">
        <v>125</v>
      </c>
      <c r="D107" s="103"/>
      <c r="G107" s="1"/>
    </row>
    <row r="108" spans="1:8" x14ac:dyDescent="0.25">
      <c r="A108" s="108" t="s">
        <v>165</v>
      </c>
      <c r="B108" s="527">
        <v>1</v>
      </c>
      <c r="C108" s="527">
        <v>0</v>
      </c>
      <c r="D108" s="103"/>
      <c r="G108" s="1"/>
    </row>
    <row r="109" spans="1:8" ht="13" x14ac:dyDescent="0.3">
      <c r="A109" s="272" t="s">
        <v>418</v>
      </c>
      <c r="B109" s="721">
        <v>150</v>
      </c>
      <c r="C109" s="721">
        <v>200</v>
      </c>
      <c r="D109" s="103"/>
      <c r="G109" s="1"/>
    </row>
    <row r="110" spans="1:8" x14ac:dyDescent="0.25">
      <c r="A110" s="108" t="s">
        <v>165</v>
      </c>
      <c r="B110" s="527">
        <v>1</v>
      </c>
      <c r="C110" s="527">
        <v>1</v>
      </c>
      <c r="D110" s="103"/>
      <c r="G110" s="1"/>
    </row>
    <row r="111" spans="1:8" ht="13" x14ac:dyDescent="0.3">
      <c r="A111" s="272" t="s">
        <v>198</v>
      </c>
      <c r="B111" s="721">
        <v>200</v>
      </c>
      <c r="C111" s="721">
        <v>250</v>
      </c>
      <c r="D111" s="103"/>
      <c r="G111" s="1"/>
    </row>
    <row r="112" spans="1:8" x14ac:dyDescent="0.25">
      <c r="A112" s="108" t="s">
        <v>165</v>
      </c>
      <c r="B112" s="527">
        <v>1</v>
      </c>
      <c r="C112" s="527">
        <v>1</v>
      </c>
      <c r="D112" s="103"/>
      <c r="G112" s="1"/>
    </row>
    <row r="113" spans="1:8" x14ac:dyDescent="0.25">
      <c r="A113" s="1"/>
      <c r="G113" s="1"/>
    </row>
    <row r="114" spans="1:8" s="1" customFormat="1" ht="25" x14ac:dyDescent="0.5">
      <c r="A114" s="1480" t="s">
        <v>703</v>
      </c>
      <c r="B114" s="1480"/>
      <c r="C114" s="1480"/>
      <c r="D114" s="1480"/>
      <c r="E114" s="1480"/>
      <c r="F114" s="1480"/>
      <c r="G114" s="1480"/>
      <c r="H114" s="1480"/>
    </row>
    <row r="115" spans="1:8" s="1" customFormat="1" ht="18" x14ac:dyDescent="0.4">
      <c r="A115" s="39"/>
      <c r="B115" s="560"/>
      <c r="C115" s="215"/>
      <c r="D115" s="215"/>
      <c r="E115" s="1463"/>
      <c r="F115" s="144"/>
    </row>
    <row r="116" spans="1:8" ht="18" x14ac:dyDescent="0.4">
      <c r="A116" s="560"/>
      <c r="B116" s="1464" t="s">
        <v>414</v>
      </c>
      <c r="C116" s="560" t="s">
        <v>417</v>
      </c>
      <c r="D116" s="1464" t="s">
        <v>718</v>
      </c>
      <c r="E116" s="42"/>
      <c r="F116" s="144"/>
      <c r="G116" s="39"/>
      <c r="H116" s="463"/>
    </row>
    <row r="117" spans="1:8" ht="18.5" thickBot="1" x14ac:dyDescent="0.45">
      <c r="A117" s="560"/>
      <c r="B117" s="140" t="s">
        <v>53</v>
      </c>
      <c r="C117" s="140" t="s">
        <v>53</v>
      </c>
      <c r="D117" s="140" t="s">
        <v>53</v>
      </c>
      <c r="E117" s="42"/>
      <c r="F117" s="144"/>
      <c r="G117" s="18"/>
      <c r="H117" s="463"/>
    </row>
    <row r="118" spans="1:8" ht="13" x14ac:dyDescent="0.3">
      <c r="A118" s="144" t="s">
        <v>167</v>
      </c>
      <c r="B118" s="1465">
        <v>1209</v>
      </c>
      <c r="C118" s="1465">
        <v>1209</v>
      </c>
      <c r="D118" s="1465">
        <v>2844</v>
      </c>
      <c r="E118" s="42"/>
      <c r="F118" s="144"/>
      <c r="G118" s="39"/>
      <c r="H118" s="463"/>
    </row>
    <row r="119" spans="1:8" ht="13" x14ac:dyDescent="0.3">
      <c r="A119" s="144" t="s">
        <v>719</v>
      </c>
      <c r="B119" s="1465">
        <v>0</v>
      </c>
      <c r="C119" s="1465">
        <v>0</v>
      </c>
      <c r="D119" s="1465">
        <v>1057</v>
      </c>
      <c r="E119" s="42"/>
      <c r="F119" s="144"/>
      <c r="G119" s="39"/>
      <c r="H119" s="463"/>
    </row>
    <row r="120" spans="1:8" ht="13" x14ac:dyDescent="0.3">
      <c r="A120" s="144" t="s">
        <v>246</v>
      </c>
      <c r="B120" s="1465">
        <v>491</v>
      </c>
      <c r="C120" s="1465">
        <v>491</v>
      </c>
      <c r="D120" s="1465">
        <v>1241</v>
      </c>
      <c r="E120" s="42"/>
      <c r="F120" s="1461"/>
      <c r="G120" s="39"/>
      <c r="H120" s="463"/>
    </row>
    <row r="121" spans="1:8" ht="13" x14ac:dyDescent="0.3">
      <c r="A121" s="144" t="s">
        <v>168</v>
      </c>
      <c r="B121" s="1465">
        <v>0</v>
      </c>
      <c r="C121" s="1465">
        <v>0</v>
      </c>
      <c r="D121" s="1465">
        <v>430</v>
      </c>
      <c r="E121" s="42"/>
      <c r="F121" s="144"/>
      <c r="G121" s="39"/>
      <c r="H121" s="463"/>
    </row>
    <row r="122" spans="1:8" ht="13" x14ac:dyDescent="0.3">
      <c r="A122" s="144" t="s">
        <v>720</v>
      </c>
      <c r="B122" s="1465">
        <v>0</v>
      </c>
      <c r="C122" s="1465">
        <v>0</v>
      </c>
      <c r="D122" s="1465">
        <v>10</v>
      </c>
      <c r="E122" s="42"/>
      <c r="F122" s="144"/>
      <c r="G122" s="39"/>
      <c r="H122" s="463"/>
    </row>
    <row r="123" spans="1:8" ht="13" x14ac:dyDescent="0.3">
      <c r="A123" s="144" t="s">
        <v>721</v>
      </c>
      <c r="B123" s="1465">
        <v>0</v>
      </c>
      <c r="C123" s="1465">
        <v>0</v>
      </c>
      <c r="D123" s="1465">
        <v>360</v>
      </c>
      <c r="E123" s="42"/>
      <c r="F123" s="144"/>
      <c r="G123" s="39"/>
      <c r="H123" s="463"/>
    </row>
    <row r="124" spans="1:8" ht="13" x14ac:dyDescent="0.3">
      <c r="A124" s="144" t="s">
        <v>724</v>
      </c>
      <c r="B124" s="1465">
        <v>6</v>
      </c>
      <c r="C124" s="1465">
        <v>6</v>
      </c>
      <c r="D124" s="1465">
        <v>22</v>
      </c>
      <c r="E124" s="42"/>
      <c r="F124" s="144"/>
      <c r="G124" s="39"/>
      <c r="H124" s="463"/>
    </row>
    <row r="125" spans="1:8" ht="13" x14ac:dyDescent="0.3">
      <c r="A125" s="144" t="s">
        <v>723</v>
      </c>
      <c r="B125" s="1465">
        <v>2</v>
      </c>
      <c r="C125" s="1465">
        <v>2</v>
      </c>
      <c r="D125" s="1465">
        <v>6</v>
      </c>
      <c r="E125" s="42"/>
      <c r="F125" s="144"/>
      <c r="G125" s="39"/>
      <c r="H125" s="463"/>
    </row>
    <row r="126" spans="1:8" ht="13" x14ac:dyDescent="0.3">
      <c r="A126" s="39"/>
      <c r="B126" s="39"/>
      <c r="C126" s="41"/>
      <c r="D126" s="1462"/>
      <c r="E126" s="42"/>
      <c r="F126" s="144"/>
      <c r="G126" s="39"/>
      <c r="H126" s="463"/>
    </row>
    <row r="127" spans="1:8" ht="25" x14ac:dyDescent="0.5">
      <c r="A127" s="1480" t="s">
        <v>704</v>
      </c>
      <c r="B127" s="1480"/>
      <c r="C127" s="1480"/>
      <c r="D127" s="1480"/>
      <c r="E127" s="1480"/>
      <c r="F127" s="1480"/>
      <c r="G127" s="1480"/>
      <c r="H127" s="1480"/>
    </row>
    <row r="128" spans="1:8" ht="13" x14ac:dyDescent="0.3">
      <c r="A128" s="1482"/>
      <c r="B128" s="1482"/>
      <c r="D128" s="11"/>
      <c r="E128" s="11"/>
      <c r="F128" s="11"/>
      <c r="G128" s="13"/>
    </row>
    <row r="129" spans="1:9" x14ac:dyDescent="0.25">
      <c r="A129" s="1492" t="s">
        <v>496</v>
      </c>
      <c r="B129" s="1492"/>
      <c r="C129" s="1492"/>
      <c r="D129" s="11"/>
      <c r="E129" s="11"/>
      <c r="F129" s="11"/>
      <c r="G129" s="13"/>
    </row>
    <row r="130" spans="1:9" x14ac:dyDescent="0.25">
      <c r="A130" s="66"/>
      <c r="B130" s="144"/>
      <c r="C130" s="89"/>
      <c r="D130" s="11"/>
      <c r="E130" s="11"/>
      <c r="F130" s="11"/>
    </row>
    <row r="131" spans="1:9" ht="14" x14ac:dyDescent="0.3">
      <c r="B131" s="793" t="s">
        <v>247</v>
      </c>
      <c r="C131" s="11"/>
      <c r="D131" s="11"/>
      <c r="E131" s="11"/>
      <c r="F131" s="13"/>
      <c r="G131" s="13"/>
      <c r="H131" s="13"/>
      <c r="I131" s="13"/>
    </row>
    <row r="132" spans="1:9" ht="18" customHeight="1" x14ac:dyDescent="0.3">
      <c r="A132" s="613" t="s">
        <v>248</v>
      </c>
      <c r="B132" s="84" t="s">
        <v>249</v>
      </c>
      <c r="C132" s="89"/>
      <c r="D132" s="248">
        <f>D145</f>
        <v>41</v>
      </c>
      <c r="E132" s="11"/>
      <c r="F132" s="791" t="s">
        <v>250</v>
      </c>
      <c r="G132" s="13"/>
      <c r="H132" s="613">
        <v>0.25</v>
      </c>
      <c r="I132" s="13"/>
    </row>
    <row r="133" spans="1:9" ht="18" customHeight="1" x14ac:dyDescent="0.3">
      <c r="A133" s="751"/>
      <c r="B133" s="84"/>
      <c r="C133" s="89"/>
      <c r="D133" s="89"/>
      <c r="E133" s="107"/>
      <c r="F133" s="11"/>
      <c r="G133" s="111"/>
      <c r="H133" s="13"/>
      <c r="I133" s="13"/>
    </row>
    <row r="134" spans="1:9" ht="13" x14ac:dyDescent="0.3">
      <c r="A134" s="751"/>
      <c r="B134" s="84"/>
      <c r="C134" s="117" t="s">
        <v>266</v>
      </c>
      <c r="D134" s="300" t="s">
        <v>267</v>
      </c>
      <c r="E134" s="91" t="s">
        <v>244</v>
      </c>
      <c r="F134" s="91" t="s">
        <v>268</v>
      </c>
      <c r="G134" s="83" t="s">
        <v>269</v>
      </c>
      <c r="H134" s="91" t="s">
        <v>85</v>
      </c>
    </row>
    <row r="135" spans="1:9" ht="25.5" x14ac:dyDescent="0.3">
      <c r="A135" s="1481" t="s">
        <v>251</v>
      </c>
      <c r="B135" s="144" t="s">
        <v>166</v>
      </c>
      <c r="C135" s="561">
        <v>1</v>
      </c>
      <c r="D135" s="79">
        <f t="shared" ref="D135:D141" si="6">H135</f>
        <v>50.3</v>
      </c>
      <c r="E135" s="260" t="s">
        <v>270</v>
      </c>
      <c r="F135" s="551">
        <v>39.32</v>
      </c>
      <c r="G135" s="551">
        <v>11.01</v>
      </c>
      <c r="H135" s="259">
        <f>ROUND(F135+G135,1)</f>
        <v>50.3</v>
      </c>
      <c r="I135" s="463"/>
    </row>
    <row r="136" spans="1:9" ht="25" x14ac:dyDescent="0.25">
      <c r="A136" s="1481"/>
      <c r="B136" s="144" t="s">
        <v>717</v>
      </c>
      <c r="C136" s="561">
        <v>1</v>
      </c>
      <c r="D136" s="1458">
        <v>69</v>
      </c>
      <c r="E136" s="260" t="s">
        <v>271</v>
      </c>
      <c r="F136" s="42"/>
      <c r="G136" s="551">
        <v>13</v>
      </c>
      <c r="H136" s="259"/>
      <c r="I136" s="456"/>
    </row>
    <row r="137" spans="1:9" ht="25.5" x14ac:dyDescent="0.3">
      <c r="A137" s="1481"/>
      <c r="B137" s="144" t="s">
        <v>252</v>
      </c>
      <c r="C137" s="561">
        <v>1</v>
      </c>
      <c r="D137" s="1458">
        <v>18</v>
      </c>
      <c r="E137" s="260" t="s">
        <v>272</v>
      </c>
      <c r="F137" s="42"/>
      <c r="G137" s="551">
        <v>9</v>
      </c>
      <c r="H137" s="259">
        <f t="shared" ref="H137:H141" si="7">ROUND(F137+G137,1)</f>
        <v>9</v>
      </c>
      <c r="I137" s="463"/>
    </row>
    <row r="138" spans="1:9" ht="12.9" customHeight="1" x14ac:dyDescent="0.3">
      <c r="A138" s="1481"/>
      <c r="B138" s="144" t="s">
        <v>253</v>
      </c>
      <c r="C138" s="1045">
        <v>960</v>
      </c>
      <c r="D138" s="79">
        <f t="shared" si="6"/>
        <v>11.2</v>
      </c>
      <c r="E138" s="1046">
        <v>4</v>
      </c>
      <c r="F138" s="551">
        <v>9.69</v>
      </c>
      <c r="G138" s="551">
        <v>1.54</v>
      </c>
      <c r="H138" s="259">
        <f t="shared" si="7"/>
        <v>11.2</v>
      </c>
      <c r="I138" s="463"/>
    </row>
    <row r="139" spans="1:9" s="1082" customFormat="1" ht="24.75" customHeight="1" x14ac:dyDescent="0.3">
      <c r="A139" s="1481"/>
      <c r="B139" s="281" t="s">
        <v>254</v>
      </c>
      <c r="C139" s="1101">
        <v>1</v>
      </c>
      <c r="D139" s="1102">
        <f t="shared" si="6"/>
        <v>62.2</v>
      </c>
      <c r="E139" s="1094">
        <v>7</v>
      </c>
      <c r="F139" s="551">
        <v>39.47</v>
      </c>
      <c r="G139" s="551">
        <v>22.68</v>
      </c>
      <c r="H139" s="1103">
        <f t="shared" si="7"/>
        <v>62.2</v>
      </c>
      <c r="I139" s="1104"/>
    </row>
    <row r="140" spans="1:9" ht="12.9" customHeight="1" x14ac:dyDescent="0.3">
      <c r="A140" s="1481"/>
      <c r="B140" s="144" t="s">
        <v>255</v>
      </c>
      <c r="C140" s="561">
        <v>2</v>
      </c>
      <c r="D140" s="79">
        <f t="shared" si="6"/>
        <v>75.7</v>
      </c>
      <c r="E140" s="41">
        <v>1</v>
      </c>
      <c r="F140" s="551">
        <v>45.46</v>
      </c>
      <c r="G140" s="551">
        <v>30.2</v>
      </c>
      <c r="H140" s="259">
        <f t="shared" si="7"/>
        <v>75.7</v>
      </c>
      <c r="I140" s="463"/>
    </row>
    <row r="141" spans="1:9" ht="12.9" customHeight="1" x14ac:dyDescent="0.3">
      <c r="A141" s="1481"/>
      <c r="B141" s="144" t="s">
        <v>497</v>
      </c>
      <c r="C141" s="258">
        <f>'Normes pleine production'!D51/4</f>
        <v>10.514322916666666</v>
      </c>
      <c r="D141" s="79">
        <f t="shared" si="6"/>
        <v>19.100000000000001</v>
      </c>
      <c r="E141" s="41" t="s">
        <v>52</v>
      </c>
      <c r="F141" s="551">
        <v>15.69</v>
      </c>
      <c r="G141" s="551">
        <v>3.45</v>
      </c>
      <c r="H141" s="259">
        <f t="shared" si="7"/>
        <v>19.100000000000001</v>
      </c>
      <c r="I141" s="463"/>
    </row>
    <row r="142" spans="1:9" ht="12.9" customHeight="1" x14ac:dyDescent="0.25">
      <c r="A142" s="1481"/>
      <c r="B142" s="144" t="s">
        <v>256</v>
      </c>
      <c r="C142" s="89"/>
      <c r="D142" s="1047">
        <v>350</v>
      </c>
      <c r="E142" s="41"/>
      <c r="F142" s="259"/>
      <c r="G142" s="259"/>
      <c r="H142" s="259"/>
    </row>
    <row r="143" spans="1:9" ht="13" x14ac:dyDescent="0.3">
      <c r="A143" s="84"/>
      <c r="B143" s="144"/>
      <c r="C143" s="258"/>
      <c r="D143" s="89"/>
      <c r="E143" s="11"/>
      <c r="F143" s="125"/>
      <c r="G143" s="125"/>
      <c r="H143" s="125"/>
    </row>
    <row r="144" spans="1:9" ht="17.399999999999999" customHeight="1" x14ac:dyDescent="0.3">
      <c r="A144" s="46"/>
      <c r="B144" s="793" t="s">
        <v>459</v>
      </c>
      <c r="C144" s="117" t="s">
        <v>58</v>
      </c>
      <c r="D144" s="91" t="s">
        <v>52</v>
      </c>
      <c r="E144" s="91"/>
      <c r="F144" s="786" t="s">
        <v>273</v>
      </c>
      <c r="G144" s="786" t="s">
        <v>274</v>
      </c>
      <c r="H144" s="91" t="s">
        <v>89</v>
      </c>
    </row>
    <row r="145" spans="1:9" ht="13" x14ac:dyDescent="0.3">
      <c r="A145" s="613" t="s">
        <v>248</v>
      </c>
      <c r="B145" s="84" t="s">
        <v>257</v>
      </c>
      <c r="C145" s="258" t="s">
        <v>455</v>
      </c>
      <c r="D145" s="1459">
        <v>41</v>
      </c>
      <c r="E145" s="11"/>
      <c r="F145" s="11"/>
      <c r="G145" s="683">
        <v>17.64</v>
      </c>
      <c r="H145" s="259"/>
      <c r="I145" s="463"/>
    </row>
    <row r="146" spans="1:9" ht="13" x14ac:dyDescent="0.3">
      <c r="A146" s="1481" t="s">
        <v>251</v>
      </c>
      <c r="B146" s="144" t="s">
        <v>258</v>
      </c>
      <c r="C146" s="564">
        <v>3.8</v>
      </c>
      <c r="D146" s="1460">
        <v>23</v>
      </c>
      <c r="E146" s="11"/>
      <c r="F146" s="11"/>
      <c r="G146" s="269">
        <f>35.5/C146</f>
        <v>9.3421052631578956</v>
      </c>
      <c r="H146" s="259"/>
      <c r="I146" s="463"/>
    </row>
    <row r="147" spans="1:9" x14ac:dyDescent="0.25">
      <c r="A147" s="1481"/>
      <c r="B147" s="144" t="s">
        <v>259</v>
      </c>
      <c r="C147" s="564">
        <v>1.8</v>
      </c>
      <c r="D147" s="1460">
        <v>51.6</v>
      </c>
      <c r="E147" s="11"/>
      <c r="F147" s="11"/>
      <c r="G147" s="269">
        <f>33.7/C147</f>
        <v>18.722222222222225</v>
      </c>
      <c r="H147" s="259"/>
    </row>
    <row r="148" spans="1:9" ht="13" x14ac:dyDescent="0.3">
      <c r="A148" s="1481"/>
      <c r="B148" s="144" t="s">
        <v>260</v>
      </c>
      <c r="C148" s="564">
        <v>1.6</v>
      </c>
      <c r="D148" s="1460">
        <v>90</v>
      </c>
      <c r="E148" s="11"/>
      <c r="F148" s="11"/>
      <c r="G148" s="269">
        <f>11.66/C148</f>
        <v>7.2874999999999996</v>
      </c>
      <c r="H148" s="259"/>
      <c r="I148" s="463"/>
    </row>
    <row r="149" spans="1:9" ht="13" x14ac:dyDescent="0.3">
      <c r="A149" s="1481"/>
      <c r="B149" s="144" t="s">
        <v>261</v>
      </c>
      <c r="C149" s="1085">
        <v>0.1</v>
      </c>
      <c r="D149" s="1460">
        <v>13.9</v>
      </c>
      <c r="E149" s="11"/>
      <c r="F149" s="11"/>
      <c r="G149" s="563">
        <v>2.0499999999999998</v>
      </c>
      <c r="H149" s="259"/>
      <c r="I149" s="463"/>
    </row>
    <row r="150" spans="1:9" ht="13" x14ac:dyDescent="0.3">
      <c r="A150" s="1481"/>
      <c r="B150" s="144" t="s">
        <v>262</v>
      </c>
      <c r="C150" s="261"/>
      <c r="D150" s="1460">
        <v>22.8</v>
      </c>
      <c r="E150" s="11"/>
      <c r="F150" s="11"/>
      <c r="G150" s="563">
        <v>3.15</v>
      </c>
      <c r="H150" s="259"/>
      <c r="I150" s="463"/>
    </row>
    <row r="151" spans="1:9" x14ac:dyDescent="0.25">
      <c r="A151" s="1481"/>
      <c r="B151" s="144" t="s">
        <v>263</v>
      </c>
      <c r="C151" s="261" t="s">
        <v>456</v>
      </c>
      <c r="D151" s="565">
        <v>150</v>
      </c>
      <c r="E151" s="11"/>
      <c r="F151" s="259"/>
      <c r="G151" s="259"/>
      <c r="H151" s="259"/>
    </row>
    <row r="152" spans="1:9" ht="25" x14ac:dyDescent="0.25">
      <c r="A152" s="1481"/>
      <c r="B152" s="281" t="s">
        <v>264</v>
      </c>
      <c r="C152" s="261"/>
      <c r="D152" s="262">
        <f>D141</f>
        <v>19.100000000000001</v>
      </c>
      <c r="E152" s="11"/>
      <c r="F152" s="259"/>
      <c r="G152" s="259"/>
      <c r="H152" s="259"/>
    </row>
    <row r="153" spans="1:9" x14ac:dyDescent="0.25">
      <c r="A153" s="1481"/>
      <c r="B153" s="144" t="s">
        <v>265</v>
      </c>
      <c r="C153" s="89"/>
      <c r="D153" s="792">
        <v>220</v>
      </c>
      <c r="E153" s="11"/>
      <c r="F153" s="11"/>
      <c r="G153" s="13"/>
      <c r="H153" s="125"/>
    </row>
    <row r="154" spans="1:9" x14ac:dyDescent="0.25">
      <c r="H154" s="116"/>
    </row>
    <row r="155" spans="1:9" ht="25" x14ac:dyDescent="0.5">
      <c r="A155" s="1480" t="s">
        <v>275</v>
      </c>
      <c r="B155" s="1480"/>
      <c r="C155" s="1480"/>
      <c r="D155" s="1480"/>
      <c r="E155" s="1480"/>
      <c r="F155" s="1480"/>
      <c r="G155" s="1480"/>
      <c r="H155" s="1480"/>
    </row>
    <row r="156" spans="1:9" x14ac:dyDescent="0.25">
      <c r="C156" s="166" t="s">
        <v>276</v>
      </c>
      <c r="D156" s="36" t="s">
        <v>65</v>
      </c>
    </row>
    <row r="157" spans="1:9" ht="50" x14ac:dyDescent="0.25">
      <c r="A157" s="169" t="s">
        <v>277</v>
      </c>
      <c r="B157" s="167" t="s">
        <v>425</v>
      </c>
      <c r="C157" s="460">
        <v>10</v>
      </c>
      <c r="D157" s="527">
        <v>15</v>
      </c>
      <c r="E157" s="126"/>
    </row>
    <row r="158" spans="1:9" ht="18" customHeight="1" x14ac:dyDescent="0.25">
      <c r="B158" t="s">
        <v>278</v>
      </c>
      <c r="C158" s="572">
        <v>0</v>
      </c>
      <c r="D158" s="573">
        <v>15</v>
      </c>
      <c r="E158" s="33"/>
    </row>
    <row r="159" spans="1:9" x14ac:dyDescent="0.25">
      <c r="C159" s="263">
        <f>SUM(C157:C158)</f>
        <v>10</v>
      </c>
      <c r="D159" s="264">
        <f>((C157*D157)+(C158*D158))/C159</f>
        <v>15</v>
      </c>
      <c r="E159" s="33"/>
    </row>
    <row r="160" spans="1:9" ht="13.5" thickBot="1" x14ac:dyDescent="0.35">
      <c r="A160" s="46" t="s">
        <v>154</v>
      </c>
      <c r="C160" s="92"/>
      <c r="D160" s="33"/>
      <c r="E160" s="140" t="s">
        <v>281</v>
      </c>
    </row>
    <row r="161" spans="1:8" x14ac:dyDescent="0.25">
      <c r="B161" t="s">
        <v>279</v>
      </c>
      <c r="C161" s="92"/>
      <c r="D161" s="33"/>
      <c r="E161" s="574">
        <v>200</v>
      </c>
      <c r="G161" s="10"/>
    </row>
    <row r="162" spans="1:8" x14ac:dyDescent="0.25">
      <c r="B162" t="s">
        <v>280</v>
      </c>
      <c r="C162" s="92"/>
      <c r="D162" s="33"/>
      <c r="E162" s="987">
        <v>400</v>
      </c>
    </row>
    <row r="163" spans="1:8" x14ac:dyDescent="0.25">
      <c r="E163" s="224">
        <f>SUM(E161:E162)</f>
        <v>600</v>
      </c>
    </row>
    <row r="164" spans="1:8" ht="25" x14ac:dyDescent="0.5">
      <c r="A164" s="1480" t="s">
        <v>705</v>
      </c>
      <c r="B164" s="1480"/>
      <c r="C164" s="1480"/>
      <c r="D164" s="1480"/>
      <c r="E164" s="1480"/>
      <c r="F164" s="1480"/>
      <c r="G164" s="1480"/>
      <c r="H164" s="1480"/>
    </row>
    <row r="165" spans="1:8" ht="13" x14ac:dyDescent="0.3">
      <c r="A165" s="13"/>
      <c r="B165" s="13"/>
      <c r="C165" s="785" t="s">
        <v>244</v>
      </c>
      <c r="D165" s="785" t="s">
        <v>338</v>
      </c>
      <c r="E165" s="785" t="s">
        <v>339</v>
      </c>
      <c r="F165" s="41"/>
    </row>
    <row r="166" spans="1:8" ht="13" x14ac:dyDescent="0.3">
      <c r="A166" s="69" t="s">
        <v>155</v>
      </c>
      <c r="B166" s="18" t="s">
        <v>329</v>
      </c>
      <c r="C166" s="799"/>
      <c r="D166" s="551">
        <v>6.9</v>
      </c>
      <c r="E166" s="41"/>
      <c r="F166" s="459"/>
    </row>
    <row r="167" spans="1:8" ht="13" x14ac:dyDescent="0.3">
      <c r="A167" s="13"/>
      <c r="B167" s="18" t="s">
        <v>330</v>
      </c>
      <c r="C167" s="44"/>
      <c r="D167" s="551">
        <v>9.6</v>
      </c>
      <c r="E167" s="41"/>
      <c r="F167" s="459"/>
    </row>
    <row r="168" spans="1:8" ht="13" x14ac:dyDescent="0.3">
      <c r="A168" s="13"/>
      <c r="B168" s="18" t="s">
        <v>331</v>
      </c>
      <c r="C168" s="44"/>
      <c r="D168" s="551">
        <v>15.5</v>
      </c>
      <c r="E168" s="41"/>
      <c r="F168" s="459"/>
    </row>
    <row r="169" spans="1:8" ht="13" x14ac:dyDescent="0.3">
      <c r="A169" s="13"/>
      <c r="B169" s="18" t="s">
        <v>332</v>
      </c>
      <c r="C169" s="577">
        <v>6</v>
      </c>
      <c r="D169" s="551">
        <v>19.8</v>
      </c>
      <c r="E169" s="41"/>
      <c r="F169" s="459"/>
    </row>
    <row r="170" spans="1:8" ht="13" x14ac:dyDescent="0.3">
      <c r="A170" s="13"/>
      <c r="B170" s="18" t="s">
        <v>333</v>
      </c>
      <c r="C170" s="577">
        <v>2</v>
      </c>
      <c r="D170" s="551">
        <v>200</v>
      </c>
      <c r="E170" s="41"/>
      <c r="F170" s="459"/>
    </row>
    <row r="171" spans="1:8" ht="13" x14ac:dyDescent="0.3">
      <c r="A171" s="13"/>
      <c r="B171" s="18" t="s">
        <v>334</v>
      </c>
      <c r="C171" s="800"/>
      <c r="D171" s="551">
        <v>4.0999999999999996</v>
      </c>
      <c r="E171" s="41"/>
      <c r="F171" s="459"/>
    </row>
    <row r="172" spans="1:8" ht="13" x14ac:dyDescent="0.3">
      <c r="A172" s="13"/>
      <c r="B172" s="18" t="s">
        <v>289</v>
      </c>
      <c r="C172" s="570">
        <v>3</v>
      </c>
      <c r="D172" s="551">
        <v>11.95</v>
      </c>
      <c r="E172" s="41"/>
      <c r="F172" s="459"/>
    </row>
    <row r="173" spans="1:8" ht="25" x14ac:dyDescent="0.25">
      <c r="A173" s="13"/>
      <c r="B173" s="1036" t="s">
        <v>517</v>
      </c>
      <c r="C173" s="44" t="s">
        <v>340</v>
      </c>
      <c r="D173" s="558">
        <v>0.25</v>
      </c>
      <c r="E173" s="41"/>
      <c r="F173" s="33"/>
    </row>
    <row r="174" spans="1:8" x14ac:dyDescent="0.25">
      <c r="A174" s="13"/>
      <c r="B174" s="18" t="s">
        <v>335</v>
      </c>
      <c r="C174" s="44" t="s">
        <v>341</v>
      </c>
      <c r="D174" s="801">
        <v>1</v>
      </c>
      <c r="E174" s="41"/>
      <c r="F174" s="33"/>
    </row>
    <row r="175" spans="1:8" x14ac:dyDescent="0.25">
      <c r="A175" s="18"/>
      <c r="B175" s="18" t="s">
        <v>336</v>
      </c>
      <c r="C175" s="44"/>
      <c r="D175" s="133"/>
      <c r="E175" s="802">
        <v>300</v>
      </c>
      <c r="F175" s="33"/>
    </row>
    <row r="176" spans="1:8" x14ac:dyDescent="0.25">
      <c r="A176" s="13"/>
      <c r="B176" s="13"/>
      <c r="C176" s="94"/>
      <c r="D176" s="41"/>
      <c r="E176" s="41"/>
      <c r="F176" s="33"/>
    </row>
    <row r="177" spans="1:8" ht="13" x14ac:dyDescent="0.3">
      <c r="A177" s="38" t="s">
        <v>164</v>
      </c>
      <c r="B177" s="13"/>
      <c r="C177" s="797" t="s">
        <v>309</v>
      </c>
      <c r="D177" s="41"/>
      <c r="E177" s="41"/>
      <c r="F177" s="33"/>
    </row>
    <row r="178" spans="1:8" x14ac:dyDescent="0.25">
      <c r="A178" s="13"/>
      <c r="B178" s="18" t="s">
        <v>337</v>
      </c>
      <c r="C178" s="673">
        <v>70</v>
      </c>
      <c r="D178" s="41"/>
      <c r="E178" s="41"/>
      <c r="F178" s="33"/>
    </row>
    <row r="179" spans="1:8" ht="27" customHeight="1" x14ac:dyDescent="0.5">
      <c r="A179" s="1480" t="s">
        <v>518</v>
      </c>
      <c r="B179" s="1480"/>
      <c r="C179" s="1480"/>
      <c r="D179" s="1480"/>
      <c r="E179" s="1480"/>
      <c r="F179" s="1480"/>
      <c r="G179" s="1480"/>
      <c r="H179" s="1480"/>
    </row>
    <row r="180" spans="1:8" ht="15.75" customHeight="1" x14ac:dyDescent="0.25">
      <c r="B180" t="s">
        <v>519</v>
      </c>
      <c r="C180" s="93">
        <f>'Page variable'!D37</f>
        <v>0</v>
      </c>
    </row>
    <row r="181" spans="1:8" ht="12.75" customHeight="1" x14ac:dyDescent="0.25">
      <c r="B181" t="s">
        <v>520</v>
      </c>
      <c r="C181" s="93">
        <f>'Page variable'!D38</f>
        <v>0</v>
      </c>
      <c r="D181" s="92"/>
    </row>
    <row r="182" spans="1:8" x14ac:dyDescent="0.25">
      <c r="B182" t="s">
        <v>541</v>
      </c>
      <c r="C182" s="93">
        <f>SUM(C180:C181)</f>
        <v>0</v>
      </c>
      <c r="D182" s="92"/>
    </row>
    <row r="183" spans="1:8" ht="27" customHeight="1" x14ac:dyDescent="0.5">
      <c r="A183" s="1480" t="s">
        <v>521</v>
      </c>
      <c r="B183" s="1480"/>
      <c r="C183" s="1480"/>
      <c r="D183" s="1480"/>
      <c r="E183" s="1480"/>
      <c r="F183" s="1480"/>
      <c r="G183" s="1480"/>
      <c r="H183" s="1480"/>
    </row>
    <row r="184" spans="1:8" ht="14.25" customHeight="1" x14ac:dyDescent="0.25">
      <c r="B184" t="s">
        <v>680</v>
      </c>
      <c r="C184" s="93">
        <f>'Page variable'!D40</f>
        <v>0</v>
      </c>
    </row>
    <row r="185" spans="1:8" ht="14.25" customHeight="1" x14ac:dyDescent="0.25">
      <c r="B185" t="s">
        <v>673</v>
      </c>
      <c r="C185" s="93">
        <f>'Page variable'!D41</f>
        <v>1</v>
      </c>
    </row>
    <row r="186" spans="1:8" ht="14.25" customHeight="1" x14ac:dyDescent="0.25">
      <c r="B186" t="s">
        <v>699</v>
      </c>
      <c r="C186" s="93">
        <f>'Page variable'!D42</f>
        <v>0</v>
      </c>
    </row>
    <row r="187" spans="1:8" ht="14.25" customHeight="1" x14ac:dyDescent="0.25">
      <c r="B187" t="s">
        <v>700</v>
      </c>
      <c r="C187" s="1439">
        <f>'Page variable'!D43</f>
        <v>0</v>
      </c>
    </row>
    <row r="188" spans="1:8" ht="14.25" customHeight="1" x14ac:dyDescent="0.25">
      <c r="B188" t="s">
        <v>691</v>
      </c>
      <c r="C188" s="1439">
        <f>SUM(C185:C187)</f>
        <v>1</v>
      </c>
    </row>
    <row r="189" spans="1:8" ht="23.25" customHeight="1" x14ac:dyDescent="0.5">
      <c r="A189" s="1480" t="s">
        <v>684</v>
      </c>
      <c r="B189" s="1480"/>
      <c r="C189" s="1480"/>
      <c r="D189" s="1480"/>
      <c r="E189" s="1480"/>
      <c r="F189" s="1480"/>
      <c r="G189" s="1480"/>
      <c r="H189" s="1480"/>
    </row>
    <row r="190" spans="1:8" ht="14.25" customHeight="1" x14ac:dyDescent="0.25">
      <c r="B190" t="s">
        <v>685</v>
      </c>
      <c r="C190" s="1436">
        <f>C180+C185+C186+C187</f>
        <v>1</v>
      </c>
      <c r="D190"/>
      <c r="E190"/>
      <c r="F190"/>
    </row>
    <row r="191" spans="1:8" ht="14.25" customHeight="1" x14ac:dyDescent="0.25"/>
    <row r="192" spans="1:8" ht="13" x14ac:dyDescent="0.3">
      <c r="F192" s="459"/>
    </row>
    <row r="193" spans="6:6" ht="15" customHeight="1" x14ac:dyDescent="0.3">
      <c r="F193" s="459"/>
    </row>
    <row r="194" spans="6:6" ht="13" x14ac:dyDescent="0.3">
      <c r="F194" s="459"/>
    </row>
    <row r="195" spans="6:6" ht="13" x14ac:dyDescent="0.3">
      <c r="F195" s="459"/>
    </row>
    <row r="196" spans="6:6" ht="13" x14ac:dyDescent="0.3">
      <c r="F196" s="459"/>
    </row>
    <row r="197" spans="6:6" ht="13" x14ac:dyDescent="0.3">
      <c r="F197" s="459"/>
    </row>
    <row r="198" spans="6:6" ht="13" x14ac:dyDescent="0.3">
      <c r="F198" s="459"/>
    </row>
    <row r="199" spans="6:6" x14ac:dyDescent="0.25">
      <c r="F199" s="33"/>
    </row>
    <row r="200" spans="6:6" x14ac:dyDescent="0.25">
      <c r="F200" s="33"/>
    </row>
    <row r="201" spans="6:6" ht="13" x14ac:dyDescent="0.3">
      <c r="F201" s="459"/>
    </row>
    <row r="202" spans="6:6" ht="13" x14ac:dyDescent="0.3">
      <c r="F202" s="459"/>
    </row>
    <row r="203" spans="6:6" ht="13" x14ac:dyDescent="0.3">
      <c r="F203" s="459"/>
    </row>
    <row r="204" spans="6:6" ht="13" x14ac:dyDescent="0.3">
      <c r="F204" s="459"/>
    </row>
    <row r="205" spans="6:6" ht="13" x14ac:dyDescent="0.3">
      <c r="F205" s="459"/>
    </row>
    <row r="206" spans="6:6" ht="13" x14ac:dyDescent="0.3">
      <c r="F206" s="459"/>
    </row>
    <row r="207" spans="6:6" ht="13" x14ac:dyDescent="0.3">
      <c r="F207" s="459"/>
    </row>
    <row r="208" spans="6:6" ht="13" x14ac:dyDescent="0.3">
      <c r="F208" s="459"/>
    </row>
    <row r="209" spans="3:6" ht="13" x14ac:dyDescent="0.3">
      <c r="F209" s="459"/>
    </row>
    <row r="210" spans="3:6" ht="13" x14ac:dyDescent="0.3">
      <c r="F210" s="459"/>
    </row>
    <row r="211" spans="3:6" ht="13" x14ac:dyDescent="0.3">
      <c r="F211" s="459"/>
    </row>
    <row r="212" spans="3:6" ht="13" x14ac:dyDescent="0.3">
      <c r="F212" s="459"/>
    </row>
    <row r="213" spans="3:6" ht="13" x14ac:dyDescent="0.3">
      <c r="F213" s="459"/>
    </row>
    <row r="214" spans="3:6" ht="13" x14ac:dyDescent="0.3">
      <c r="F214" s="459"/>
    </row>
    <row r="215" spans="3:6" ht="13" x14ac:dyDescent="0.3">
      <c r="F215" s="459"/>
    </row>
    <row r="216" spans="3:6" ht="13" x14ac:dyDescent="0.3">
      <c r="F216" s="459"/>
    </row>
    <row r="217" spans="3:6" ht="13" x14ac:dyDescent="0.3">
      <c r="F217" s="459"/>
    </row>
    <row r="218" spans="3:6" ht="13" x14ac:dyDescent="0.3">
      <c r="F218" s="459"/>
    </row>
    <row r="219" spans="3:6" x14ac:dyDescent="0.25">
      <c r="F219" s="264"/>
    </row>
    <row r="220" spans="3:6" x14ac:dyDescent="0.25">
      <c r="F220" s="264"/>
    </row>
    <row r="221" spans="3:6" x14ac:dyDescent="0.25">
      <c r="F221" s="264"/>
    </row>
    <row r="222" spans="3:6" x14ac:dyDescent="0.25">
      <c r="F222" s="264"/>
    </row>
    <row r="223" spans="3:6" x14ac:dyDescent="0.25">
      <c r="F223" s="264"/>
    </row>
    <row r="224" spans="3:6" x14ac:dyDescent="0.25">
      <c r="C224" s="92"/>
      <c r="D224" s="33"/>
      <c r="E224" s="33"/>
      <c r="F224" s="33"/>
    </row>
    <row r="225" ht="25.5" customHeight="1" x14ac:dyDescent="0.25"/>
    <row r="226" ht="17.399999999999999" customHeight="1" x14ac:dyDescent="0.25"/>
    <row r="238" ht="16.5" customHeight="1" x14ac:dyDescent="0.25"/>
    <row r="239" ht="15" customHeight="1" x14ac:dyDescent="0.25"/>
    <row r="243" spans="6:6" x14ac:dyDescent="0.25">
      <c r="F243"/>
    </row>
  </sheetData>
  <mergeCells count="26">
    <mergeCell ref="A99:H99"/>
    <mergeCell ref="A89:H89"/>
    <mergeCell ref="D90:D91"/>
    <mergeCell ref="B3:H3"/>
    <mergeCell ref="A4:H4"/>
    <mergeCell ref="A6:H6"/>
    <mergeCell ref="B12:F12"/>
    <mergeCell ref="E90:E91"/>
    <mergeCell ref="B14:D14"/>
    <mergeCell ref="A46:H46"/>
    <mergeCell ref="D69:E69"/>
    <mergeCell ref="E38:E39"/>
    <mergeCell ref="A68:H68"/>
    <mergeCell ref="D34:E34"/>
    <mergeCell ref="G69:H69"/>
    <mergeCell ref="A189:H189"/>
    <mergeCell ref="A179:H179"/>
    <mergeCell ref="A183:H183"/>
    <mergeCell ref="A164:H164"/>
    <mergeCell ref="A114:H114"/>
    <mergeCell ref="A146:A153"/>
    <mergeCell ref="A127:H127"/>
    <mergeCell ref="A128:B128"/>
    <mergeCell ref="A155:H155"/>
    <mergeCell ref="A135:A142"/>
    <mergeCell ref="A129:C129"/>
  </mergeCells>
  <phoneticPr fontId="0" type="noConversion"/>
  <dataValidations count="2">
    <dataValidation type="custom" showErrorMessage="1" errorTitle="Falsche Bruttofläche" error="Die Bruttofläche entspricht nicht 10000 m2" sqref="B19">
      <formula1>B18*B19=10000</formula1>
    </dataValidation>
    <dataValidation type="whole" operator="notEqual" showErrorMessage="1" errorTitle="Falsche Länge" error="Es muss eine Länge eingetragen sein" sqref="E10 B18">
      <formula1>0</formula1>
    </dataValidation>
  </dataValidations>
  <printOptions gridLines="1" gridLinesSet="0"/>
  <pageMargins left="0.59055118110236227" right="0.39370078740157483" top="0.59055118110236227" bottom="0.59055118110236227" header="0.51181102362204722" footer="0.51181102362204722"/>
  <pageSetup paperSize="9" scale="55" orientation="portrait" horizontalDpi="4294967292" verticalDpi="464" r:id="rId1"/>
  <headerFooter alignWithMargins="0">
    <oddFooter>&amp;LArbokost 2004&amp;RMatthias Zürcher, Agroscope FAW Wädenswil</oddFooter>
  </headerFooter>
  <rowBreaks count="2" manualBreakCount="2">
    <brk id="87" max="16383" man="1"/>
    <brk id="126" max="16383"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indexed="50"/>
  </sheetPr>
  <dimension ref="A1:L96"/>
  <sheetViews>
    <sheetView workbookViewId="0">
      <selection activeCell="A7" sqref="A7"/>
    </sheetView>
  </sheetViews>
  <sheetFormatPr baseColWidth="10" defaultRowHeight="12.5" x14ac:dyDescent="0.25"/>
  <cols>
    <col min="1" max="1" width="46" customWidth="1"/>
    <col min="2" max="2" width="34.08984375" customWidth="1"/>
    <col min="3" max="3" width="13.08984375" customWidth="1"/>
    <col min="4" max="4" width="12" customWidth="1"/>
    <col min="5" max="5" width="14.26953125" customWidth="1"/>
  </cols>
  <sheetData>
    <row r="1" spans="1:12" ht="25" x14ac:dyDescent="0.5">
      <c r="A1" s="1441" t="str">
        <f>'Page variable'!A1</f>
        <v>Arbokost 2023</v>
      </c>
      <c r="B1" s="1127"/>
      <c r="C1" s="1146"/>
      <c r="D1" s="767"/>
      <c r="E1" s="765"/>
      <c r="F1" s="769"/>
      <c r="G1" s="765"/>
      <c r="H1" s="18"/>
      <c r="I1" s="1"/>
      <c r="J1" s="18"/>
      <c r="K1" s="18"/>
      <c r="L1" s="18"/>
    </row>
    <row r="2" spans="1:12" ht="20" x14ac:dyDescent="0.4">
      <c r="A2" s="1132" t="str">
        <f>'Variante données'!A2</f>
        <v>Variante 1 ha</v>
      </c>
      <c r="B2" s="1128"/>
      <c r="C2" s="1146"/>
      <c r="D2" s="765"/>
      <c r="E2" s="765"/>
      <c r="F2" s="765"/>
      <c r="G2" s="1129"/>
      <c r="H2" s="18"/>
      <c r="I2" s="1"/>
      <c r="J2" s="18"/>
      <c r="K2" s="18"/>
      <c r="L2" s="18"/>
    </row>
    <row r="3" spans="1:12" ht="45.75" customHeight="1" x14ac:dyDescent="0.25">
      <c r="A3" s="805" t="s">
        <v>539</v>
      </c>
      <c r="B3" s="1483" t="s">
        <v>490</v>
      </c>
      <c r="C3" s="1483"/>
      <c r="D3" s="1483"/>
      <c r="E3" s="1483"/>
      <c r="F3" s="1483"/>
      <c r="G3" s="1483"/>
      <c r="H3" s="1483"/>
      <c r="I3" s="13"/>
      <c r="J3" s="13"/>
      <c r="K3" s="13"/>
      <c r="L3" s="13"/>
    </row>
    <row r="4" spans="1:12" ht="20" x14ac:dyDescent="0.3">
      <c r="A4" s="1133" t="s">
        <v>540</v>
      </c>
      <c r="B4" s="519"/>
      <c r="C4" s="1147"/>
      <c r="D4" s="1134" t="s">
        <v>522</v>
      </c>
      <c r="E4" s="1134"/>
      <c r="F4" s="519"/>
      <c r="G4" s="519"/>
      <c r="H4" s="13"/>
      <c r="I4" s="13"/>
      <c r="J4" s="13"/>
      <c r="K4" s="13"/>
      <c r="L4" s="13"/>
    </row>
    <row r="5" spans="1:12" ht="25" x14ac:dyDescent="0.5">
      <c r="A5" s="1130"/>
      <c r="B5" s="1131"/>
      <c r="C5" s="1148"/>
      <c r="D5" s="70"/>
      <c r="E5" s="1113"/>
      <c r="F5" s="70"/>
      <c r="G5" s="1114" t="s">
        <v>523</v>
      </c>
      <c r="H5" s="13"/>
      <c r="I5" s="13"/>
      <c r="J5" s="13"/>
      <c r="K5" s="13"/>
      <c r="L5" s="13"/>
    </row>
    <row r="6" spans="1:12" ht="25" x14ac:dyDescent="0.5">
      <c r="A6" s="1495" t="s">
        <v>546</v>
      </c>
      <c r="B6" s="1495"/>
      <c r="C6" s="1495"/>
      <c r="D6" s="1495"/>
      <c r="E6" s="1495"/>
      <c r="F6" s="1495"/>
      <c r="G6" s="1495"/>
      <c r="H6" s="1495"/>
    </row>
    <row r="7" spans="1:12" s="1450" customFormat="1" ht="13" x14ac:dyDescent="0.3">
      <c r="A7" s="1451" t="s">
        <v>715</v>
      </c>
      <c r="B7" s="1452"/>
      <c r="C7" s="1453">
        <v>0.18</v>
      </c>
      <c r="D7" s="1449"/>
      <c r="E7" s="1449"/>
      <c r="F7" s="1449"/>
      <c r="G7" s="1449"/>
      <c r="H7" s="1449"/>
    </row>
    <row r="8" spans="1:12" ht="25" x14ac:dyDescent="0.5">
      <c r="A8" s="312" t="s">
        <v>155</v>
      </c>
      <c r="B8" s="794"/>
      <c r="C8" s="795" t="s">
        <v>244</v>
      </c>
      <c r="D8" s="795" t="s">
        <v>282</v>
      </c>
      <c r="E8" s="796" t="s">
        <v>652</v>
      </c>
      <c r="F8" s="41"/>
    </row>
    <row r="9" spans="1:12" ht="25" x14ac:dyDescent="0.5">
      <c r="A9" s="794"/>
      <c r="B9" s="18"/>
      <c r="C9" s="566"/>
      <c r="D9" s="566"/>
      <c r="E9" s="567"/>
      <c r="F9" s="41"/>
    </row>
    <row r="10" spans="1:12" x14ac:dyDescent="0.25">
      <c r="A10" s="13"/>
      <c r="B10" s="13"/>
      <c r="C10" s="94"/>
      <c r="D10" s="41"/>
      <c r="E10" s="41"/>
      <c r="F10" s="33"/>
    </row>
    <row r="11" spans="1:12" ht="13" x14ac:dyDescent="0.3">
      <c r="A11" s="38" t="s">
        <v>283</v>
      </c>
      <c r="B11" s="18" t="s">
        <v>287</v>
      </c>
      <c r="C11" s="568">
        <f>'Variante données'!B24</f>
        <v>2000</v>
      </c>
      <c r="D11" s="551">
        <f>1.35*(1+C7)</f>
        <v>1.593</v>
      </c>
      <c r="E11" s="213">
        <f>C11*D11</f>
        <v>3186</v>
      </c>
      <c r="F11" s="459"/>
    </row>
    <row r="12" spans="1:12" ht="13" x14ac:dyDescent="0.3">
      <c r="A12" s="38"/>
      <c r="B12" s="18" t="s">
        <v>288</v>
      </c>
      <c r="C12" s="569">
        <v>2070</v>
      </c>
      <c r="D12" s="551">
        <f>0.16*(1+C7)</f>
        <v>0.1888</v>
      </c>
      <c r="E12" s="213">
        <f>C12*D12</f>
        <v>390.81599999999997</v>
      </c>
      <c r="F12" s="459"/>
    </row>
    <row r="13" spans="1:12" ht="13" x14ac:dyDescent="0.3">
      <c r="A13" s="38"/>
      <c r="B13" s="18" t="s">
        <v>289</v>
      </c>
      <c r="C13" s="570">
        <v>4.9090909090909092</v>
      </c>
      <c r="D13" s="551">
        <f>5.5*(1+C7)</f>
        <v>6.4899999999999993</v>
      </c>
      <c r="E13" s="213">
        <f>C13*D13</f>
        <v>31.859999999999996</v>
      </c>
      <c r="F13" s="459"/>
    </row>
    <row r="14" spans="1:12" ht="13" x14ac:dyDescent="0.3">
      <c r="A14" s="38"/>
      <c r="B14" s="18" t="s">
        <v>290</v>
      </c>
      <c r="C14" s="568">
        <f>'Variante données'!B10</f>
        <v>2000</v>
      </c>
      <c r="D14" s="551">
        <f>0.2*(1+C7)</f>
        <v>0.23599999999999999</v>
      </c>
      <c r="E14" s="213">
        <f>C14*D14</f>
        <v>472</v>
      </c>
      <c r="F14" s="459"/>
    </row>
    <row r="15" spans="1:12" ht="13" x14ac:dyDescent="0.3">
      <c r="A15" s="38"/>
      <c r="B15" s="18"/>
      <c r="C15" s="128"/>
      <c r="D15" s="42"/>
      <c r="E15" s="41"/>
      <c r="F15" s="459"/>
    </row>
    <row r="16" spans="1:12" ht="13" x14ac:dyDescent="0.3">
      <c r="A16" s="84" t="s">
        <v>284</v>
      </c>
      <c r="B16" s="54" t="s">
        <v>466</v>
      </c>
      <c r="C16" s="568">
        <v>9800</v>
      </c>
      <c r="D16" s="571">
        <f>0.58*(1+C7)</f>
        <v>0.6843999999999999</v>
      </c>
      <c r="E16" s="213">
        <f t="shared" ref="E16:E25" si="0">C16*D16</f>
        <v>6707.119999999999</v>
      </c>
      <c r="F16" s="459"/>
    </row>
    <row r="17" spans="1:6" ht="13" x14ac:dyDescent="0.3">
      <c r="A17" s="84"/>
      <c r="B17" s="54" t="s">
        <v>291</v>
      </c>
      <c r="C17" s="568">
        <v>803.30578512396698</v>
      </c>
      <c r="D17" s="571">
        <f>0.28*(1+C7)</f>
        <v>0.33040000000000003</v>
      </c>
      <c r="E17" s="213">
        <f t="shared" si="0"/>
        <v>265.41223140495873</v>
      </c>
      <c r="F17" s="459"/>
    </row>
    <row r="18" spans="1:6" ht="13" x14ac:dyDescent="0.3">
      <c r="A18" s="84"/>
      <c r="B18" s="54" t="s">
        <v>292</v>
      </c>
      <c r="C18" s="568">
        <v>1431.818181818182</v>
      </c>
      <c r="D18" s="571">
        <f>0.83*(1+C7)</f>
        <v>0.97939999999999994</v>
      </c>
      <c r="E18" s="213">
        <f t="shared" si="0"/>
        <v>1402.3227272727274</v>
      </c>
      <c r="F18" s="459"/>
    </row>
    <row r="19" spans="1:6" ht="13" x14ac:dyDescent="0.3">
      <c r="A19" s="84"/>
      <c r="B19" s="54" t="s">
        <v>457</v>
      </c>
      <c r="C19" s="568">
        <v>100</v>
      </c>
      <c r="D19" s="571">
        <f>0.55*(1+C7)</f>
        <v>0.64900000000000002</v>
      </c>
      <c r="E19" s="213">
        <f t="shared" si="0"/>
        <v>64.900000000000006</v>
      </c>
      <c r="F19" s="459"/>
    </row>
    <row r="20" spans="1:6" ht="13" x14ac:dyDescent="0.3">
      <c r="A20" s="84"/>
      <c r="B20" s="54" t="s">
        <v>293</v>
      </c>
      <c r="C20" s="568">
        <v>165</v>
      </c>
      <c r="D20" s="571">
        <f>1.19*(1+C7)</f>
        <v>1.4041999999999999</v>
      </c>
      <c r="E20" s="213">
        <f t="shared" si="0"/>
        <v>231.69299999999998</v>
      </c>
      <c r="F20" s="459"/>
    </row>
    <row r="21" spans="1:6" ht="13" x14ac:dyDescent="0.3">
      <c r="A21" s="84"/>
      <c r="B21" s="54" t="s">
        <v>294</v>
      </c>
      <c r="C21" s="568">
        <v>253.63636363636365</v>
      </c>
      <c r="D21" s="571">
        <f>1.19*(1+C7)</f>
        <v>1.4041999999999999</v>
      </c>
      <c r="E21" s="213">
        <f t="shared" si="0"/>
        <v>356.15618181818184</v>
      </c>
      <c r="F21" s="459"/>
    </row>
    <row r="22" spans="1:6" ht="13" x14ac:dyDescent="0.3">
      <c r="A22" s="84"/>
      <c r="B22" s="54" t="s">
        <v>498</v>
      </c>
      <c r="C22" s="568">
        <v>810</v>
      </c>
      <c r="D22" s="571">
        <f>0.7*(1+C7)</f>
        <v>0.82599999999999996</v>
      </c>
      <c r="E22" s="213">
        <f t="shared" si="0"/>
        <v>669.06</v>
      </c>
      <c r="F22" s="459"/>
    </row>
    <row r="23" spans="1:6" ht="13" x14ac:dyDescent="0.3">
      <c r="A23" s="84"/>
      <c r="B23" s="54" t="s">
        <v>295</v>
      </c>
      <c r="C23" s="568">
        <v>2536.3636363636365</v>
      </c>
      <c r="D23" s="571">
        <f>0.3*(1+C7)</f>
        <v>0.35399999999999998</v>
      </c>
      <c r="E23" s="213">
        <f t="shared" si="0"/>
        <v>897.87272727272727</v>
      </c>
      <c r="F23" s="459"/>
    </row>
    <row r="24" spans="1:6" ht="13" x14ac:dyDescent="0.3">
      <c r="A24" s="84"/>
      <c r="B24" s="54" t="s">
        <v>296</v>
      </c>
      <c r="C24" s="568">
        <v>2781.818181818182</v>
      </c>
      <c r="D24" s="571">
        <f>0.1*(1+C7)</f>
        <v>0.11799999999999999</v>
      </c>
      <c r="E24" s="213">
        <f t="shared" si="0"/>
        <v>328.25454545454545</v>
      </c>
      <c r="F24" s="459"/>
    </row>
    <row r="25" spans="1:6" ht="13" x14ac:dyDescent="0.3">
      <c r="A25" s="84"/>
      <c r="B25" s="54" t="s">
        <v>297</v>
      </c>
      <c r="C25" s="568">
        <v>26</v>
      </c>
      <c r="D25" s="571">
        <f>9.15*(1+C7)</f>
        <v>10.797000000000001</v>
      </c>
      <c r="E25" s="213">
        <f t="shared" si="0"/>
        <v>280.72200000000004</v>
      </c>
      <c r="F25" s="459"/>
    </row>
    <row r="26" spans="1:6" ht="13" x14ac:dyDescent="0.3">
      <c r="A26" s="84"/>
      <c r="B26" s="18" t="s">
        <v>298</v>
      </c>
      <c r="C26" s="450"/>
      <c r="D26" s="724"/>
      <c r="E26" s="904">
        <v>550</v>
      </c>
      <c r="F26" s="459"/>
    </row>
    <row r="27" spans="1:6" ht="13" x14ac:dyDescent="0.3">
      <c r="A27" s="84"/>
      <c r="B27" s="68"/>
      <c r="C27" s="450"/>
      <c r="D27" s="724"/>
      <c r="E27" s="213"/>
      <c r="F27" s="33"/>
    </row>
    <row r="28" spans="1:6" ht="13" x14ac:dyDescent="0.3">
      <c r="A28" s="84" t="s">
        <v>285</v>
      </c>
      <c r="B28" s="68" t="s">
        <v>299</v>
      </c>
      <c r="C28" s="568">
        <v>196.36363636363637</v>
      </c>
      <c r="D28" s="571">
        <f>18.5*(1+C7)</f>
        <v>21.83</v>
      </c>
      <c r="E28" s="213">
        <f>C28*D28</f>
        <v>4286.6181818181813</v>
      </c>
      <c r="F28" s="459"/>
    </row>
    <row r="29" spans="1:6" ht="13" x14ac:dyDescent="0.3">
      <c r="A29" s="84"/>
      <c r="B29" s="68" t="s">
        <v>300</v>
      </c>
      <c r="C29" s="568">
        <v>36</v>
      </c>
      <c r="D29" s="571">
        <f>27*(1+C7)</f>
        <v>31.86</v>
      </c>
      <c r="E29" s="213">
        <f>C29*D29</f>
        <v>1146.96</v>
      </c>
      <c r="F29" s="459"/>
    </row>
    <row r="30" spans="1:6" ht="13" x14ac:dyDescent="0.3">
      <c r="A30" s="84"/>
      <c r="B30" s="68" t="s">
        <v>301</v>
      </c>
      <c r="C30" s="568">
        <v>4</v>
      </c>
      <c r="D30" s="571">
        <f>58.95*(1+C7)</f>
        <v>69.560999999999993</v>
      </c>
      <c r="E30" s="213">
        <f>C30*D30</f>
        <v>278.24399999999997</v>
      </c>
      <c r="F30" s="459"/>
    </row>
    <row r="31" spans="1:6" ht="13" x14ac:dyDescent="0.3">
      <c r="A31" s="84"/>
      <c r="B31" s="68" t="s">
        <v>302</v>
      </c>
      <c r="C31" s="568">
        <v>58.909090909090914</v>
      </c>
      <c r="D31" s="571">
        <f>20.15*(1+C7)</f>
        <v>23.776999999999997</v>
      </c>
      <c r="E31" s="213">
        <f>C31*D31</f>
        <v>1400.6814545454545</v>
      </c>
      <c r="F31" s="459"/>
    </row>
    <row r="32" spans="1:6" ht="13.5" thickBot="1" x14ac:dyDescent="0.35">
      <c r="A32" s="84"/>
      <c r="B32" s="54" t="s">
        <v>303</v>
      </c>
      <c r="C32" s="568">
        <v>55.63636363636364</v>
      </c>
      <c r="D32" s="571">
        <f>1*(1+C7)</f>
        <v>1.18</v>
      </c>
      <c r="E32" s="672">
        <f>C32*D32</f>
        <v>65.650909090909096</v>
      </c>
      <c r="F32" s="459"/>
    </row>
    <row r="33" spans="1:6" ht="13" x14ac:dyDescent="0.3">
      <c r="A33" s="38"/>
      <c r="B33" s="13"/>
      <c r="C33" s="268"/>
      <c r="D33" s="42"/>
      <c r="E33" s="289">
        <f>SUM(E16:E32)</f>
        <v>18931.667958677681</v>
      </c>
      <c r="F33" s="459"/>
    </row>
    <row r="34" spans="1:6" ht="13" x14ac:dyDescent="0.3">
      <c r="A34" s="38"/>
      <c r="B34" s="13"/>
      <c r="C34" s="453"/>
      <c r="D34" s="42"/>
      <c r="E34" s="215"/>
      <c r="F34" s="33"/>
    </row>
    <row r="35" spans="1:6" ht="13" x14ac:dyDescent="0.3">
      <c r="A35" s="38" t="s">
        <v>275</v>
      </c>
      <c r="B35" s="18" t="s">
        <v>304</v>
      </c>
      <c r="C35" s="570">
        <v>40</v>
      </c>
      <c r="D35" s="551">
        <v>7.2</v>
      </c>
      <c r="E35" s="41"/>
      <c r="F35" s="459"/>
    </row>
    <row r="36" spans="1:6" ht="13" x14ac:dyDescent="0.3">
      <c r="A36" s="38"/>
      <c r="B36" s="18" t="s">
        <v>305</v>
      </c>
      <c r="C36" s="268"/>
      <c r="D36" s="41"/>
      <c r="E36" s="551">
        <v>125</v>
      </c>
      <c r="F36" s="459"/>
    </row>
    <row r="37" spans="1:6" ht="13" x14ac:dyDescent="0.3">
      <c r="A37" s="18"/>
      <c r="B37" s="18" t="s">
        <v>306</v>
      </c>
      <c r="C37" s="268"/>
      <c r="D37" s="41"/>
      <c r="E37" s="551">
        <v>500</v>
      </c>
      <c r="F37" s="459"/>
    </row>
    <row r="38" spans="1:6" ht="13" x14ac:dyDescent="0.3">
      <c r="A38" s="18"/>
      <c r="B38" s="18"/>
      <c r="C38" s="268"/>
      <c r="D38" s="41"/>
      <c r="E38" s="42"/>
      <c r="F38" s="459"/>
    </row>
    <row r="39" spans="1:6" ht="27" customHeight="1" x14ac:dyDescent="0.3">
      <c r="A39" s="281" t="s">
        <v>286</v>
      </c>
      <c r="B39" s="68" t="s">
        <v>307</v>
      </c>
      <c r="C39" s="1136">
        <v>45</v>
      </c>
      <c r="D39" s="213">
        <f>'Variante données'!D132</f>
        <v>41</v>
      </c>
      <c r="E39" s="213">
        <f>C39*D39</f>
        <v>1845</v>
      </c>
      <c r="F39" s="459"/>
    </row>
    <row r="40" spans="1:6" ht="13" x14ac:dyDescent="0.3">
      <c r="A40" s="84"/>
      <c r="B40" s="68" t="s">
        <v>263</v>
      </c>
      <c r="C40" s="1136">
        <v>12.272727272727273</v>
      </c>
      <c r="D40" s="213">
        <f>'Variante données'!D151</f>
        <v>150</v>
      </c>
      <c r="E40" s="213">
        <f>C40*D40</f>
        <v>1840.909090909091</v>
      </c>
      <c r="F40" s="459"/>
    </row>
    <row r="41" spans="1:6" ht="13" x14ac:dyDescent="0.3">
      <c r="A41" s="84"/>
      <c r="B41" s="144" t="s">
        <v>262</v>
      </c>
      <c r="C41" s="1136">
        <v>16.363636363636363</v>
      </c>
      <c r="D41" s="213">
        <f>'Variante données'!D150</f>
        <v>22.8</v>
      </c>
      <c r="E41" s="213">
        <f>C41*D41</f>
        <v>373.09090909090912</v>
      </c>
      <c r="F41" s="459"/>
    </row>
    <row r="42" spans="1:6" ht="13.5" thickBot="1" x14ac:dyDescent="0.35">
      <c r="A42" s="84"/>
      <c r="B42" s="68" t="s">
        <v>308</v>
      </c>
      <c r="C42" s="1136">
        <v>16.363636363636363</v>
      </c>
      <c r="D42" s="213">
        <f>'Variante données'!D152</f>
        <v>19.100000000000001</v>
      </c>
      <c r="E42" s="672">
        <f>C42*D42</f>
        <v>312.54545454545456</v>
      </c>
      <c r="F42" s="459"/>
    </row>
    <row r="43" spans="1:6" ht="13" x14ac:dyDescent="0.3">
      <c r="A43" s="18"/>
      <c r="B43" s="18"/>
      <c r="C43" s="268"/>
      <c r="D43" s="41"/>
      <c r="E43" s="289">
        <f>SUM(E39:E42)</f>
        <v>4371.545454545455</v>
      </c>
      <c r="F43" s="459"/>
    </row>
    <row r="44" spans="1:6" ht="23" x14ac:dyDescent="0.5">
      <c r="A44" s="523" t="s">
        <v>164</v>
      </c>
      <c r="B44" s="524"/>
      <c r="C44" s="575"/>
      <c r="D44" s="525"/>
      <c r="E44" s="525"/>
    </row>
    <row r="45" spans="1:6" ht="13" x14ac:dyDescent="0.3">
      <c r="A45" s="18"/>
      <c r="B45" s="13"/>
      <c r="C45" s="798" t="s">
        <v>309</v>
      </c>
      <c r="D45" s="285" t="s">
        <v>52</v>
      </c>
      <c r="E45" s="77" t="s">
        <v>59</v>
      </c>
    </row>
    <row r="46" spans="1:6" ht="13" x14ac:dyDescent="0.3">
      <c r="A46" s="38" t="s">
        <v>310</v>
      </c>
      <c r="B46" s="18" t="s">
        <v>305</v>
      </c>
      <c r="C46" s="561">
        <v>1</v>
      </c>
      <c r="D46" s="41"/>
      <c r="E46" s="33"/>
    </row>
    <row r="47" spans="1:6" x14ac:dyDescent="0.25">
      <c r="A47" s="13"/>
      <c r="B47" s="18" t="s">
        <v>314</v>
      </c>
      <c r="C47" s="561">
        <v>7.5</v>
      </c>
      <c r="D47" s="41"/>
      <c r="E47" s="33"/>
    </row>
    <row r="48" spans="1:6" x14ac:dyDescent="0.25">
      <c r="A48" s="13"/>
      <c r="B48" s="18" t="s">
        <v>315</v>
      </c>
      <c r="C48" s="561">
        <v>61.363636363636367</v>
      </c>
      <c r="D48" s="41"/>
      <c r="E48" s="33"/>
    </row>
    <row r="49" spans="1:5" x14ac:dyDescent="0.25">
      <c r="A49" s="13"/>
      <c r="B49" s="18" t="s">
        <v>316</v>
      </c>
      <c r="C49" s="561">
        <v>8.1818181818181817</v>
      </c>
      <c r="D49" s="41"/>
      <c r="E49" s="33"/>
    </row>
    <row r="50" spans="1:5" x14ac:dyDescent="0.25">
      <c r="A50" s="13"/>
      <c r="B50" s="18" t="s">
        <v>285</v>
      </c>
      <c r="C50" s="561">
        <v>57.272727272727273</v>
      </c>
      <c r="D50" s="41"/>
      <c r="E50" s="33"/>
    </row>
    <row r="51" spans="1:5" x14ac:dyDescent="0.25">
      <c r="A51" s="13"/>
      <c r="B51" s="18"/>
      <c r="C51" s="37"/>
      <c r="D51" s="41"/>
      <c r="E51" s="33"/>
    </row>
    <row r="52" spans="1:5" ht="13" x14ac:dyDescent="0.3">
      <c r="A52" s="69" t="s">
        <v>472</v>
      </c>
      <c r="B52" s="18"/>
      <c r="C52" s="37"/>
      <c r="D52" s="41"/>
      <c r="E52" s="41"/>
    </row>
    <row r="53" spans="1:5" x14ac:dyDescent="0.25">
      <c r="B53" s="144" t="s">
        <v>317</v>
      </c>
      <c r="C53" s="673">
        <v>12.272727272727273</v>
      </c>
      <c r="D53" s="213">
        <f>'Variante données'!$C$36</f>
        <v>29.5</v>
      </c>
      <c r="E53" s="213">
        <f>C53*D53</f>
        <v>362.04545454545456</v>
      </c>
    </row>
    <row r="54" spans="1:5" x14ac:dyDescent="0.25">
      <c r="A54" s="68"/>
      <c r="B54" s="144" t="s">
        <v>318</v>
      </c>
      <c r="C54" s="673">
        <v>81.818181818181827</v>
      </c>
      <c r="D54" s="213">
        <f>'Variante données'!$C$36</f>
        <v>29.5</v>
      </c>
      <c r="E54" s="213">
        <f>C54*D54</f>
        <v>2413.636363636364</v>
      </c>
    </row>
    <row r="55" spans="1:5" x14ac:dyDescent="0.25">
      <c r="A55" s="68"/>
      <c r="B55" s="144" t="s">
        <v>319</v>
      </c>
      <c r="C55" s="673">
        <v>143.18181818181819</v>
      </c>
      <c r="D55" s="213">
        <f>'Variante données'!$C$36</f>
        <v>29.5</v>
      </c>
      <c r="E55" s="213">
        <f>C55*D55</f>
        <v>4223.8636363636369</v>
      </c>
    </row>
    <row r="56" spans="1:5" ht="13" thickBot="1" x14ac:dyDescent="0.3">
      <c r="A56" s="68"/>
      <c r="B56" s="144" t="s">
        <v>320</v>
      </c>
      <c r="C56" s="360">
        <f>SUM(C53:C55) * 0.1</f>
        <v>23.72727272727273</v>
      </c>
      <c r="D56" s="213">
        <f>'Variante données'!$C$36</f>
        <v>29.5</v>
      </c>
      <c r="E56" s="672">
        <f>C56*D56</f>
        <v>699.9545454545455</v>
      </c>
    </row>
    <row r="57" spans="1:5" ht="13" x14ac:dyDescent="0.3">
      <c r="A57" s="13"/>
      <c r="B57" s="18"/>
      <c r="C57" s="37"/>
      <c r="D57" s="41"/>
      <c r="E57" s="289">
        <f>SUM(E53:E56)</f>
        <v>7699.5000000000018</v>
      </c>
    </row>
    <row r="58" spans="1:5" x14ac:dyDescent="0.25">
      <c r="A58" s="13"/>
      <c r="B58" s="13"/>
      <c r="C58" s="94"/>
      <c r="D58" s="41"/>
      <c r="E58" s="41"/>
    </row>
    <row r="59" spans="1:5" ht="13" x14ac:dyDescent="0.3">
      <c r="A59" s="69" t="s">
        <v>311</v>
      </c>
      <c r="B59" s="13"/>
      <c r="C59" s="94"/>
      <c r="D59" s="41"/>
      <c r="E59" s="41"/>
    </row>
    <row r="60" spans="1:5" x14ac:dyDescent="0.25">
      <c r="A60" s="13"/>
      <c r="B60" s="13" t="s">
        <v>321</v>
      </c>
      <c r="C60" s="577">
        <v>45</v>
      </c>
      <c r="D60" s="551">
        <v>14</v>
      </c>
      <c r="E60" s="213">
        <f>C60*D60</f>
        <v>630</v>
      </c>
    </row>
    <row r="61" spans="1:5" x14ac:dyDescent="0.25">
      <c r="A61" s="13"/>
      <c r="B61" s="13" t="s">
        <v>322</v>
      </c>
      <c r="C61" s="577">
        <v>275</v>
      </c>
      <c r="D61" s="551">
        <v>10</v>
      </c>
      <c r="E61" s="213">
        <f>C61*D61</f>
        <v>2750</v>
      </c>
    </row>
    <row r="62" spans="1:5" ht="13" thickBot="1" x14ac:dyDescent="0.3">
      <c r="A62" s="13"/>
      <c r="B62" s="13" t="s">
        <v>323</v>
      </c>
      <c r="C62" s="577">
        <v>45</v>
      </c>
      <c r="D62" s="551">
        <v>5.2</v>
      </c>
      <c r="E62" s="672">
        <f>C62*D62</f>
        <v>234</v>
      </c>
    </row>
    <row r="63" spans="1:5" ht="13" x14ac:dyDescent="0.3">
      <c r="A63" s="13"/>
      <c r="B63" s="13"/>
      <c r="C63" s="94"/>
      <c r="D63" s="41"/>
      <c r="E63" s="289">
        <f>SUM(E60:E62)</f>
        <v>3614</v>
      </c>
    </row>
    <row r="64" spans="1:5" ht="13" x14ac:dyDescent="0.3">
      <c r="A64" s="69" t="s">
        <v>312</v>
      </c>
      <c r="B64" s="18"/>
      <c r="C64" s="94"/>
      <c r="D64" s="41"/>
      <c r="E64" s="613"/>
    </row>
    <row r="65" spans="1:5" x14ac:dyDescent="0.25">
      <c r="A65" s="13"/>
      <c r="B65" s="18" t="s">
        <v>317</v>
      </c>
      <c r="C65" s="673">
        <v>7.5</v>
      </c>
      <c r="D65" s="213">
        <f>'Variante données'!$C$36</f>
        <v>29.5</v>
      </c>
      <c r="E65" s="213">
        <f>C65*D65</f>
        <v>221.25</v>
      </c>
    </row>
    <row r="66" spans="1:5" x14ac:dyDescent="0.25">
      <c r="A66" s="13"/>
      <c r="B66" s="18" t="s">
        <v>324</v>
      </c>
      <c r="C66" s="673">
        <v>35</v>
      </c>
      <c r="D66" s="213">
        <f>'Variante données'!$C$36</f>
        <v>29.5</v>
      </c>
      <c r="E66" s="213">
        <f>C66*D66</f>
        <v>1032.5</v>
      </c>
    </row>
    <row r="67" spans="1:5" x14ac:dyDescent="0.25">
      <c r="A67" s="13"/>
      <c r="B67" s="13" t="s">
        <v>325</v>
      </c>
      <c r="C67" s="673">
        <v>8</v>
      </c>
      <c r="D67" s="213">
        <f>'Variante données'!D132</f>
        <v>41</v>
      </c>
      <c r="E67" s="213">
        <f>C67*D67</f>
        <v>328</v>
      </c>
    </row>
    <row r="68" spans="1:5" ht="13" thickBot="1" x14ac:dyDescent="0.3">
      <c r="A68" s="13"/>
      <c r="B68" s="18" t="s">
        <v>326</v>
      </c>
      <c r="C68" s="673">
        <v>8</v>
      </c>
      <c r="D68" s="213">
        <f>'Variante données'!D149</f>
        <v>13.9</v>
      </c>
      <c r="E68" s="672">
        <f>C68*D68</f>
        <v>111.2</v>
      </c>
    </row>
    <row r="69" spans="1:5" ht="13" x14ac:dyDescent="0.3">
      <c r="A69" s="13"/>
      <c r="B69" s="18"/>
      <c r="C69" s="360"/>
      <c r="D69" s="213"/>
      <c r="E69" s="289">
        <f>SUM(E65:E68)</f>
        <v>1692.95</v>
      </c>
    </row>
    <row r="70" spans="1:5" ht="13" x14ac:dyDescent="0.3">
      <c r="A70" s="13"/>
      <c r="B70" s="18"/>
      <c r="C70" s="94"/>
      <c r="D70" s="41"/>
      <c r="E70" s="613"/>
    </row>
    <row r="71" spans="1:5" ht="15.5" x14ac:dyDescent="0.35">
      <c r="A71" s="152"/>
      <c r="B71" s="144" t="s">
        <v>327</v>
      </c>
      <c r="C71" s="451"/>
      <c r="D71" s="215"/>
      <c r="E71" s="213">
        <f>'Variante grêle'!E33</f>
        <v>18931.667958677681</v>
      </c>
    </row>
    <row r="72" spans="1:5" x14ac:dyDescent="0.25">
      <c r="A72" s="13"/>
      <c r="B72" s="144" t="s">
        <v>163</v>
      </c>
      <c r="C72" s="454"/>
      <c r="D72" s="264"/>
      <c r="E72" s="139">
        <f>'Variante grêle'!E43</f>
        <v>4371.545454545455</v>
      </c>
    </row>
    <row r="73" spans="1:5" x14ac:dyDescent="0.25">
      <c r="A73" s="13"/>
      <c r="B73" s="144" t="s">
        <v>164</v>
      </c>
      <c r="C73" s="454"/>
      <c r="D73" s="264"/>
      <c r="E73" s="139">
        <f>E57</f>
        <v>7699.5000000000018</v>
      </c>
    </row>
    <row r="74" spans="1:5" ht="13" thickBot="1" x14ac:dyDescent="0.3">
      <c r="A74" s="13"/>
      <c r="B74" s="144" t="s">
        <v>328</v>
      </c>
      <c r="C74" s="454"/>
      <c r="D74" s="264"/>
      <c r="E74" s="672">
        <f>E63+E69</f>
        <v>5306.95</v>
      </c>
    </row>
    <row r="75" spans="1:5" ht="15.5" x14ac:dyDescent="0.35">
      <c r="A75" s="578" t="s">
        <v>313</v>
      </c>
      <c r="B75" s="18"/>
      <c r="C75" s="454"/>
      <c r="D75" s="264"/>
      <c r="E75" s="1154">
        <f>SUM(E71:E73)-E74</f>
        <v>25695.763413223136</v>
      </c>
    </row>
    <row r="77" spans="1:5" ht="13" x14ac:dyDescent="0.3">
      <c r="A77" s="1141" t="s">
        <v>544</v>
      </c>
      <c r="C77" s="10"/>
    </row>
    <row r="78" spans="1:5" ht="13" x14ac:dyDescent="0.3">
      <c r="A78" s="1142" t="s">
        <v>543</v>
      </c>
      <c r="B78" s="1142" t="s">
        <v>545</v>
      </c>
      <c r="C78" s="1149" t="s">
        <v>59</v>
      </c>
      <c r="D78" s="1142" t="s">
        <v>542</v>
      </c>
      <c r="E78" s="1142" t="s">
        <v>547</v>
      </c>
    </row>
    <row r="79" spans="1:5" x14ac:dyDescent="0.25">
      <c r="C79" s="10"/>
    </row>
    <row r="80" spans="1:5" x14ac:dyDescent="0.25">
      <c r="A80">
        <v>1</v>
      </c>
      <c r="B80" s="1139">
        <v>1</v>
      </c>
      <c r="C80" s="14">
        <f>'Variante données'!B48*'Variante données'!E48*'Variante données'!B71*B80</f>
        <v>0</v>
      </c>
      <c r="D80" s="527">
        <v>0.112</v>
      </c>
      <c r="E80" s="1139">
        <v>0.8</v>
      </c>
    </row>
    <row r="81" spans="1:6" x14ac:dyDescent="0.25">
      <c r="A81">
        <v>2</v>
      </c>
      <c r="B81" s="1138">
        <f>B80</f>
        <v>1</v>
      </c>
      <c r="C81" s="14">
        <f>'Variante données'!B49*'Variante données'!E49*'Variante données'!B72*B81</f>
        <v>3920.0000000000005</v>
      </c>
      <c r="D81" s="199">
        <f>D80</f>
        <v>0.112</v>
      </c>
      <c r="E81" s="1138">
        <f>E80</f>
        <v>0.8</v>
      </c>
    </row>
    <row r="82" spans="1:6" x14ac:dyDescent="0.25">
      <c r="A82">
        <v>3</v>
      </c>
      <c r="B82" s="1138">
        <f>B80</f>
        <v>1</v>
      </c>
      <c r="C82" s="14">
        <f>'Variante données'!B50*'Variante données'!E50*'Variante données'!B73*B82</f>
        <v>14112.000000000002</v>
      </c>
      <c r="D82" s="199">
        <f>D80</f>
        <v>0.112</v>
      </c>
      <c r="E82" s="1138">
        <f>E80</f>
        <v>0.8</v>
      </c>
    </row>
    <row r="83" spans="1:6" ht="13" x14ac:dyDescent="0.3">
      <c r="A83">
        <v>4</v>
      </c>
      <c r="B83" s="1138">
        <f>B80</f>
        <v>1</v>
      </c>
      <c r="C83" s="14">
        <f>'Variante données'!B51*'Variante données'!E51*'Variante données'!B74*B83</f>
        <v>19600</v>
      </c>
      <c r="D83" s="199">
        <f>D80</f>
        <v>0.112</v>
      </c>
      <c r="E83" s="1138">
        <f>E80</f>
        <v>0.8</v>
      </c>
      <c r="F83" s="143">
        <f>C83*D83*E83</f>
        <v>1756.1600000000003</v>
      </c>
    </row>
    <row r="84" spans="1:6" ht="13" x14ac:dyDescent="0.3">
      <c r="A84">
        <v>5</v>
      </c>
      <c r="B84" s="1138">
        <f>B80</f>
        <v>1</v>
      </c>
      <c r="C84" s="14">
        <f>'Variante données'!B52*'Variante données'!E52*'Variante données'!B75*B84</f>
        <v>27440.000000000004</v>
      </c>
      <c r="D84" s="199">
        <f>D80</f>
        <v>0.112</v>
      </c>
      <c r="E84" s="1138">
        <f>E80</f>
        <v>0.8</v>
      </c>
      <c r="F84" s="143">
        <f t="shared" ref="F84:F95" si="1">C84*D84</f>
        <v>3073.2800000000007</v>
      </c>
    </row>
    <row r="85" spans="1:6" ht="13" x14ac:dyDescent="0.3">
      <c r="A85">
        <v>6</v>
      </c>
      <c r="B85" s="1138">
        <f>B80</f>
        <v>1</v>
      </c>
      <c r="C85" s="14">
        <f>'Variante données'!B53*'Variante données'!E53*'Variante données'!B76*B85</f>
        <v>35280</v>
      </c>
      <c r="D85" s="199">
        <f>D80</f>
        <v>0.112</v>
      </c>
      <c r="E85" s="1138">
        <f>E80</f>
        <v>0.8</v>
      </c>
      <c r="F85" s="143">
        <f t="shared" si="1"/>
        <v>3951.36</v>
      </c>
    </row>
    <row r="86" spans="1:6" ht="13" x14ac:dyDescent="0.3">
      <c r="A86">
        <v>7</v>
      </c>
      <c r="B86" s="1138">
        <f>B80</f>
        <v>1</v>
      </c>
      <c r="C86" s="14">
        <f>'Variante données'!B54*'Variante données'!E54*'Variante données'!B77*B86</f>
        <v>35280</v>
      </c>
      <c r="D86" s="199">
        <f>D80</f>
        <v>0.112</v>
      </c>
      <c r="E86" s="1138">
        <f>E80</f>
        <v>0.8</v>
      </c>
      <c r="F86" s="143">
        <f t="shared" si="1"/>
        <v>3951.36</v>
      </c>
    </row>
    <row r="87" spans="1:6" ht="13" x14ac:dyDescent="0.3">
      <c r="A87">
        <v>8</v>
      </c>
      <c r="B87" s="1138">
        <f>B80</f>
        <v>1</v>
      </c>
      <c r="C87" s="14">
        <f>'Variante données'!B55*'Variante données'!E55*'Variante données'!B78*B87</f>
        <v>35280</v>
      </c>
      <c r="D87" s="199">
        <f>D80</f>
        <v>0.112</v>
      </c>
      <c r="E87" s="1138">
        <f>E80</f>
        <v>0.8</v>
      </c>
      <c r="F87" s="143">
        <f t="shared" si="1"/>
        <v>3951.36</v>
      </c>
    </row>
    <row r="88" spans="1:6" ht="13" x14ac:dyDescent="0.3">
      <c r="A88">
        <v>9</v>
      </c>
      <c r="B88" s="1138">
        <f>B80</f>
        <v>1</v>
      </c>
      <c r="C88" s="14">
        <f>'Variante données'!B56*'Variante données'!E56*'Variante données'!B79*B88</f>
        <v>35280</v>
      </c>
      <c r="D88" s="199">
        <f>D80</f>
        <v>0.112</v>
      </c>
      <c r="E88" s="1138">
        <f>E80</f>
        <v>0.8</v>
      </c>
      <c r="F88" s="143">
        <f t="shared" si="1"/>
        <v>3951.36</v>
      </c>
    </row>
    <row r="89" spans="1:6" ht="13" x14ac:dyDescent="0.3">
      <c r="A89">
        <v>10</v>
      </c>
      <c r="B89" s="1138">
        <f>B80</f>
        <v>1</v>
      </c>
      <c r="C89" s="14">
        <f>'Variante données'!B57*'Variante données'!E57*'Variante données'!B80*B89</f>
        <v>32760.000000000007</v>
      </c>
      <c r="D89" s="199">
        <f>D80</f>
        <v>0.112</v>
      </c>
      <c r="E89" s="1138">
        <f>E80</f>
        <v>0.8</v>
      </c>
      <c r="F89" s="143">
        <f t="shared" si="1"/>
        <v>3669.1200000000008</v>
      </c>
    </row>
    <row r="90" spans="1:6" ht="13" x14ac:dyDescent="0.3">
      <c r="A90">
        <v>11</v>
      </c>
      <c r="B90" s="1138">
        <f>B80</f>
        <v>1</v>
      </c>
      <c r="C90" s="14">
        <f>'Variante données'!B58*'Variante données'!E58*'Variante données'!B81*B90</f>
        <v>32760.000000000007</v>
      </c>
      <c r="D90" s="199">
        <f>D80</f>
        <v>0.112</v>
      </c>
      <c r="E90" s="1138">
        <f>E80</f>
        <v>0.8</v>
      </c>
      <c r="F90" s="143">
        <f t="shared" si="1"/>
        <v>3669.1200000000008</v>
      </c>
    </row>
    <row r="91" spans="1:6" ht="13" x14ac:dyDescent="0.3">
      <c r="A91">
        <v>12</v>
      </c>
      <c r="B91" s="1138">
        <f>B80</f>
        <v>1</v>
      </c>
      <c r="C91" s="14">
        <f>'Variante données'!B59*'Variante données'!E59*'Variante données'!B82*B91</f>
        <v>32760.000000000007</v>
      </c>
      <c r="D91" s="199">
        <f>D80</f>
        <v>0.112</v>
      </c>
      <c r="E91" s="1138">
        <f>E80</f>
        <v>0.8</v>
      </c>
      <c r="F91" s="143">
        <f t="shared" si="1"/>
        <v>3669.1200000000008</v>
      </c>
    </row>
    <row r="92" spans="1:6" ht="13" x14ac:dyDescent="0.3">
      <c r="A92">
        <v>13</v>
      </c>
      <c r="B92" s="1138">
        <f>B80</f>
        <v>1</v>
      </c>
      <c r="C92" s="14">
        <f>'Variante données'!B60*'Variante données'!E60*'Variante données'!B83*B92</f>
        <v>30240.000000000004</v>
      </c>
      <c r="D92" s="199">
        <f>D80</f>
        <v>0.112</v>
      </c>
      <c r="E92" s="1138">
        <f>E80</f>
        <v>0.8</v>
      </c>
      <c r="F92" s="143">
        <f t="shared" si="1"/>
        <v>3386.8800000000006</v>
      </c>
    </row>
    <row r="93" spans="1:6" ht="13" x14ac:dyDescent="0.3">
      <c r="A93">
        <v>14</v>
      </c>
      <c r="B93" s="1138">
        <f>B80</f>
        <v>1</v>
      </c>
      <c r="C93" s="14">
        <f>'Variante données'!B61*'Variante données'!E61*'Variante données'!B84*B93</f>
        <v>30240.000000000004</v>
      </c>
      <c r="D93" s="199">
        <f>D80</f>
        <v>0.112</v>
      </c>
      <c r="E93" s="1138">
        <f>E80</f>
        <v>0.8</v>
      </c>
      <c r="F93" s="143">
        <f t="shared" si="1"/>
        <v>3386.8800000000006</v>
      </c>
    </row>
    <row r="94" spans="1:6" ht="13" x14ac:dyDescent="0.3">
      <c r="A94">
        <v>15</v>
      </c>
      <c r="B94" s="1138">
        <f>B80</f>
        <v>1</v>
      </c>
      <c r="C94" s="14">
        <f>'Variante données'!B62*'Variante données'!E62*'Variante données'!B85*B94</f>
        <v>30240.000000000004</v>
      </c>
      <c r="D94" s="199">
        <f>D80</f>
        <v>0.112</v>
      </c>
      <c r="E94" s="1138">
        <f>E80</f>
        <v>0.8</v>
      </c>
      <c r="F94" s="143">
        <f t="shared" si="1"/>
        <v>3386.8800000000006</v>
      </c>
    </row>
    <row r="95" spans="1:6" ht="13" x14ac:dyDescent="0.3">
      <c r="A95" s="1144" t="s">
        <v>548</v>
      </c>
      <c r="C95" s="1145">
        <f>AVERAGE(C83:C94)</f>
        <v>31430</v>
      </c>
      <c r="D95" s="1143">
        <f>AVERAGE(D83:D94)</f>
        <v>0.11200000000000003</v>
      </c>
      <c r="F95" s="1145">
        <f t="shared" si="1"/>
        <v>3520.1600000000008</v>
      </c>
    </row>
    <row r="96" spans="1:6" ht="13" x14ac:dyDescent="0.3">
      <c r="A96" s="1144" t="s">
        <v>549</v>
      </c>
      <c r="C96" s="1145">
        <f>SUM(C83:C94)</f>
        <v>377160</v>
      </c>
    </row>
  </sheetData>
  <mergeCells count="2">
    <mergeCell ref="B3:H3"/>
    <mergeCell ref="A6:H6"/>
  </mergeCells>
  <phoneticPr fontId="24" type="noConversion"/>
  <dataValidations count="1">
    <dataValidation type="whole" operator="notEqual" showErrorMessage="1" errorTitle="Falsche Länge" error="Es muss eine Länge eingetragen sein" sqref="J5">
      <formula1>0</formula1>
    </dataValidation>
  </dataValidations>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indexed="50"/>
  </sheetPr>
  <dimension ref="A1:J143"/>
  <sheetViews>
    <sheetView topLeftCell="D1" zoomScale="85" workbookViewId="0">
      <selection activeCell="J15" sqref="J15"/>
    </sheetView>
  </sheetViews>
  <sheetFormatPr baseColWidth="10" defaultRowHeight="12.5" x14ac:dyDescent="0.25"/>
  <cols>
    <col min="1" max="1" width="30" customWidth="1"/>
    <col min="2" max="2" width="47.54296875" customWidth="1"/>
    <col min="3" max="3" width="15" customWidth="1"/>
    <col min="4" max="4" width="13.453125" customWidth="1"/>
    <col min="5" max="5" width="18.7265625" customWidth="1"/>
    <col min="6" max="6" width="18.26953125" customWidth="1"/>
    <col min="7" max="7" width="19" customWidth="1"/>
    <col min="8" max="8" width="17.08984375" customWidth="1"/>
    <col min="9" max="9" width="13" customWidth="1"/>
  </cols>
  <sheetData>
    <row r="1" spans="1:10" ht="25" x14ac:dyDescent="0.5">
      <c r="A1" s="1441" t="str">
        <f>'Page variable'!A1</f>
        <v>Arbokost 2023</v>
      </c>
      <c r="B1" s="18"/>
      <c r="C1" s="18"/>
      <c r="D1" s="18"/>
      <c r="E1" s="18"/>
      <c r="F1" s="18"/>
      <c r="G1" s="18"/>
      <c r="H1" s="18"/>
      <c r="I1" s="1"/>
    </row>
    <row r="2" spans="1:10" ht="18" x14ac:dyDescent="0.25">
      <c r="A2" s="1132" t="str">
        <f>'[1]Standard données'!$A$2</f>
        <v>Standard 1ha</v>
      </c>
      <c r="B2" s="18">
        <f>'Données normes'!B24</f>
        <v>2000</v>
      </c>
      <c r="C2" s="18"/>
      <c r="D2" s="18"/>
      <c r="E2" s="18"/>
      <c r="F2" s="18"/>
      <c r="G2" s="18"/>
      <c r="H2" s="18"/>
      <c r="I2" s="1"/>
    </row>
    <row r="3" spans="1:10" x14ac:dyDescent="0.25">
      <c r="A3" s="39" t="s">
        <v>539</v>
      </c>
      <c r="B3" s="39" t="s">
        <v>490</v>
      </c>
      <c r="C3" s="39"/>
      <c r="D3" s="39"/>
      <c r="E3" s="39"/>
      <c r="F3" s="39"/>
      <c r="G3" s="39"/>
      <c r="H3" s="39"/>
      <c r="I3" s="18" t="s">
        <v>524</v>
      </c>
    </row>
    <row r="4" spans="1:10" x14ac:dyDescent="0.25">
      <c r="A4" s="39"/>
      <c r="B4" s="39"/>
      <c r="C4" s="39"/>
      <c r="D4" s="39"/>
      <c r="E4" s="39"/>
      <c r="F4" s="39"/>
      <c r="G4" s="39"/>
      <c r="H4" s="39"/>
      <c r="I4" s="18" t="s">
        <v>525</v>
      </c>
    </row>
    <row r="5" spans="1:10" x14ac:dyDescent="0.25">
      <c r="A5" s="15" t="str">
        <f>'Variante grêle'!A7</f>
        <v>Inflation materieaux de construction du 2015 au 2023</v>
      </c>
      <c r="B5" s="15"/>
      <c r="C5" s="1455">
        <f>'Variante grêle'!C7</f>
        <v>0.18</v>
      </c>
      <c r="D5" s="15"/>
      <c r="E5" s="15"/>
      <c r="F5" s="15"/>
      <c r="G5" s="15"/>
      <c r="H5" s="15"/>
      <c r="I5" s="13"/>
    </row>
    <row r="6" spans="1:10" ht="13" x14ac:dyDescent="0.3">
      <c r="A6" s="1269"/>
      <c r="B6" s="1270"/>
      <c r="C6" s="1270"/>
      <c r="D6" s="1270"/>
      <c r="E6" s="1270"/>
      <c r="F6" s="1271"/>
      <c r="G6" s="1272"/>
      <c r="H6" s="1273"/>
      <c r="I6" s="13"/>
    </row>
    <row r="7" spans="1:10" ht="13" x14ac:dyDescent="0.3">
      <c r="A7" s="1274" t="s">
        <v>672</v>
      </c>
      <c r="B7" s="1274" t="s">
        <v>654</v>
      </c>
      <c r="C7" s="1275"/>
      <c r="D7" s="1496" t="s">
        <v>526</v>
      </c>
      <c r="E7" s="1496"/>
      <c r="F7" s="1496"/>
      <c r="G7" s="1496"/>
      <c r="H7" s="1275"/>
      <c r="I7" s="1159"/>
      <c r="J7" s="524"/>
    </row>
    <row r="8" spans="1:10" ht="13" x14ac:dyDescent="0.3">
      <c r="A8" s="1273" t="s">
        <v>671</v>
      </c>
      <c r="B8" s="1273"/>
      <c r="C8" s="1273"/>
      <c r="D8" s="1273"/>
      <c r="E8" s="1115" t="s">
        <v>244</v>
      </c>
      <c r="F8" s="1115" t="s">
        <v>240</v>
      </c>
      <c r="G8" s="86" t="s">
        <v>343</v>
      </c>
      <c r="H8" s="86"/>
      <c r="J8" s="13"/>
    </row>
    <row r="9" spans="1:10" x14ac:dyDescent="0.25">
      <c r="A9" s="1118" t="s">
        <v>142</v>
      </c>
      <c r="B9" s="15" t="s">
        <v>527</v>
      </c>
      <c r="C9" s="15"/>
      <c r="D9" s="15"/>
      <c r="E9" s="1276"/>
      <c r="F9" s="1277"/>
      <c r="G9" s="1278">
        <f>6000*(1+C5)</f>
        <v>7080</v>
      </c>
      <c r="H9" s="1279">
        <f t="shared" ref="H9:H17" si="0">G9/$G$21</f>
        <v>0.28361634880003844</v>
      </c>
      <c r="J9" s="1457"/>
    </row>
    <row r="10" spans="1:10" x14ac:dyDescent="0.25">
      <c r="A10" s="15"/>
      <c r="B10" s="15" t="s">
        <v>528</v>
      </c>
      <c r="C10" s="15"/>
      <c r="D10" s="15"/>
      <c r="E10" s="1280"/>
      <c r="F10" s="1277"/>
      <c r="G10" s="1281">
        <f>2500*(1+C5)</f>
        <v>2950</v>
      </c>
      <c r="H10" s="1279">
        <f t="shared" si="0"/>
        <v>0.11817347866668269</v>
      </c>
      <c r="J10" s="1457"/>
    </row>
    <row r="11" spans="1:10" x14ac:dyDescent="0.25">
      <c r="A11" s="15"/>
      <c r="B11" s="15" t="s">
        <v>529</v>
      </c>
      <c r="C11" s="15"/>
      <c r="D11" s="15"/>
      <c r="E11" s="1280"/>
      <c r="F11" s="1277"/>
      <c r="G11" s="1281">
        <f>720*(1+C5)</f>
        <v>849.59999999999991</v>
      </c>
      <c r="H11" s="1279">
        <f t="shared" si="0"/>
        <v>3.4033961856004609E-2</v>
      </c>
      <c r="J11" s="1457"/>
    </row>
    <row r="12" spans="1:10" x14ac:dyDescent="0.25">
      <c r="A12" s="15"/>
      <c r="B12" s="15" t="s">
        <v>530</v>
      </c>
      <c r="C12" s="15"/>
      <c r="D12" s="15"/>
      <c r="E12" s="15"/>
      <c r="F12" s="15"/>
      <c r="G12" s="1281">
        <f>700*(1+C5)</f>
        <v>826</v>
      </c>
      <c r="H12" s="1279">
        <f t="shared" si="0"/>
        <v>3.3088574026671154E-2</v>
      </c>
      <c r="J12" s="1457"/>
    </row>
    <row r="13" spans="1:10" x14ac:dyDescent="0.25">
      <c r="A13" s="15"/>
      <c r="B13" s="15" t="s">
        <v>531</v>
      </c>
      <c r="C13" s="15"/>
      <c r="D13" s="15"/>
      <c r="E13" s="1282">
        <v>400</v>
      </c>
      <c r="F13" s="1282">
        <f>11*(1+C5)</f>
        <v>12.979999999999999</v>
      </c>
      <c r="G13" s="1283">
        <f>E13*F13</f>
        <v>5191.9999999999991</v>
      </c>
      <c r="H13" s="1279">
        <f t="shared" si="0"/>
        <v>0.20798532245336152</v>
      </c>
      <c r="J13" s="1457"/>
    </row>
    <row r="14" spans="1:10" x14ac:dyDescent="0.25">
      <c r="A14" s="15"/>
      <c r="B14" s="15" t="s">
        <v>532</v>
      </c>
      <c r="C14" s="15"/>
      <c r="D14" s="15"/>
      <c r="E14" s="1282">
        <v>5</v>
      </c>
      <c r="F14" s="1282">
        <f>30*(1+C5)</f>
        <v>35.4</v>
      </c>
      <c r="G14" s="1283">
        <f>E14*F14</f>
        <v>177</v>
      </c>
      <c r="H14" s="1279">
        <f t="shared" si="0"/>
        <v>7.0904087200009619E-3</v>
      </c>
      <c r="J14" s="1457"/>
    </row>
    <row r="15" spans="1:10" x14ac:dyDescent="0.25">
      <c r="A15" s="15"/>
      <c r="B15" s="15" t="s">
        <v>533</v>
      </c>
      <c r="C15" s="15"/>
      <c r="D15" s="15"/>
      <c r="E15" s="1282">
        <v>33</v>
      </c>
      <c r="F15" s="1282">
        <f>75*(1+C5)</f>
        <v>88.5</v>
      </c>
      <c r="G15" s="1283">
        <f>E15*F15</f>
        <v>2920.5</v>
      </c>
      <c r="H15" s="1279">
        <f t="shared" si="0"/>
        <v>0.11699174388001586</v>
      </c>
      <c r="J15" s="1457"/>
    </row>
    <row r="16" spans="1:10" ht="13" thickBot="1" x14ac:dyDescent="0.3">
      <c r="A16" s="15"/>
      <c r="B16" s="15" t="s">
        <v>534</v>
      </c>
      <c r="C16" s="15"/>
      <c r="D16" s="15"/>
      <c r="E16" s="1282">
        <v>33</v>
      </c>
      <c r="F16" s="1282">
        <f>30*(1+C5)</f>
        <v>35.4</v>
      </c>
      <c r="G16" s="1284">
        <f>E16*F16</f>
        <v>1168.2</v>
      </c>
      <c r="H16" s="1279">
        <f t="shared" si="0"/>
        <v>4.6796697552006349E-2</v>
      </c>
      <c r="J16" s="1457"/>
    </row>
    <row r="17" spans="1:10" x14ac:dyDescent="0.25">
      <c r="A17" s="15"/>
      <c r="B17" s="15"/>
      <c r="C17" s="15"/>
      <c r="D17" s="15"/>
      <c r="E17" s="15"/>
      <c r="F17" s="15"/>
      <c r="G17" s="1283">
        <f>SUM(G9:G16)</f>
        <v>21163.3</v>
      </c>
      <c r="H17" s="1279">
        <f t="shared" si="0"/>
        <v>0.84777653595478164</v>
      </c>
      <c r="J17" s="13"/>
    </row>
    <row r="18" spans="1:10" x14ac:dyDescent="0.25">
      <c r="A18" s="15"/>
      <c r="B18" s="15"/>
      <c r="C18" s="15"/>
      <c r="D18" s="15"/>
      <c r="E18" s="15"/>
      <c r="F18" s="15"/>
      <c r="G18" s="15"/>
      <c r="H18" s="15"/>
      <c r="J18" s="13"/>
    </row>
    <row r="19" spans="1:10" ht="13" x14ac:dyDescent="0.3">
      <c r="A19" s="15" t="s">
        <v>535</v>
      </c>
      <c r="B19" s="15"/>
      <c r="C19" s="15"/>
      <c r="D19" s="15"/>
      <c r="E19" s="15"/>
      <c r="F19" s="15"/>
      <c r="G19" s="1285">
        <v>1000</v>
      </c>
      <c r="H19" s="1286">
        <f>G19/$G$21</f>
        <v>4.0058806327689052E-2</v>
      </c>
      <c r="J19" s="13"/>
    </row>
    <row r="20" spans="1:10" ht="13" x14ac:dyDescent="0.3">
      <c r="A20" s="15" t="s">
        <v>536</v>
      </c>
      <c r="B20" s="15"/>
      <c r="C20" s="15"/>
      <c r="D20" s="15"/>
      <c r="E20" s="1287">
        <v>100</v>
      </c>
      <c r="F20" s="1277">
        <f>'Variante données'!C37</f>
        <v>28</v>
      </c>
      <c r="G20" s="1288">
        <f>E20*F20</f>
        <v>2800</v>
      </c>
      <c r="H20" s="1286">
        <f>G20/$G$21</f>
        <v>0.11216465771752934</v>
      </c>
    </row>
    <row r="21" spans="1:10" s="66" customFormat="1" ht="13.5" thickBot="1" x14ac:dyDescent="0.35">
      <c r="A21" s="3" t="s">
        <v>644</v>
      </c>
      <c r="B21" s="4"/>
      <c r="C21" s="4"/>
      <c r="D21" s="4"/>
      <c r="E21" s="4"/>
      <c r="F21" s="4"/>
      <c r="G21" s="1289">
        <f>SUM(G17:G20)</f>
        <v>24963.3</v>
      </c>
      <c r="H21" s="1290">
        <f>G21/$G$21</f>
        <v>1</v>
      </c>
    </row>
    <row r="22" spans="1:10" ht="13" thickTop="1" x14ac:dyDescent="0.25">
      <c r="A22" s="15"/>
      <c r="B22" s="15"/>
      <c r="C22" s="15"/>
      <c r="D22" s="15"/>
      <c r="E22" s="15"/>
      <c r="F22" s="15"/>
      <c r="G22" s="15"/>
      <c r="H22" s="15"/>
    </row>
    <row r="23" spans="1:10" ht="13" x14ac:dyDescent="0.3">
      <c r="A23" s="1274" t="s">
        <v>559</v>
      </c>
      <c r="B23" s="1275"/>
      <c r="C23" s="1291"/>
      <c r="D23" s="1275"/>
      <c r="E23" s="1275"/>
      <c r="F23" s="1275"/>
      <c r="G23" s="1275"/>
      <c r="H23" s="1275"/>
      <c r="I23" s="519"/>
      <c r="J23" s="519"/>
    </row>
    <row r="24" spans="1:10" ht="13" x14ac:dyDescent="0.3">
      <c r="A24" s="1273"/>
      <c r="B24" s="1273"/>
      <c r="C24" s="1273"/>
      <c r="D24" s="1292" t="s">
        <v>554</v>
      </c>
      <c r="E24" s="1292" t="s">
        <v>562</v>
      </c>
      <c r="F24" s="1292" t="s">
        <v>339</v>
      </c>
      <c r="G24" s="1292" t="s">
        <v>555</v>
      </c>
      <c r="H24" s="1292" t="s">
        <v>556</v>
      </c>
      <c r="I24" s="77" t="s">
        <v>557</v>
      </c>
      <c r="J24" s="1161" t="s">
        <v>561</v>
      </c>
    </row>
    <row r="25" spans="1:10" x14ac:dyDescent="0.25">
      <c r="A25" s="15"/>
      <c r="B25" s="15" t="s">
        <v>558</v>
      </c>
      <c r="C25" s="15"/>
      <c r="D25" s="1293">
        <f>(G25*I25)/1000</f>
        <v>2592</v>
      </c>
      <c r="E25" s="1405">
        <f>'Variante données'!C184</f>
        <v>0</v>
      </c>
      <c r="F25" s="15"/>
      <c r="G25" s="1282">
        <v>54</v>
      </c>
      <c r="H25" s="1282">
        <v>24</v>
      </c>
      <c r="I25" s="1160">
        <f>H25*'Données normes'!B24</f>
        <v>48000</v>
      </c>
      <c r="J25" s="112">
        <f>D25*E25</f>
        <v>0</v>
      </c>
    </row>
    <row r="26" spans="1:10" ht="13" x14ac:dyDescent="0.3">
      <c r="A26" s="15"/>
      <c r="B26" s="15" t="s">
        <v>560</v>
      </c>
      <c r="C26" s="15"/>
      <c r="D26" s="15"/>
      <c r="F26" s="1294">
        <v>50</v>
      </c>
      <c r="G26" s="15"/>
      <c r="H26" s="15"/>
      <c r="J26" s="112">
        <f>F26</f>
        <v>50</v>
      </c>
    </row>
    <row r="27" spans="1:10" ht="13" thickBot="1" x14ac:dyDescent="0.3">
      <c r="A27" s="15"/>
      <c r="B27" s="15" t="s">
        <v>538</v>
      </c>
      <c r="C27" s="15"/>
      <c r="D27" s="4"/>
      <c r="E27" s="1287">
        <v>14</v>
      </c>
      <c r="F27" s="1277">
        <f>'Variante données'!C37</f>
        <v>28</v>
      </c>
      <c r="G27" s="15"/>
      <c r="H27" s="15"/>
      <c r="J27" s="580">
        <f>E27*F27</f>
        <v>392</v>
      </c>
    </row>
    <row r="28" spans="1:10" ht="13" x14ac:dyDescent="0.3">
      <c r="A28" s="15"/>
      <c r="B28" s="15"/>
      <c r="C28" s="15"/>
      <c r="D28" s="4"/>
      <c r="E28" s="1287"/>
      <c r="F28" s="1277"/>
      <c r="G28" s="15"/>
      <c r="H28" s="15"/>
      <c r="J28" s="656">
        <f>SUM(J25:J27)</f>
        <v>442</v>
      </c>
    </row>
    <row r="29" spans="1:10" ht="13" x14ac:dyDescent="0.3">
      <c r="A29" s="15"/>
      <c r="B29" s="1410" t="s">
        <v>673</v>
      </c>
      <c r="C29" s="15"/>
      <c r="D29" s="15"/>
      <c r="E29" s="15"/>
      <c r="F29" s="15"/>
      <c r="G29" s="15"/>
      <c r="H29" s="15"/>
      <c r="I29" s="1432">
        <f>'Variante données'!C185</f>
        <v>1</v>
      </c>
      <c r="J29" s="656">
        <f>I29*J28</f>
        <v>442</v>
      </c>
    </row>
    <row r="30" spans="1:10" x14ac:dyDescent="0.25">
      <c r="A30" s="15"/>
      <c r="B30" s="15"/>
      <c r="C30" s="15"/>
      <c r="D30" s="15"/>
      <c r="E30" s="15"/>
      <c r="F30" s="15"/>
      <c r="G30" s="15"/>
      <c r="H30" s="15"/>
    </row>
    <row r="31" spans="1:10" ht="13" x14ac:dyDescent="0.3">
      <c r="A31" s="1274" t="s">
        <v>669</v>
      </c>
      <c r="B31" s="1274" t="s">
        <v>670</v>
      </c>
      <c r="C31" s="1496" t="s">
        <v>623</v>
      </c>
      <c r="D31" s="1496"/>
      <c r="E31" s="1496"/>
      <c r="F31" s="1496"/>
      <c r="G31" s="1274"/>
      <c r="H31" s="1274"/>
      <c r="I31" s="524"/>
      <c r="J31" s="524"/>
    </row>
    <row r="32" spans="1:10" ht="13" x14ac:dyDescent="0.3">
      <c r="A32" s="1291"/>
      <c r="B32" s="1295">
        <f>'Variante données'!C23</f>
        <v>21</v>
      </c>
      <c r="C32" s="1165">
        <f>'Variante données'!C18</f>
        <v>110</v>
      </c>
      <c r="D32" s="1296"/>
      <c r="E32" s="1297" t="s">
        <v>624</v>
      </c>
      <c r="F32" s="1297" t="s">
        <v>625</v>
      </c>
      <c r="G32" s="1298"/>
      <c r="H32" s="1297" t="s">
        <v>564</v>
      </c>
    </row>
    <row r="33" spans="1:10" ht="13" x14ac:dyDescent="0.25">
      <c r="A33" s="1424" t="s">
        <v>675</v>
      </c>
      <c r="B33" s="15" t="s">
        <v>527</v>
      </c>
      <c r="C33" s="15"/>
      <c r="D33" s="15"/>
      <c r="E33" s="1276"/>
      <c r="F33" s="1277"/>
      <c r="H33" s="1278">
        <v>0</v>
      </c>
      <c r="I33" s="1279"/>
      <c r="J33" s="13"/>
    </row>
    <row r="34" spans="1:10" x14ac:dyDescent="0.25">
      <c r="A34" s="15"/>
      <c r="B34" s="15" t="s">
        <v>528</v>
      </c>
      <c r="C34" s="15"/>
      <c r="D34" s="15"/>
      <c r="E34" s="1280"/>
      <c r="F34" s="1277"/>
      <c r="H34" s="1281">
        <v>0</v>
      </c>
      <c r="I34" s="1279"/>
      <c r="J34" s="13"/>
    </row>
    <row r="35" spans="1:10" x14ac:dyDescent="0.25">
      <c r="B35" s="15" t="s">
        <v>529</v>
      </c>
      <c r="C35" s="15"/>
      <c r="D35" s="15"/>
      <c r="E35" s="1280"/>
      <c r="F35" s="1277"/>
      <c r="H35" s="1281">
        <v>0</v>
      </c>
      <c r="I35" s="1279"/>
      <c r="J35" s="13"/>
    </row>
    <row r="36" spans="1:10" ht="13" thickBot="1" x14ac:dyDescent="0.3">
      <c r="A36" s="15"/>
      <c r="B36" s="15" t="s">
        <v>530</v>
      </c>
      <c r="C36" s="15"/>
      <c r="D36" s="15"/>
      <c r="E36" s="15"/>
      <c r="F36" s="15"/>
      <c r="H36" s="1423">
        <v>0</v>
      </c>
      <c r="I36" s="1279"/>
      <c r="J36" s="13"/>
    </row>
    <row r="37" spans="1:10" ht="13" x14ac:dyDescent="0.3">
      <c r="A37" s="15"/>
      <c r="B37" s="15"/>
      <c r="C37" s="15"/>
      <c r="D37" s="15"/>
      <c r="E37" s="15"/>
      <c r="F37" s="15"/>
      <c r="H37" s="656">
        <f>SUM(H33:H36)</f>
        <v>0</v>
      </c>
      <c r="I37" s="1279"/>
      <c r="J37" s="13"/>
    </row>
    <row r="38" spans="1:10" ht="13" x14ac:dyDescent="0.3">
      <c r="A38" s="69" t="s">
        <v>576</v>
      </c>
      <c r="B38" s="28" t="s">
        <v>581</v>
      </c>
      <c r="C38" s="15"/>
      <c r="D38" s="15"/>
      <c r="E38" s="1300">
        <f>((B32*C32)+50)</f>
        <v>2360</v>
      </c>
      <c r="F38" s="1299">
        <v>1.35</v>
      </c>
      <c r="G38" s="15"/>
      <c r="H38" s="1411">
        <f>F38*E38</f>
        <v>3186</v>
      </c>
    </row>
    <row r="39" spans="1:10" x14ac:dyDescent="0.25">
      <c r="A39" s="28"/>
      <c r="B39" s="39" t="s">
        <v>582</v>
      </c>
      <c r="C39" s="15"/>
      <c r="D39" s="15"/>
      <c r="E39" s="1300"/>
      <c r="F39" s="1299"/>
      <c r="G39" s="15"/>
      <c r="H39" s="1411"/>
    </row>
    <row r="40" spans="1:10" ht="13" x14ac:dyDescent="0.3">
      <c r="A40" s="28"/>
      <c r="B40" s="1302" t="s">
        <v>583</v>
      </c>
      <c r="C40" s="1303"/>
      <c r="D40" s="1303"/>
      <c r="E40" s="1304">
        <f>B32</f>
        <v>21</v>
      </c>
      <c r="F40" s="1305">
        <v>7</v>
      </c>
      <c r="G40" s="1303"/>
      <c r="H40" s="1412">
        <f>F40*E40</f>
        <v>147</v>
      </c>
    </row>
    <row r="41" spans="1:10" x14ac:dyDescent="0.25">
      <c r="A41" s="1306"/>
      <c r="B41" s="1307" t="s">
        <v>584</v>
      </c>
      <c r="C41" s="1303"/>
      <c r="D41" s="1303"/>
      <c r="E41" s="1304">
        <f>B32</f>
        <v>21</v>
      </c>
      <c r="F41" s="1305">
        <v>6.5</v>
      </c>
      <c r="G41" s="1303"/>
      <c r="H41" s="1412">
        <f>F41*E41</f>
        <v>136.5</v>
      </c>
    </row>
    <row r="42" spans="1:10" x14ac:dyDescent="0.25">
      <c r="A42" s="1306"/>
      <c r="B42" s="1307" t="s">
        <v>585</v>
      </c>
      <c r="C42" s="1303"/>
      <c r="D42" s="1303"/>
      <c r="E42" s="1308">
        <f>(5000/2000)*1666</f>
        <v>4165</v>
      </c>
      <c r="F42" s="1305">
        <v>0.06</v>
      </c>
      <c r="G42" s="1303"/>
      <c r="H42" s="1412">
        <f>F42*E42</f>
        <v>249.89999999999998</v>
      </c>
    </row>
    <row r="43" spans="1:10" ht="13" thickBot="1" x14ac:dyDescent="0.3">
      <c r="A43" s="1306"/>
      <c r="B43" s="1306" t="s">
        <v>586</v>
      </c>
      <c r="C43" s="1303"/>
      <c r="D43" s="1303"/>
      <c r="E43" s="1309"/>
      <c r="F43" s="1310"/>
      <c r="G43" s="1303"/>
      <c r="H43" s="1413">
        <v>250</v>
      </c>
    </row>
    <row r="44" spans="1:10" ht="13" x14ac:dyDescent="0.3">
      <c r="A44" s="17" t="s">
        <v>599</v>
      </c>
      <c r="B44" s="17"/>
      <c r="C44" s="15"/>
      <c r="D44" s="15"/>
      <c r="E44" s="1311"/>
      <c r="F44" s="1312"/>
      <c r="G44" s="15"/>
      <c r="H44" s="1313">
        <f>SUM(H38:H43)</f>
        <v>3969.4</v>
      </c>
    </row>
    <row r="45" spans="1:10" ht="13" x14ac:dyDescent="0.3">
      <c r="A45" s="12" t="s">
        <v>577</v>
      </c>
      <c r="B45" s="28" t="s">
        <v>68</v>
      </c>
      <c r="C45" s="15"/>
      <c r="D45" s="15"/>
      <c r="E45" s="1314"/>
      <c r="F45" s="1315"/>
      <c r="G45" s="15"/>
      <c r="H45" s="1301"/>
    </row>
    <row r="46" spans="1:10" x14ac:dyDescent="0.25">
      <c r="A46" s="28"/>
      <c r="B46" s="28" t="s">
        <v>587</v>
      </c>
      <c r="C46" s="15"/>
      <c r="D46" s="15"/>
      <c r="E46" s="1316">
        <f>(300/2000)*1666</f>
        <v>249.89999999999998</v>
      </c>
      <c r="F46" s="1317">
        <v>3.8</v>
      </c>
      <c r="G46" s="15"/>
      <c r="H46" s="1301">
        <f>F46*E46</f>
        <v>949.61999999999989</v>
      </c>
    </row>
    <row r="47" spans="1:10" x14ac:dyDescent="0.25">
      <c r="A47" s="28"/>
      <c r="B47" s="39" t="s">
        <v>588</v>
      </c>
      <c r="C47" s="15"/>
      <c r="D47" s="15"/>
      <c r="E47" s="1318">
        <v>3</v>
      </c>
      <c r="F47" s="1317">
        <v>60</v>
      </c>
      <c r="G47" s="15"/>
      <c r="H47" s="1301">
        <f>F47*E47</f>
        <v>180</v>
      </c>
    </row>
    <row r="48" spans="1:10" ht="13" thickBot="1" x14ac:dyDescent="0.3">
      <c r="A48" s="28"/>
      <c r="B48" s="28" t="s">
        <v>586</v>
      </c>
      <c r="C48" s="15"/>
      <c r="D48" s="15"/>
      <c r="E48" s="1034"/>
      <c r="F48" s="1034"/>
      <c r="G48" s="15"/>
      <c r="H48" s="1319">
        <v>250</v>
      </c>
    </row>
    <row r="49" spans="1:8" ht="13" x14ac:dyDescent="0.3">
      <c r="A49" s="17" t="s">
        <v>580</v>
      </c>
      <c r="B49" s="38"/>
      <c r="C49" s="15"/>
      <c r="D49" s="15"/>
      <c r="E49" s="1320"/>
      <c r="F49" s="1321"/>
      <c r="G49" s="15"/>
      <c r="H49" s="1169">
        <f>SUM(H46:H48)</f>
        <v>1379.62</v>
      </c>
    </row>
    <row r="50" spans="1:8" ht="13" x14ac:dyDescent="0.3">
      <c r="A50" s="17" t="s">
        <v>678</v>
      </c>
      <c r="B50" s="28" t="s">
        <v>598</v>
      </c>
      <c r="C50" s="15"/>
      <c r="D50" s="15"/>
      <c r="E50" s="1318">
        <v>1</v>
      </c>
      <c r="F50" s="1317">
        <v>300</v>
      </c>
      <c r="G50" s="15"/>
      <c r="H50" s="1301">
        <f t="shared" ref="H50:H55" si="1">F50*E50</f>
        <v>300</v>
      </c>
    </row>
    <row r="51" spans="1:8" x14ac:dyDescent="0.25">
      <c r="A51" s="28"/>
      <c r="B51" s="39" t="s">
        <v>588</v>
      </c>
      <c r="C51" s="15"/>
      <c r="D51" s="15"/>
      <c r="E51" s="1318">
        <v>1</v>
      </c>
      <c r="F51" s="1317">
        <v>120</v>
      </c>
      <c r="G51" s="15"/>
      <c r="H51" s="1301">
        <f t="shared" si="1"/>
        <v>120</v>
      </c>
    </row>
    <row r="52" spans="1:8" x14ac:dyDescent="0.25">
      <c r="A52" s="28"/>
      <c r="B52" s="28" t="s">
        <v>589</v>
      </c>
      <c r="C52" s="15"/>
      <c r="D52" s="15"/>
      <c r="E52" s="1318">
        <v>1</v>
      </c>
      <c r="F52" s="1317">
        <v>75</v>
      </c>
      <c r="G52" s="15"/>
      <c r="H52" s="1301">
        <f t="shared" si="1"/>
        <v>75</v>
      </c>
    </row>
    <row r="53" spans="1:8" x14ac:dyDescent="0.25">
      <c r="A53" s="28"/>
      <c r="B53" s="28" t="s">
        <v>590</v>
      </c>
      <c r="C53" s="15"/>
      <c r="D53" s="15"/>
      <c r="E53" s="1318">
        <v>1</v>
      </c>
      <c r="F53" s="1317">
        <v>70</v>
      </c>
      <c r="G53" s="15"/>
      <c r="H53" s="1301">
        <f t="shared" si="1"/>
        <v>70</v>
      </c>
    </row>
    <row r="54" spans="1:8" x14ac:dyDescent="0.25">
      <c r="A54" s="28"/>
      <c r="B54" s="28" t="s">
        <v>591</v>
      </c>
      <c r="C54" s="15"/>
      <c r="D54" s="15"/>
      <c r="E54" s="1318">
        <v>2</v>
      </c>
      <c r="F54" s="1317">
        <v>130</v>
      </c>
      <c r="G54" s="15"/>
      <c r="H54" s="1301">
        <f t="shared" si="1"/>
        <v>260</v>
      </c>
    </row>
    <row r="55" spans="1:8" x14ac:dyDescent="0.25">
      <c r="A55" s="28"/>
      <c r="B55" s="28" t="s">
        <v>592</v>
      </c>
      <c r="C55" s="15"/>
      <c r="D55" s="15"/>
      <c r="E55" s="1318">
        <v>1</v>
      </c>
      <c r="F55" s="1317">
        <v>350</v>
      </c>
      <c r="G55" s="15"/>
      <c r="H55" s="1301">
        <f t="shared" si="1"/>
        <v>350</v>
      </c>
    </row>
    <row r="56" spans="1:8" ht="13" thickBot="1" x14ac:dyDescent="0.3">
      <c r="A56" s="28"/>
      <c r="B56" s="28" t="s">
        <v>586</v>
      </c>
      <c r="C56" s="15"/>
      <c r="D56" s="15"/>
      <c r="E56" s="1318"/>
      <c r="F56" s="1034"/>
      <c r="G56" s="15"/>
      <c r="H56" s="1322">
        <v>100</v>
      </c>
    </row>
    <row r="57" spans="1:8" ht="13" x14ac:dyDescent="0.3">
      <c r="A57" s="12" t="s">
        <v>595</v>
      </c>
      <c r="B57" s="38"/>
      <c r="C57" s="15"/>
      <c r="D57" s="15"/>
      <c r="E57" s="1318"/>
      <c r="F57" s="1321"/>
      <c r="G57" s="15"/>
      <c r="H57" s="1313">
        <f>SUM(H50:H56)</f>
        <v>1275</v>
      </c>
    </row>
    <row r="58" spans="1:8" x14ac:dyDescent="0.25">
      <c r="A58" s="28" t="s">
        <v>596</v>
      </c>
      <c r="B58" s="28" t="s">
        <v>593</v>
      </c>
      <c r="C58" s="15"/>
      <c r="D58" s="15"/>
      <c r="E58" s="1318">
        <v>1</v>
      </c>
      <c r="F58" s="1317">
        <v>1580</v>
      </c>
      <c r="G58" s="15"/>
      <c r="H58" s="1301"/>
    </row>
    <row r="59" spans="1:8" ht="13" thickBot="1" x14ac:dyDescent="0.3">
      <c r="A59" s="28" t="s">
        <v>596</v>
      </c>
      <c r="B59" s="28" t="s">
        <v>594</v>
      </c>
      <c r="C59" s="15"/>
      <c r="D59" s="15"/>
      <c r="E59" s="1318">
        <v>1</v>
      </c>
      <c r="F59" s="1317">
        <v>1250</v>
      </c>
      <c r="G59" s="15"/>
      <c r="H59" s="1301"/>
    </row>
    <row r="60" spans="1:8" ht="13" x14ac:dyDescent="0.3">
      <c r="A60" s="15"/>
      <c r="B60" s="38"/>
      <c r="C60" s="17"/>
      <c r="D60" s="15"/>
      <c r="E60" s="1323"/>
      <c r="F60" s="1324"/>
      <c r="G60" s="15"/>
      <c r="H60" s="1313">
        <f>H37+H44+H49+H57+H58+H59</f>
        <v>6624.02</v>
      </c>
    </row>
    <row r="61" spans="1:8" x14ac:dyDescent="0.25">
      <c r="A61" s="15"/>
      <c r="B61" s="39"/>
      <c r="C61" s="28"/>
      <c r="D61" s="1325"/>
      <c r="E61" s="1326"/>
      <c r="F61" s="1299"/>
      <c r="G61" s="1299"/>
      <c r="H61" s="1301"/>
    </row>
    <row r="62" spans="1:8" s="18" customFormat="1" ht="13" x14ac:dyDescent="0.3">
      <c r="A62" s="38" t="s">
        <v>609</v>
      </c>
      <c r="B62" s="38"/>
      <c r="C62" s="39"/>
      <c r="D62" s="808" t="s">
        <v>244</v>
      </c>
      <c r="E62" s="808" t="s">
        <v>616</v>
      </c>
      <c r="F62" s="808" t="s">
        <v>641</v>
      </c>
      <c r="G62" s="1327" t="s">
        <v>52</v>
      </c>
      <c r="H62" s="808" t="s">
        <v>564</v>
      </c>
    </row>
    <row r="63" spans="1:8" s="18" customFormat="1" ht="13" x14ac:dyDescent="0.3">
      <c r="A63" s="38" t="s">
        <v>571</v>
      </c>
      <c r="B63" s="39"/>
      <c r="C63" s="39"/>
      <c r="D63" s="1314"/>
      <c r="E63" s="1328"/>
      <c r="F63" s="1315"/>
      <c r="G63" s="39"/>
      <c r="H63" s="1329" t="s">
        <v>59</v>
      </c>
    </row>
    <row r="64" spans="1:8" s="13" customFormat="1" x14ac:dyDescent="0.25">
      <c r="A64" s="28"/>
      <c r="B64" s="39" t="s">
        <v>600</v>
      </c>
      <c r="C64" s="1034"/>
      <c r="D64" s="1330"/>
      <c r="E64" s="1331">
        <v>8.1818181818181817</v>
      </c>
      <c r="F64" s="1331">
        <v>2</v>
      </c>
      <c r="G64" s="1299"/>
      <c r="H64" s="1301"/>
    </row>
    <row r="65" spans="1:8" ht="13" x14ac:dyDescent="0.3">
      <c r="A65" s="17"/>
      <c r="B65" s="28" t="s">
        <v>601</v>
      </c>
      <c r="C65" s="1332">
        <v>6.5</v>
      </c>
      <c r="D65" s="1333">
        <f>E46</f>
        <v>249.89999999999998</v>
      </c>
      <c r="E65" s="1331">
        <v>0</v>
      </c>
      <c r="F65" s="1334"/>
      <c r="G65" s="1335">
        <f>C65</f>
        <v>6.5</v>
      </c>
      <c r="H65" s="1301">
        <f>G65*D65</f>
        <v>1624.35</v>
      </c>
    </row>
    <row r="66" spans="1:8" x14ac:dyDescent="0.25">
      <c r="A66" s="28"/>
      <c r="B66" s="28" t="s">
        <v>602</v>
      </c>
      <c r="C66" s="1336"/>
      <c r="D66" s="1337">
        <v>1</v>
      </c>
      <c r="E66" s="1331">
        <v>20.454545454545457</v>
      </c>
      <c r="F66" s="1331">
        <v>4</v>
      </c>
      <c r="G66" s="1335">
        <v>13.6</v>
      </c>
      <c r="H66" s="1301">
        <f>G66*F66</f>
        <v>54.4</v>
      </c>
    </row>
    <row r="67" spans="1:8" x14ac:dyDescent="0.25">
      <c r="A67" s="28"/>
      <c r="B67" s="28" t="s">
        <v>603</v>
      </c>
      <c r="C67" s="1253"/>
      <c r="D67" s="1337"/>
      <c r="E67" s="1331">
        <v>28.636363636363637</v>
      </c>
      <c r="F67" s="1334"/>
      <c r="G67" s="1335"/>
      <c r="H67" s="1301"/>
    </row>
    <row r="68" spans="1:8" x14ac:dyDescent="0.25">
      <c r="A68" s="28"/>
      <c r="B68" s="28" t="s">
        <v>604</v>
      </c>
      <c r="C68" s="1253"/>
      <c r="D68" s="1337"/>
      <c r="E68" s="1331">
        <v>14.727272727272728</v>
      </c>
      <c r="F68" s="1334"/>
      <c r="G68" s="1335"/>
      <c r="H68" s="1301"/>
    </row>
    <row r="69" spans="1:8" x14ac:dyDescent="0.25">
      <c r="A69" s="28"/>
      <c r="B69" s="28" t="s">
        <v>605</v>
      </c>
      <c r="C69" s="1336"/>
      <c r="D69" s="1338"/>
      <c r="E69" s="1331">
        <v>2.4545454545454546</v>
      </c>
      <c r="F69" s="1334"/>
      <c r="G69" s="1335"/>
      <c r="H69" s="1301"/>
    </row>
    <row r="70" spans="1:8" x14ac:dyDescent="0.25">
      <c r="A70" s="28"/>
      <c r="B70" s="28" t="s">
        <v>606</v>
      </c>
      <c r="C70" s="1339">
        <v>125</v>
      </c>
      <c r="D70" s="1340">
        <v>3</v>
      </c>
      <c r="E70" s="1331">
        <v>2.4545454545454546</v>
      </c>
      <c r="F70" s="1034"/>
      <c r="G70" s="1335">
        <v>3</v>
      </c>
      <c r="H70" s="1301">
        <f>G70*C70</f>
        <v>375</v>
      </c>
    </row>
    <row r="71" spans="1:8" ht="13.5" thickBot="1" x14ac:dyDescent="0.35">
      <c r="A71" s="17" t="s">
        <v>607</v>
      </c>
      <c r="B71" s="1205">
        <v>0.1</v>
      </c>
      <c r="C71" s="1253" t="s">
        <v>572</v>
      </c>
      <c r="D71" s="1034"/>
      <c r="E71" s="1341">
        <v>7.6909090909090914</v>
      </c>
      <c r="F71" s="1341">
        <f>SUM(F64:F70)*B71</f>
        <v>0.60000000000000009</v>
      </c>
      <c r="G71" s="1342"/>
      <c r="H71" s="1301"/>
    </row>
    <row r="72" spans="1:8" ht="13" x14ac:dyDescent="0.3">
      <c r="A72" s="17" t="s">
        <v>608</v>
      </c>
      <c r="B72" s="17"/>
      <c r="C72" s="17"/>
      <c r="D72" s="1323"/>
      <c r="E72" s="1343">
        <f>SUM(E64:E71)</f>
        <v>84.600000000000009</v>
      </c>
      <c r="F72" s="1343">
        <f>SUM(F64:F71)</f>
        <v>6.6</v>
      </c>
      <c r="G72" s="1344"/>
      <c r="H72" s="1313">
        <f>SUM(H64:H71)</f>
        <v>2053.75</v>
      </c>
    </row>
    <row r="73" spans="1:8" x14ac:dyDescent="0.25">
      <c r="A73" s="15"/>
      <c r="B73" s="28"/>
      <c r="C73" s="15"/>
      <c r="D73" s="1325"/>
      <c r="E73" s="1345"/>
      <c r="F73" s="1299"/>
      <c r="G73" s="1299"/>
      <c r="H73" s="1301">
        <f>H60</f>
        <v>6624.02</v>
      </c>
    </row>
    <row r="74" spans="1:8" x14ac:dyDescent="0.25">
      <c r="A74" s="28" t="s">
        <v>610</v>
      </c>
      <c r="B74" s="28"/>
      <c r="C74" s="28" t="s">
        <v>611</v>
      </c>
      <c r="D74" s="1318">
        <f>F72</f>
        <v>6.6</v>
      </c>
      <c r="E74" s="1346" t="s">
        <v>574</v>
      </c>
      <c r="F74" s="1317">
        <v>27.5</v>
      </c>
      <c r="G74" s="1299"/>
      <c r="H74" s="1301">
        <f>((D74*F74)+H72)</f>
        <v>2235.25</v>
      </c>
    </row>
    <row r="75" spans="1:8" ht="13" thickBot="1" x14ac:dyDescent="0.3">
      <c r="A75" s="28" t="s">
        <v>614</v>
      </c>
      <c r="B75" s="28"/>
      <c r="C75" s="28" t="s">
        <v>612</v>
      </c>
      <c r="D75" s="1331">
        <f>E72</f>
        <v>84.600000000000009</v>
      </c>
      <c r="E75" s="1347" t="s">
        <v>574</v>
      </c>
      <c r="F75" s="1317">
        <v>24</v>
      </c>
      <c r="G75" s="1299"/>
      <c r="H75" s="1319">
        <f>D75*F75</f>
        <v>2030.4</v>
      </c>
    </row>
    <row r="76" spans="1:8" ht="13.5" thickBot="1" x14ac:dyDescent="0.35">
      <c r="A76" s="3" t="s">
        <v>644</v>
      </c>
      <c r="B76" s="28"/>
      <c r="C76" s="28"/>
      <c r="D76" s="1314"/>
      <c r="E76" s="1348"/>
      <c r="F76" s="1315"/>
      <c r="G76" s="1299"/>
      <c r="H76" s="1289">
        <f>SUM(H73:H75)</f>
        <v>10889.67</v>
      </c>
    </row>
    <row r="77" spans="1:8" ht="13.5" thickTop="1" x14ac:dyDescent="0.3">
      <c r="A77" s="1274" t="s">
        <v>559</v>
      </c>
      <c r="B77" s="1349"/>
      <c r="C77" s="1349"/>
      <c r="D77" s="1350"/>
      <c r="E77" s="1351"/>
      <c r="F77" s="1352"/>
      <c r="G77" s="1352"/>
      <c r="H77" s="1353"/>
    </row>
    <row r="78" spans="1:8" x14ac:dyDescent="0.25">
      <c r="A78" s="15"/>
      <c r="B78" s="28"/>
      <c r="C78" s="28" t="s">
        <v>617</v>
      </c>
      <c r="D78" s="1314"/>
      <c r="E78" s="1348"/>
      <c r="F78" s="1408"/>
      <c r="G78" s="1299"/>
      <c r="H78" s="1301">
        <v>50</v>
      </c>
    </row>
    <row r="79" spans="1:8" x14ac:dyDescent="0.25">
      <c r="A79" s="28"/>
      <c r="B79" s="28"/>
      <c r="C79" s="1355" t="s">
        <v>618</v>
      </c>
      <c r="D79" s="1356"/>
      <c r="E79" s="1357">
        <v>4</v>
      </c>
      <c r="F79" s="1358">
        <v>24</v>
      </c>
      <c r="G79" s="1359"/>
      <c r="H79" s="1301">
        <f>E79*F79</f>
        <v>96</v>
      </c>
    </row>
    <row r="80" spans="1:8" x14ac:dyDescent="0.25">
      <c r="A80" s="28"/>
      <c r="B80" s="28"/>
      <c r="C80" s="1355" t="s">
        <v>619</v>
      </c>
      <c r="D80" s="1356"/>
      <c r="E80" s="1357"/>
      <c r="F80" s="1358"/>
      <c r="G80" s="1359"/>
      <c r="H80" s="1301">
        <v>300</v>
      </c>
    </row>
    <row r="81" spans="1:10" x14ac:dyDescent="0.25">
      <c r="A81" s="28"/>
      <c r="B81" s="28"/>
      <c r="C81" s="1355" t="s">
        <v>620</v>
      </c>
      <c r="D81" s="1356"/>
      <c r="E81" s="1357">
        <v>10</v>
      </c>
      <c r="F81" s="1358">
        <v>24</v>
      </c>
      <c r="G81" s="1359"/>
      <c r="H81" s="1301">
        <f>E81*F81</f>
        <v>240</v>
      </c>
    </row>
    <row r="82" spans="1:10" ht="13" thickBot="1" x14ac:dyDescent="0.3">
      <c r="A82" s="28"/>
      <c r="B82" s="28"/>
      <c r="C82" s="28" t="s">
        <v>579</v>
      </c>
      <c r="D82" s="1330"/>
      <c r="E82" s="1406">
        <f>70%*D25</f>
        <v>1814.3999999999999</v>
      </c>
      <c r="F82" s="1434">
        <f>'Variante données'!C184</f>
        <v>0</v>
      </c>
      <c r="G82" s="1299"/>
      <c r="H82" s="1319">
        <f>E82*F82</f>
        <v>0</v>
      </c>
    </row>
    <row r="83" spans="1:10" ht="13" x14ac:dyDescent="0.3">
      <c r="A83" s="38"/>
      <c r="B83" s="28"/>
      <c r="C83" s="1355"/>
      <c r="D83" s="1360"/>
      <c r="E83" s="1361"/>
      <c r="F83" s="1359"/>
      <c r="G83" s="1359"/>
      <c r="H83" s="1169">
        <f>SUM(H78:H82)</f>
        <v>686</v>
      </c>
    </row>
    <row r="84" spans="1:10" ht="13" x14ac:dyDescent="0.3">
      <c r="A84" s="28" t="s">
        <v>635</v>
      </c>
      <c r="B84" s="28"/>
      <c r="C84" s="1355"/>
      <c r="D84" s="1410" t="s">
        <v>673</v>
      </c>
      <c r="E84" s="15"/>
      <c r="F84" s="15"/>
      <c r="G84" s="1409">
        <f>'Variante données'!C186</f>
        <v>0</v>
      </c>
      <c r="H84" s="656">
        <f>G84*H83</f>
        <v>0</v>
      </c>
      <c r="I84" s="15"/>
      <c r="J84" s="15"/>
    </row>
    <row r="85" spans="1:10" x14ac:dyDescent="0.25">
      <c r="A85" s="28"/>
      <c r="B85" s="28"/>
      <c r="C85" s="1355"/>
      <c r="D85" s="1360"/>
      <c r="E85" s="1361"/>
      <c r="F85" s="1359"/>
      <c r="G85" s="1359"/>
      <c r="H85" s="1301"/>
    </row>
    <row r="86" spans="1:10" x14ac:dyDescent="0.25">
      <c r="A86" s="28"/>
      <c r="B86" s="28"/>
      <c r="C86" s="1355"/>
      <c r="D86" s="1360"/>
      <c r="E86" s="1361"/>
      <c r="F86" s="1359"/>
      <c r="G86" s="1359"/>
      <c r="H86" s="1301"/>
    </row>
    <row r="87" spans="1:10" ht="13" x14ac:dyDescent="0.3">
      <c r="A87" s="1274" t="s">
        <v>668</v>
      </c>
      <c r="B87" s="1274" t="s">
        <v>667</v>
      </c>
      <c r="C87" s="1496" t="s">
        <v>623</v>
      </c>
      <c r="D87" s="1496"/>
      <c r="E87" s="1496"/>
      <c r="F87" s="1496"/>
      <c r="G87" s="1274"/>
      <c r="H87" s="1274"/>
    </row>
    <row r="88" spans="1:10" ht="13" x14ac:dyDescent="0.3">
      <c r="A88" s="1295">
        <f>'Données normes'!C23</f>
        <v>21</v>
      </c>
      <c r="B88" s="1165">
        <f>'Variante données'!C18</f>
        <v>110</v>
      </c>
      <c r="C88" s="1362">
        <f>'Variante données'!C22</f>
        <v>1.1000000000000001</v>
      </c>
      <c r="D88" s="1297" t="s">
        <v>624</v>
      </c>
      <c r="E88" s="26"/>
      <c r="F88" s="1297" t="s">
        <v>282</v>
      </c>
      <c r="G88" s="1363"/>
      <c r="H88" s="1297" t="s">
        <v>339</v>
      </c>
    </row>
    <row r="89" spans="1:10" ht="13" x14ac:dyDescent="0.3">
      <c r="A89" s="1425" t="s">
        <v>675</v>
      </c>
      <c r="B89" s="15" t="s">
        <v>527</v>
      </c>
      <c r="C89" s="15"/>
      <c r="D89" s="15"/>
      <c r="E89" s="1276"/>
      <c r="F89" s="1277"/>
      <c r="H89" s="1278">
        <v>0</v>
      </c>
    </row>
    <row r="90" spans="1:10" ht="13" x14ac:dyDescent="0.3">
      <c r="A90" s="1425"/>
      <c r="B90" s="15" t="s">
        <v>528</v>
      </c>
      <c r="C90" s="15"/>
      <c r="D90" s="15"/>
      <c r="E90" s="1280"/>
      <c r="F90" s="1277"/>
      <c r="H90" s="1281">
        <v>0</v>
      </c>
    </row>
    <row r="91" spans="1:10" ht="13" x14ac:dyDescent="0.3">
      <c r="A91" s="1425"/>
      <c r="B91" s="15" t="s">
        <v>529</v>
      </c>
      <c r="C91" s="15"/>
      <c r="D91" s="15"/>
      <c r="E91" s="1280"/>
      <c r="F91" s="1277"/>
      <c r="H91" s="1281">
        <v>0</v>
      </c>
    </row>
    <row r="92" spans="1:10" ht="13.5" thickBot="1" x14ac:dyDescent="0.35">
      <c r="A92" s="1425"/>
      <c r="B92" s="15" t="s">
        <v>530</v>
      </c>
      <c r="C92" s="15"/>
      <c r="D92" s="15"/>
      <c r="E92" s="15"/>
      <c r="F92" s="15"/>
      <c r="H92" s="1423">
        <v>0</v>
      </c>
    </row>
    <row r="93" spans="1:10" ht="13" x14ac:dyDescent="0.3">
      <c r="A93" s="1425"/>
      <c r="B93" s="15"/>
      <c r="C93" s="15"/>
      <c r="D93" s="15"/>
      <c r="E93" s="15"/>
      <c r="F93" s="15"/>
      <c r="H93" s="656">
        <f>SUM(H89:H92)</f>
        <v>0</v>
      </c>
    </row>
    <row r="94" spans="1:10" ht="13" x14ac:dyDescent="0.3">
      <c r="A94" s="17" t="s">
        <v>677</v>
      </c>
      <c r="B94" s="28" t="s">
        <v>634</v>
      </c>
      <c r="C94" s="28"/>
      <c r="D94" s="1300">
        <f>(A88*B88)+50</f>
        <v>2360</v>
      </c>
      <c r="E94" s="1364"/>
      <c r="F94" s="1317">
        <v>0.9</v>
      </c>
      <c r="G94" s="1299"/>
      <c r="H94" s="1411">
        <f>F94*D94</f>
        <v>2124</v>
      </c>
    </row>
    <row r="95" spans="1:10" x14ac:dyDescent="0.25">
      <c r="B95" s="28" t="s">
        <v>627</v>
      </c>
      <c r="C95" s="28"/>
      <c r="D95" s="1365">
        <f>ROUND(((B88/C88)+1)*A88,0)/2</f>
        <v>1060.5</v>
      </c>
      <c r="E95" s="1364" t="s">
        <v>626</v>
      </c>
      <c r="F95" s="1317">
        <v>2.6</v>
      </c>
      <c r="G95" s="1299"/>
      <c r="H95" s="1411">
        <f>F95*D95</f>
        <v>2757.3</v>
      </c>
    </row>
    <row r="96" spans="1:10" x14ac:dyDescent="0.25">
      <c r="A96" s="28"/>
      <c r="B96" s="68" t="s">
        <v>583</v>
      </c>
      <c r="C96" s="1172"/>
      <c r="D96" s="1366">
        <f>A88</f>
        <v>21</v>
      </c>
      <c r="E96" s="1367"/>
      <c r="F96" s="1368">
        <v>20.65</v>
      </c>
      <c r="G96" s="1369"/>
      <c r="H96" s="1426">
        <f>F96*D96</f>
        <v>433.65</v>
      </c>
    </row>
    <row r="97" spans="1:8" x14ac:dyDescent="0.25">
      <c r="A97" s="28"/>
      <c r="B97" s="1371" t="s">
        <v>628</v>
      </c>
      <c r="C97" s="1370"/>
      <c r="D97" s="1366">
        <f>A88</f>
        <v>21</v>
      </c>
      <c r="E97" s="1367"/>
      <c r="F97" s="1368">
        <v>8.5</v>
      </c>
      <c r="G97" s="1369"/>
      <c r="H97" s="1426">
        <f>F97*D97</f>
        <v>178.5</v>
      </c>
    </row>
    <row r="98" spans="1:8" x14ac:dyDescent="0.25">
      <c r="A98" s="28"/>
      <c r="B98" s="1371" t="s">
        <v>629</v>
      </c>
      <c r="C98" s="1370"/>
      <c r="D98" s="1366">
        <f>D94</f>
        <v>2360</v>
      </c>
      <c r="E98" s="1367"/>
      <c r="F98" s="1368">
        <v>7.8E-2</v>
      </c>
      <c r="G98" s="1369"/>
      <c r="H98" s="1426">
        <f>F98*D98</f>
        <v>184.08</v>
      </c>
    </row>
    <row r="99" spans="1:8" ht="13.5" thickBot="1" x14ac:dyDescent="0.35">
      <c r="A99" s="17"/>
      <c r="B99" s="1370" t="s">
        <v>586</v>
      </c>
      <c r="C99" s="1370"/>
      <c r="D99" s="1372"/>
      <c r="E99" s="1367"/>
      <c r="F99" s="1369"/>
      <c r="G99" s="1369"/>
      <c r="H99" s="1427">
        <v>250</v>
      </c>
    </row>
    <row r="100" spans="1:8" ht="13" x14ac:dyDescent="0.3">
      <c r="B100" s="38"/>
      <c r="C100" s="38"/>
      <c r="D100" s="38"/>
      <c r="E100" s="1373"/>
      <c r="F100" s="1373"/>
      <c r="G100" s="1373"/>
      <c r="H100" s="1329">
        <f>SUM(H94:H99)</f>
        <v>5927.53</v>
      </c>
    </row>
    <row r="101" spans="1:8" ht="13" x14ac:dyDescent="0.3">
      <c r="A101" s="12" t="s">
        <v>577</v>
      </c>
      <c r="B101" s="28" t="s">
        <v>631</v>
      </c>
      <c r="C101" s="28"/>
      <c r="D101" s="1325"/>
      <c r="E101" s="1326"/>
      <c r="F101" s="1299"/>
      <c r="G101" s="1299"/>
      <c r="H101" s="1411"/>
    </row>
    <row r="102" spans="1:8" x14ac:dyDescent="0.25">
      <c r="A102" s="28"/>
      <c r="B102" s="28" t="s">
        <v>632</v>
      </c>
      <c r="C102" s="28"/>
      <c r="D102" s="1316">
        <v>300</v>
      </c>
      <c r="E102" s="1326"/>
      <c r="F102" s="1317">
        <v>3.8</v>
      </c>
      <c r="G102" s="1299"/>
      <c r="H102" s="1411">
        <f>F102*D102</f>
        <v>1140</v>
      </c>
    </row>
    <row r="103" spans="1:8" x14ac:dyDescent="0.25">
      <c r="A103" s="28"/>
      <c r="B103" s="39" t="s">
        <v>633</v>
      </c>
      <c r="C103" s="28"/>
      <c r="D103" s="1330">
        <v>2</v>
      </c>
      <c r="E103" s="1345"/>
      <c r="F103" s="1317">
        <v>55</v>
      </c>
      <c r="G103" s="1299"/>
      <c r="H103" s="1411">
        <f>F103*D103</f>
        <v>110</v>
      </c>
    </row>
    <row r="104" spans="1:8" ht="13" thickBot="1" x14ac:dyDescent="0.3">
      <c r="A104" s="28"/>
      <c r="B104" s="28" t="s">
        <v>586</v>
      </c>
      <c r="C104" s="39"/>
      <c r="D104" s="39"/>
      <c r="E104" s="39"/>
      <c r="F104" s="39"/>
      <c r="G104" s="39"/>
      <c r="H104" s="1428">
        <v>250</v>
      </c>
    </row>
    <row r="105" spans="1:8" ht="13" x14ac:dyDescent="0.3">
      <c r="A105" s="28"/>
      <c r="B105" s="38"/>
      <c r="C105" s="38"/>
      <c r="D105" s="38"/>
      <c r="E105" s="1373"/>
      <c r="F105" s="1373"/>
      <c r="G105" s="1373"/>
      <c r="H105" s="1329">
        <f>SUM(H102:H104)</f>
        <v>1500</v>
      </c>
    </row>
    <row r="106" spans="1:8" ht="13" x14ac:dyDescent="0.3">
      <c r="A106" s="12" t="s">
        <v>678</v>
      </c>
      <c r="B106" s="13" t="s">
        <v>630</v>
      </c>
      <c r="C106" s="28"/>
      <c r="D106" s="1318">
        <v>1</v>
      </c>
      <c r="E106" s="1345"/>
      <c r="F106" s="1317">
        <v>300</v>
      </c>
      <c r="G106" s="1299"/>
      <c r="H106" s="1411">
        <f t="shared" ref="H106:H111" si="2">F106*D106</f>
        <v>300</v>
      </c>
    </row>
    <row r="107" spans="1:8" x14ac:dyDescent="0.25">
      <c r="B107" s="18" t="s">
        <v>567</v>
      </c>
      <c r="C107" s="28"/>
      <c r="D107" s="1318">
        <v>1</v>
      </c>
      <c r="E107" s="1345"/>
      <c r="F107" s="1317">
        <v>120</v>
      </c>
      <c r="G107" s="1299"/>
      <c r="H107" s="1411">
        <f t="shared" si="2"/>
        <v>120</v>
      </c>
    </row>
    <row r="108" spans="1:8" x14ac:dyDescent="0.25">
      <c r="A108" s="28" t="s">
        <v>596</v>
      </c>
      <c r="B108" s="13" t="s">
        <v>621</v>
      </c>
      <c r="C108" s="28"/>
      <c r="D108" s="1318">
        <v>1</v>
      </c>
      <c r="E108" s="1345"/>
      <c r="F108" s="1317">
        <v>190</v>
      </c>
      <c r="G108" s="1299"/>
      <c r="H108" s="1411">
        <f t="shared" si="2"/>
        <v>190</v>
      </c>
    </row>
    <row r="109" spans="1:8" x14ac:dyDescent="0.25">
      <c r="A109" s="28" t="s">
        <v>596</v>
      </c>
      <c r="B109" s="13" t="s">
        <v>568</v>
      </c>
      <c r="C109" s="28"/>
      <c r="D109" s="1318">
        <v>1</v>
      </c>
      <c r="E109" s="1345"/>
      <c r="F109" s="1317">
        <v>70</v>
      </c>
      <c r="G109" s="1299"/>
      <c r="H109" s="1411">
        <f t="shared" si="2"/>
        <v>70</v>
      </c>
    </row>
    <row r="110" spans="1:8" x14ac:dyDescent="0.25">
      <c r="A110" s="15"/>
      <c r="B110" s="13" t="s">
        <v>569</v>
      </c>
      <c r="C110" s="28"/>
      <c r="D110" s="1318">
        <v>4</v>
      </c>
      <c r="E110" s="1345"/>
      <c r="F110" s="1317">
        <v>130</v>
      </c>
      <c r="G110" s="1299"/>
      <c r="H110" s="1411">
        <f t="shared" si="2"/>
        <v>520</v>
      </c>
    </row>
    <row r="111" spans="1:8" x14ac:dyDescent="0.25">
      <c r="A111" s="15"/>
      <c r="B111" s="13" t="s">
        <v>570</v>
      </c>
      <c r="C111" s="28"/>
      <c r="D111" s="1318">
        <v>1</v>
      </c>
      <c r="E111" s="1345"/>
      <c r="F111" s="1317">
        <v>350</v>
      </c>
      <c r="G111" s="1299"/>
      <c r="H111" s="1411">
        <f t="shared" si="2"/>
        <v>350</v>
      </c>
    </row>
    <row r="112" spans="1:8" ht="13.5" thickBot="1" x14ac:dyDescent="0.35">
      <c r="A112" s="38" t="s">
        <v>609</v>
      </c>
      <c r="B112" s="18" t="s">
        <v>566</v>
      </c>
      <c r="C112" s="28"/>
      <c r="D112" s="28"/>
      <c r="E112" s="28"/>
      <c r="F112" s="28"/>
      <c r="G112" s="28"/>
      <c r="H112" s="1429">
        <v>100</v>
      </c>
    </row>
    <row r="113" spans="1:8" ht="13" x14ac:dyDescent="0.3">
      <c r="A113" s="38" t="s">
        <v>571</v>
      </c>
      <c r="B113" s="38"/>
      <c r="C113" s="38"/>
      <c r="D113" s="38"/>
      <c r="E113" s="1373"/>
      <c r="F113" s="1373"/>
      <c r="G113" s="1373"/>
      <c r="H113" s="1329">
        <f>SUM(H106:H111)</f>
        <v>1550</v>
      </c>
    </row>
    <row r="114" spans="1:8" ht="13" x14ac:dyDescent="0.3">
      <c r="A114" s="28"/>
      <c r="B114" s="28" t="s">
        <v>593</v>
      </c>
      <c r="C114" s="28"/>
      <c r="D114" s="1318">
        <v>1</v>
      </c>
      <c r="E114" s="1354"/>
      <c r="F114" s="1317">
        <v>1580</v>
      </c>
      <c r="G114" s="1374"/>
      <c r="H114" s="1430"/>
    </row>
    <row r="115" spans="1:8" ht="13.5" thickBot="1" x14ac:dyDescent="0.35">
      <c r="A115" s="28" t="s">
        <v>596</v>
      </c>
      <c r="B115" s="28" t="s">
        <v>594</v>
      </c>
      <c r="C115" s="28"/>
      <c r="D115" s="1318">
        <v>1</v>
      </c>
      <c r="E115" s="1354"/>
      <c r="F115" s="1317">
        <v>1250</v>
      </c>
      <c r="G115" s="1374"/>
      <c r="H115" s="1431"/>
    </row>
    <row r="116" spans="1:8" ht="13" x14ac:dyDescent="0.3">
      <c r="A116" s="38" t="s">
        <v>647</v>
      </c>
      <c r="B116" s="38"/>
      <c r="C116" s="38"/>
      <c r="D116" s="38"/>
      <c r="E116" s="1373"/>
      <c r="F116" s="1373"/>
      <c r="G116" s="1373"/>
      <c r="H116" s="1329">
        <f>H93+H100+H105+H113+H114+H115</f>
        <v>8977.5299999999988</v>
      </c>
    </row>
    <row r="117" spans="1:8" x14ac:dyDescent="0.25">
      <c r="A117" s="15"/>
      <c r="B117" s="1296"/>
      <c r="C117" s="1296"/>
      <c r="D117" s="1296"/>
      <c r="E117" s="1296"/>
      <c r="F117" s="1296"/>
      <c r="G117" s="1296"/>
      <c r="H117" s="1296"/>
    </row>
    <row r="118" spans="1:8" s="1" customFormat="1" ht="13" x14ac:dyDescent="0.3">
      <c r="A118" s="38" t="s">
        <v>609</v>
      </c>
      <c r="B118" s="3"/>
      <c r="C118" s="39"/>
      <c r="D118" s="808" t="s">
        <v>244</v>
      </c>
      <c r="E118" s="808" t="s">
        <v>616</v>
      </c>
      <c r="F118" s="808" t="s">
        <v>641</v>
      </c>
      <c r="G118" s="808" t="s">
        <v>282</v>
      </c>
      <c r="H118" s="808" t="s">
        <v>339</v>
      </c>
    </row>
    <row r="119" spans="1:8" ht="13" x14ac:dyDescent="0.3">
      <c r="A119" s="38"/>
      <c r="B119" s="38"/>
      <c r="C119" s="808"/>
      <c r="D119" s="808"/>
      <c r="E119" s="1246"/>
      <c r="F119" s="1246"/>
      <c r="G119" s="1375" t="s">
        <v>52</v>
      </c>
      <c r="H119" s="1376" t="s">
        <v>59</v>
      </c>
    </row>
    <row r="120" spans="1:8" x14ac:dyDescent="0.25">
      <c r="A120" s="28" t="s">
        <v>571</v>
      </c>
      <c r="B120" s="39" t="s">
        <v>600</v>
      </c>
      <c r="C120" s="1206"/>
      <c r="D120" s="1377"/>
      <c r="E120" s="1334">
        <v>10</v>
      </c>
      <c r="F120" s="1334">
        <v>2</v>
      </c>
      <c r="G120" s="1335"/>
      <c r="H120" s="1301"/>
    </row>
    <row r="121" spans="1:8" ht="13" x14ac:dyDescent="0.3">
      <c r="A121" s="17"/>
      <c r="B121" s="28" t="s">
        <v>601</v>
      </c>
      <c r="C121" s="1332">
        <v>6.5</v>
      </c>
      <c r="D121" s="1333">
        <f>D102</f>
        <v>300</v>
      </c>
      <c r="E121" s="1342"/>
      <c r="F121" s="1342"/>
      <c r="G121" s="1335">
        <f>C121</f>
        <v>6.5</v>
      </c>
      <c r="H121" s="1301">
        <f>G121*D121</f>
        <v>1950</v>
      </c>
    </row>
    <row r="122" spans="1:8" x14ac:dyDescent="0.25">
      <c r="A122" s="28"/>
      <c r="B122" s="28" t="s">
        <v>602</v>
      </c>
      <c r="C122" s="1378"/>
      <c r="D122" s="1337">
        <v>1</v>
      </c>
      <c r="E122" s="1334">
        <v>25</v>
      </c>
      <c r="F122" s="1334">
        <v>4</v>
      </c>
      <c r="G122" s="1379">
        <v>13.6</v>
      </c>
      <c r="H122" s="1301">
        <f>G122*F122</f>
        <v>54.4</v>
      </c>
    </row>
    <row r="123" spans="1:8" x14ac:dyDescent="0.25">
      <c r="A123" s="28"/>
      <c r="B123" s="28" t="s">
        <v>603</v>
      </c>
      <c r="C123" s="1206"/>
      <c r="D123" s="1380"/>
      <c r="E123" s="1334">
        <v>35</v>
      </c>
      <c r="F123" s="1342"/>
      <c r="G123" s="1335"/>
      <c r="H123" s="1301"/>
    </row>
    <row r="124" spans="1:8" x14ac:dyDescent="0.25">
      <c r="A124" s="28"/>
      <c r="B124" s="39" t="s">
        <v>636</v>
      </c>
      <c r="C124" s="1206"/>
      <c r="D124" s="1380"/>
      <c r="E124" s="1334">
        <v>10</v>
      </c>
      <c r="F124" s="1342"/>
      <c r="G124" s="1335"/>
      <c r="H124" s="1301"/>
    </row>
    <row r="125" spans="1:8" x14ac:dyDescent="0.25">
      <c r="A125" s="28"/>
      <c r="B125" s="28" t="s">
        <v>604</v>
      </c>
      <c r="C125" s="1206"/>
      <c r="D125" s="1380"/>
      <c r="E125" s="1334">
        <v>18</v>
      </c>
      <c r="F125" s="1342"/>
      <c r="G125" s="1335"/>
      <c r="H125" s="1301"/>
    </row>
    <row r="126" spans="1:8" x14ac:dyDescent="0.25">
      <c r="A126" s="28"/>
      <c r="B126" s="28" t="s">
        <v>605</v>
      </c>
      <c r="C126" s="1378"/>
      <c r="D126" s="848"/>
      <c r="E126" s="1334">
        <v>3</v>
      </c>
      <c r="F126" s="1342"/>
      <c r="G126" s="1335"/>
      <c r="H126" s="1301"/>
    </row>
    <row r="127" spans="1:8" x14ac:dyDescent="0.25">
      <c r="A127" s="28"/>
      <c r="B127" s="28" t="s">
        <v>606</v>
      </c>
      <c r="C127" s="1339">
        <v>125</v>
      </c>
      <c r="D127" s="1340">
        <v>3</v>
      </c>
      <c r="E127" s="1334">
        <v>3</v>
      </c>
      <c r="F127" s="28"/>
      <c r="G127" s="1379">
        <v>3</v>
      </c>
      <c r="H127" s="1301">
        <f>G127*C127</f>
        <v>375</v>
      </c>
    </row>
    <row r="128" spans="1:8" ht="13.5" thickBot="1" x14ac:dyDescent="0.35">
      <c r="A128" s="17" t="s">
        <v>637</v>
      </c>
      <c r="B128" s="1205">
        <v>0.1</v>
      </c>
      <c r="C128" s="1206" t="s">
        <v>642</v>
      </c>
      <c r="D128" s="28"/>
      <c r="E128" s="1381">
        <f>SUM(E120:E127)*B128</f>
        <v>10.4</v>
      </c>
      <c r="F128" s="1342">
        <f>SUM(F120:F127)*B128</f>
        <v>0.60000000000000009</v>
      </c>
      <c r="G128" s="1342"/>
      <c r="H128" s="1319"/>
    </row>
    <row r="129" spans="1:8" ht="13" x14ac:dyDescent="0.3">
      <c r="A129" s="38"/>
      <c r="B129" s="39"/>
      <c r="C129" s="1382"/>
      <c r="D129" s="39"/>
      <c r="E129" s="1255">
        <f>SUM(E120:E128)</f>
        <v>114.4</v>
      </c>
      <c r="F129" s="1249">
        <f>SUM(F120:F128)</f>
        <v>6.6</v>
      </c>
      <c r="G129" s="1249"/>
      <c r="H129" s="1250">
        <f>SUM(H120:H128)</f>
        <v>2379.4</v>
      </c>
    </row>
    <row r="130" spans="1:8" ht="13" x14ac:dyDescent="0.3">
      <c r="A130" s="38" t="s">
        <v>343</v>
      </c>
      <c r="B130" s="39"/>
      <c r="C130" s="1383"/>
      <c r="D130" s="39"/>
      <c r="E130" s="39"/>
      <c r="F130" s="1383"/>
      <c r="G130" s="1383"/>
      <c r="H130" s="1384"/>
    </row>
    <row r="131" spans="1:8" x14ac:dyDescent="0.25">
      <c r="A131" s="28" t="s">
        <v>645</v>
      </c>
      <c r="B131" s="28"/>
      <c r="C131" s="28"/>
      <c r="D131" s="1342"/>
      <c r="E131" s="106"/>
      <c r="F131" s="28"/>
      <c r="G131" s="28"/>
      <c r="H131" s="1301">
        <f>H116</f>
        <v>8977.5299999999988</v>
      </c>
    </row>
    <row r="132" spans="1:8" ht="13" x14ac:dyDescent="0.3">
      <c r="A132" s="28" t="s">
        <v>610</v>
      </c>
      <c r="B132" s="17"/>
      <c r="C132" s="28" t="s">
        <v>646</v>
      </c>
      <c r="D132" s="1385">
        <f>F129</f>
        <v>6.6</v>
      </c>
      <c r="E132" s="106" t="s">
        <v>574</v>
      </c>
      <c r="F132" s="1317">
        <f>'Données normes'!D143</f>
        <v>41</v>
      </c>
      <c r="G132" s="1299"/>
      <c r="H132" s="1301">
        <f>((D132*F132)+H129)</f>
        <v>2650</v>
      </c>
    </row>
    <row r="133" spans="1:8" ht="13" thickBot="1" x14ac:dyDescent="0.3">
      <c r="A133" s="28" t="s">
        <v>614</v>
      </c>
      <c r="B133" s="28"/>
      <c r="C133" s="28" t="s">
        <v>643</v>
      </c>
      <c r="D133" s="1385">
        <f>E129</f>
        <v>114.4</v>
      </c>
      <c r="E133" s="106" t="s">
        <v>574</v>
      </c>
      <c r="F133" s="1317">
        <f>'Données normes'!C32</f>
        <v>35</v>
      </c>
      <c r="G133" s="1299"/>
      <c r="H133" s="1319">
        <f>D133*F133</f>
        <v>4004</v>
      </c>
    </row>
    <row r="134" spans="1:8" ht="13.5" thickBot="1" x14ac:dyDescent="0.35">
      <c r="A134" s="17" t="s">
        <v>613</v>
      </c>
      <c r="B134" s="38"/>
      <c r="C134" s="38"/>
      <c r="D134" s="38"/>
      <c r="E134" s="38"/>
      <c r="F134" s="38"/>
      <c r="G134" s="38"/>
      <c r="H134" s="1289">
        <f>SUM(H131:H133)</f>
        <v>15631.529999999999</v>
      </c>
    </row>
    <row r="135" spans="1:8" ht="13.5" thickTop="1" x14ac:dyDescent="0.3">
      <c r="A135" s="1389" t="s">
        <v>648</v>
      </c>
      <c r="B135" s="1390"/>
      <c r="C135" s="1390"/>
      <c r="D135" s="1390"/>
      <c r="E135" s="1390"/>
      <c r="F135" s="1390"/>
      <c r="G135" s="1390"/>
      <c r="H135" s="1391"/>
    </row>
    <row r="136" spans="1:8" x14ac:dyDescent="0.25">
      <c r="A136" s="28" t="s">
        <v>638</v>
      </c>
      <c r="B136" s="28"/>
      <c r="C136" s="28" t="s">
        <v>617</v>
      </c>
      <c r="D136" s="1386"/>
      <c r="E136" s="1387"/>
      <c r="F136" s="1359"/>
      <c r="G136" s="1359"/>
      <c r="H136" s="1301">
        <v>50</v>
      </c>
    </row>
    <row r="137" spans="1:8" x14ac:dyDescent="0.25">
      <c r="A137" s="28"/>
      <c r="B137" s="28"/>
      <c r="C137" s="1355" t="s">
        <v>618</v>
      </c>
      <c r="D137" s="1360"/>
      <c r="E137" s="1357">
        <v>4</v>
      </c>
      <c r="F137" s="1359">
        <f>'Variante données'!C37</f>
        <v>28</v>
      </c>
      <c r="G137" s="1359"/>
      <c r="H137" s="1301">
        <f>E137*F137</f>
        <v>112</v>
      </c>
    </row>
    <row r="138" spans="1:8" x14ac:dyDescent="0.25">
      <c r="A138" s="28"/>
      <c r="B138" s="28"/>
      <c r="C138" s="1355" t="s">
        <v>619</v>
      </c>
      <c r="D138" s="1360"/>
      <c r="E138" s="1357">
        <v>10</v>
      </c>
      <c r="F138" s="1359">
        <f>'Variante données'!C37</f>
        <v>28</v>
      </c>
      <c r="G138" s="1359"/>
      <c r="H138" s="1301">
        <f>E138*F138</f>
        <v>280</v>
      </c>
    </row>
    <row r="139" spans="1:8" x14ac:dyDescent="0.25">
      <c r="A139" s="28"/>
      <c r="B139" s="28"/>
      <c r="C139" s="1355" t="s">
        <v>620</v>
      </c>
      <c r="D139" s="1356"/>
      <c r="E139" s="1357">
        <v>10</v>
      </c>
      <c r="F139" s="1358">
        <v>24</v>
      </c>
      <c r="G139" s="1359"/>
      <c r="H139" s="1301">
        <f>E139*F139</f>
        <v>240</v>
      </c>
    </row>
    <row r="140" spans="1:8" ht="13" thickBot="1" x14ac:dyDescent="0.3">
      <c r="A140" s="28"/>
      <c r="B140" s="28"/>
      <c r="C140" s="28" t="s">
        <v>579</v>
      </c>
      <c r="D140" s="1360"/>
      <c r="E140" s="1406">
        <f>80%*D25</f>
        <v>2073.6</v>
      </c>
      <c r="F140" s="1388">
        <f>'Variante données'!C184</f>
        <v>0</v>
      </c>
      <c r="G140" s="1388"/>
      <c r="H140" s="1319">
        <f>E140*F140</f>
        <v>0</v>
      </c>
    </row>
    <row r="141" spans="1:8" ht="13" x14ac:dyDescent="0.3">
      <c r="A141" s="38" t="s">
        <v>649</v>
      </c>
      <c r="B141" s="38"/>
      <c r="C141" s="15"/>
      <c r="D141" s="38"/>
      <c r="E141" s="38"/>
      <c r="F141" s="38"/>
      <c r="G141" s="38"/>
      <c r="H141" s="1250">
        <f>SUM(H136:H140)</f>
        <v>682</v>
      </c>
    </row>
    <row r="142" spans="1:8" ht="13" x14ac:dyDescent="0.3">
      <c r="A142" s="13" t="s">
        <v>635</v>
      </c>
      <c r="B142" s="28"/>
      <c r="C142" s="28"/>
      <c r="D142" s="28"/>
      <c r="E142" s="1410" t="s">
        <v>68</v>
      </c>
      <c r="G142" s="1407">
        <f>'Variante données'!C187</f>
        <v>0</v>
      </c>
      <c r="H142" s="1250">
        <f>G142*H141</f>
        <v>0</v>
      </c>
    </row>
    <row r="143" spans="1:8" x14ac:dyDescent="0.25">
      <c r="A143" s="28"/>
      <c r="B143" s="28"/>
      <c r="C143" s="28"/>
      <c r="D143" s="28"/>
      <c r="E143" s="28"/>
      <c r="F143" s="28"/>
      <c r="G143" s="28"/>
      <c r="H143" s="28"/>
    </row>
  </sheetData>
  <mergeCells count="3">
    <mergeCell ref="D7:G7"/>
    <mergeCell ref="C31:F31"/>
    <mergeCell ref="C87:F87"/>
  </mergeCells>
  <phoneticPr fontId="24" type="noConversion"/>
  <pageMargins left="0.78740157499999996" right="0.78740157499999996" top="0.984251969" bottom="0.984251969" header="0.4921259845" footer="0.4921259845"/>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ndardErstellung1">
    <tabColor indexed="50"/>
  </sheetPr>
  <dimension ref="A1:AJ156"/>
  <sheetViews>
    <sheetView topLeftCell="A136" zoomScale="75" workbookViewId="0">
      <selection activeCell="E149" sqref="E149"/>
    </sheetView>
  </sheetViews>
  <sheetFormatPr baseColWidth="10" defaultRowHeight="12.5" x14ac:dyDescent="0.25"/>
  <cols>
    <col min="1" max="1" width="32.453125" customWidth="1"/>
    <col min="2" max="2" width="67.81640625" customWidth="1"/>
    <col min="3" max="3" width="16.453125" customWidth="1"/>
    <col min="4" max="4" width="20.453125" customWidth="1"/>
    <col min="5" max="5" width="17.54296875" customWidth="1"/>
    <col min="6" max="6" width="18.453125" customWidth="1"/>
    <col min="7" max="7" width="13.7265625" customWidth="1"/>
    <col min="8" max="36" width="11.453125" style="13" customWidth="1"/>
  </cols>
  <sheetData>
    <row r="1" spans="1:36" ht="57.15" customHeight="1" x14ac:dyDescent="0.5">
      <c r="A1" s="1441" t="str">
        <f>'Variante données'!A1</f>
        <v>Arbokost 2023</v>
      </c>
      <c r="B1" s="990"/>
      <c r="C1" s="766"/>
      <c r="D1" s="767"/>
      <c r="E1" s="768"/>
      <c r="F1" s="769"/>
      <c r="G1" s="70"/>
      <c r="H1"/>
      <c r="I1"/>
      <c r="J1"/>
      <c r="K1"/>
      <c r="L1"/>
      <c r="M1"/>
      <c r="N1"/>
      <c r="O1"/>
      <c r="P1"/>
      <c r="Q1"/>
      <c r="R1"/>
      <c r="S1"/>
      <c r="T1"/>
      <c r="U1"/>
      <c r="V1"/>
      <c r="W1"/>
      <c r="X1"/>
      <c r="Y1"/>
      <c r="Z1"/>
      <c r="AA1"/>
      <c r="AB1"/>
      <c r="AC1"/>
      <c r="AD1"/>
      <c r="AE1"/>
      <c r="AF1"/>
      <c r="AG1"/>
      <c r="AH1"/>
      <c r="AI1"/>
      <c r="AJ1"/>
    </row>
    <row r="2" spans="1:36" ht="23.25" customHeight="1" x14ac:dyDescent="0.35">
      <c r="A2" s="973" t="s">
        <v>91</v>
      </c>
      <c r="B2" s="990"/>
      <c r="C2" s="766"/>
      <c r="D2" s="767"/>
      <c r="E2" s="768"/>
      <c r="F2" s="769"/>
      <c r="G2" s="70"/>
      <c r="H2"/>
      <c r="I2"/>
      <c r="J2"/>
      <c r="K2"/>
      <c r="L2"/>
      <c r="M2"/>
      <c r="N2"/>
      <c r="O2"/>
      <c r="P2"/>
      <c r="Q2"/>
      <c r="R2"/>
      <c r="S2"/>
      <c r="T2"/>
      <c r="U2"/>
      <c r="V2"/>
      <c r="W2"/>
      <c r="X2"/>
      <c r="Y2"/>
      <c r="Z2"/>
      <c r="AA2"/>
      <c r="AB2"/>
      <c r="AC2"/>
      <c r="AD2"/>
      <c r="AE2"/>
      <c r="AF2"/>
      <c r="AG2"/>
      <c r="AH2"/>
      <c r="AI2"/>
      <c r="AJ2"/>
    </row>
    <row r="3" spans="1:36" ht="62.25" customHeight="1" x14ac:dyDescent="0.25">
      <c r="A3" s="805" t="str">
        <f>'Variante données'!A3</f>
        <v>Définition variante:</v>
      </c>
      <c r="B3" s="1483" t="str">
        <f>'Variante données'!B3:H3</f>
        <v>Culture actuelle de pommes de table sur des porte-greffes faibles. Les valeurs sont basées sur des exploitations agricoles mixtes avec 2-5 ha de vergers, à un endroit approprié sur l'un des domaines de production principal en Suisse.</v>
      </c>
      <c r="C3" s="1499"/>
      <c r="D3" s="1499"/>
      <c r="E3" s="1499"/>
      <c r="F3" s="1499"/>
      <c r="G3" s="974"/>
      <c r="H3"/>
      <c r="I3"/>
      <c r="J3"/>
      <c r="K3"/>
      <c r="L3"/>
      <c r="M3"/>
      <c r="N3"/>
      <c r="O3"/>
      <c r="P3"/>
      <c r="Q3"/>
      <c r="R3"/>
      <c r="S3"/>
      <c r="T3"/>
      <c r="U3"/>
      <c r="V3"/>
      <c r="W3"/>
      <c r="X3"/>
      <c r="Y3"/>
      <c r="Z3"/>
      <c r="AA3"/>
      <c r="AB3"/>
      <c r="AC3"/>
      <c r="AD3"/>
      <c r="AE3"/>
      <c r="AF3"/>
      <c r="AG3"/>
      <c r="AH3"/>
      <c r="AI3"/>
      <c r="AJ3"/>
    </row>
    <row r="4" spans="1:36" s="1" customFormat="1" ht="21.65" customHeight="1" x14ac:dyDescent="0.35">
      <c r="A4" s="807"/>
      <c r="B4" s="807"/>
      <c r="C4" s="766"/>
      <c r="D4" s="767"/>
      <c r="E4" s="768"/>
      <c r="F4" s="769"/>
      <c r="G4" s="70"/>
    </row>
    <row r="5" spans="1:36" ht="30.65" customHeight="1" x14ac:dyDescent="0.5">
      <c r="A5" s="384" t="s">
        <v>651</v>
      </c>
      <c r="B5" s="385"/>
      <c r="C5" s="385"/>
      <c r="D5" s="385"/>
      <c r="E5" s="385"/>
      <c r="F5" s="385"/>
      <c r="G5" s="114"/>
    </row>
    <row r="6" spans="1:36" ht="15.5" x14ac:dyDescent="0.35">
      <c r="A6" s="18"/>
      <c r="B6" s="674"/>
      <c r="C6" s="242"/>
      <c r="F6" s="33"/>
      <c r="G6" s="1"/>
    </row>
    <row r="7" spans="1:36" s="12" customFormat="1" ht="20" customHeight="1" x14ac:dyDescent="0.3">
      <c r="A7" s="1"/>
      <c r="B7" s="3"/>
      <c r="C7" s="86" t="s">
        <v>244</v>
      </c>
      <c r="D7" s="86" t="s">
        <v>282</v>
      </c>
      <c r="E7" s="86" t="s">
        <v>343</v>
      </c>
      <c r="F7" s="280" t="s">
        <v>461</v>
      </c>
      <c r="G7" s="282"/>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row>
    <row r="8" spans="1:36" ht="13" x14ac:dyDescent="0.3">
      <c r="A8" s="808" t="s">
        <v>200</v>
      </c>
      <c r="B8" s="18"/>
      <c r="C8" s="128">
        <f>'Variante données'!B24</f>
        <v>2000</v>
      </c>
      <c r="D8" s="42">
        <f>'Variante données'!C31</f>
        <v>8.5</v>
      </c>
      <c r="E8" s="80">
        <f>C8*D8</f>
        <v>17000</v>
      </c>
      <c r="F8" s="730">
        <f>E8/$E$83</f>
        <v>0.39447252774764058</v>
      </c>
    </row>
    <row r="9" spans="1:36" ht="13" x14ac:dyDescent="0.3">
      <c r="A9" s="38"/>
      <c r="B9" s="18"/>
      <c r="C9" s="128"/>
      <c r="D9" s="42"/>
      <c r="E9" s="80"/>
      <c r="F9" s="725"/>
    </row>
    <row r="10" spans="1:36" x14ac:dyDescent="0.25">
      <c r="A10" s="1500" t="s">
        <v>283</v>
      </c>
      <c r="B10" s="18" t="str">
        <f>'Variante grêle'!B11</f>
        <v>Tuteur à chaque arbre</v>
      </c>
      <c r="C10" s="128">
        <f>'Variante grêle'!C11</f>
        <v>2000</v>
      </c>
      <c r="D10" s="42">
        <f>'Variante grêle'!D11</f>
        <v>1.593</v>
      </c>
      <c r="E10" s="43">
        <f>C10*D10</f>
        <v>3186</v>
      </c>
      <c r="F10" s="725">
        <f>E10/$E$83</f>
        <v>7.3928792553175457E-2</v>
      </c>
      <c r="G10" s="78"/>
    </row>
    <row r="11" spans="1:36" x14ac:dyDescent="0.25">
      <c r="A11" s="1500"/>
      <c r="B11" s="18" t="str">
        <f>'Variante grêle'!B12</f>
        <v xml:space="preserve">Fils de fer 3 mm </v>
      </c>
      <c r="C11" s="128">
        <f>'Variante grêle'!C12</f>
        <v>2070</v>
      </c>
      <c r="D11" s="42">
        <f>'Variante grêle'!D12</f>
        <v>0.1888</v>
      </c>
      <c r="E11" s="43">
        <f>C11*D11</f>
        <v>390.81599999999997</v>
      </c>
      <c r="F11" s="725">
        <f>E11/$E$83</f>
        <v>9.0685985531895226E-3</v>
      </c>
      <c r="G11" s="78"/>
    </row>
    <row r="12" spans="1:36" x14ac:dyDescent="0.25">
      <c r="A12" s="1500"/>
      <c r="B12" s="18" t="str">
        <f>'Variante grêle'!B13</f>
        <v>Agrafes</v>
      </c>
      <c r="C12" s="128">
        <f>'Variante grêle'!C13</f>
        <v>4.9090909090909092</v>
      </c>
      <c r="D12" s="42">
        <f>'Variante grêle'!D13</f>
        <v>6.4899999999999993</v>
      </c>
      <c r="E12" s="43">
        <f>C12*D12</f>
        <v>31.859999999999996</v>
      </c>
      <c r="F12" s="725">
        <f>E12/$E$83</f>
        <v>7.3928792553175457E-4</v>
      </c>
      <c r="G12" s="78"/>
    </row>
    <row r="13" spans="1:36" ht="13" thickBot="1" x14ac:dyDescent="0.3">
      <c r="A13" s="1500"/>
      <c r="B13" s="18" t="str">
        <f>'Variante grêle'!B14</f>
        <v xml:space="preserve">Attaches </v>
      </c>
      <c r="C13" s="128">
        <f>'Variante grêle'!C14</f>
        <v>2000</v>
      </c>
      <c r="D13" s="42">
        <f>'Variante grêle'!D14</f>
        <v>0.23599999999999999</v>
      </c>
      <c r="E13" s="464">
        <f>C13*D13</f>
        <v>472</v>
      </c>
      <c r="F13" s="725">
        <f>E13/$E$83</f>
        <v>1.095241371158155E-2</v>
      </c>
      <c r="G13" s="78"/>
    </row>
    <row r="14" spans="1:36" ht="13" x14ac:dyDescent="0.3">
      <c r="A14" s="38"/>
      <c r="B14" s="18"/>
      <c r="C14" s="128"/>
      <c r="D14" s="42"/>
      <c r="E14" s="581">
        <f>SUM(E9:E13)</f>
        <v>4080.6759999999999</v>
      </c>
      <c r="F14" s="730">
        <f>E14/$E$83</f>
        <v>9.4689092743478295E-2</v>
      </c>
      <c r="G14" s="78"/>
    </row>
    <row r="15" spans="1:36" ht="13.65" customHeight="1" x14ac:dyDescent="0.3">
      <c r="A15" s="38"/>
      <c r="B15" s="18"/>
      <c r="C15" s="268"/>
      <c r="D15" s="105"/>
      <c r="E15" s="581"/>
      <c r="F15" s="725"/>
      <c r="G15" s="78"/>
    </row>
    <row r="16" spans="1:36" ht="13.65" customHeight="1" x14ac:dyDescent="0.25">
      <c r="A16" s="1500" t="s">
        <v>284</v>
      </c>
      <c r="B16" s="18" t="str">
        <f>'Variante grêle'!B16</f>
        <v>Largeur standard à trois fils m2</v>
      </c>
      <c r="C16" s="44">
        <f>'Variante grêle'!C16</f>
        <v>9800</v>
      </c>
      <c r="D16" s="42">
        <f>'Variante grêle'!D16</f>
        <v>0.6843999999999999</v>
      </c>
      <c r="E16" s="217">
        <f t="shared" ref="E16:E25" si="0">C16*D16</f>
        <v>6707.119999999999</v>
      </c>
      <c r="F16" s="725">
        <f t="shared" ref="F16:F27" si="1">E16/$E$83</f>
        <v>0.1556337988415738</v>
      </c>
      <c r="G16" s="78"/>
    </row>
    <row r="17" spans="1:7" ht="13.65" customHeight="1" x14ac:dyDescent="0.25">
      <c r="A17" s="1500"/>
      <c r="B17" s="18" t="str">
        <f>'Variante grêle'!B17</f>
        <v>Plaquettes de faîte</v>
      </c>
      <c r="C17" s="44">
        <f>'Variante grêle'!C17</f>
        <v>803.30578512396698</v>
      </c>
      <c r="D17" s="42">
        <f>'Variante grêle'!D17</f>
        <v>0.33040000000000003</v>
      </c>
      <c r="E17" s="217">
        <f t="shared" si="0"/>
        <v>265.41223140495873</v>
      </c>
      <c r="F17" s="725">
        <f t="shared" si="1"/>
        <v>6.1586961069091638E-3</v>
      </c>
      <c r="G17" s="78"/>
    </row>
    <row r="18" spans="1:7" ht="13.65" customHeight="1" x14ac:dyDescent="0.25">
      <c r="A18" s="1500"/>
      <c r="B18" s="18" t="str">
        <f>'Variante grêle'!B18</f>
        <v xml:space="preserve">Plaquettes de gouttière FRUSTAR1 </v>
      </c>
      <c r="C18" s="44">
        <f>'Variante grêle'!C18</f>
        <v>1431.818181818182</v>
      </c>
      <c r="D18" s="42">
        <f>'Variante grêle'!D18</f>
        <v>0.97939999999999994</v>
      </c>
      <c r="E18" s="217">
        <f t="shared" si="0"/>
        <v>1402.3227272727274</v>
      </c>
      <c r="F18" s="725">
        <f t="shared" si="1"/>
        <v>3.2539870055602237E-2</v>
      </c>
      <c r="G18" s="78"/>
    </row>
    <row r="19" spans="1:7" ht="13.65" customHeight="1" x14ac:dyDescent="0.25">
      <c r="A19" s="1500"/>
      <c r="B19" s="18" t="str">
        <f>'Variante grêle'!B19</f>
        <v xml:space="preserve">Plaquettes standard avec crochet </v>
      </c>
      <c r="C19" s="44">
        <f>'Variante grêle'!C19</f>
        <v>100</v>
      </c>
      <c r="D19" s="42">
        <f>'Variante grêle'!D19</f>
        <v>0.64900000000000002</v>
      </c>
      <c r="E19" s="217">
        <f t="shared" si="0"/>
        <v>64.900000000000006</v>
      </c>
      <c r="F19" s="725">
        <f t="shared" si="1"/>
        <v>1.5059568853424633E-3</v>
      </c>
      <c r="G19" s="78"/>
    </row>
    <row r="20" spans="1:7" ht="13.65" customHeight="1" x14ac:dyDescent="0.25">
      <c r="A20" s="1500"/>
      <c r="B20" s="18" t="str">
        <f>'Variante grêle'!B20</f>
        <v xml:space="preserve">Câble frontal 9.5 mm </v>
      </c>
      <c r="C20" s="44">
        <f>'Variante grêle'!C20</f>
        <v>165</v>
      </c>
      <c r="D20" s="42">
        <f>'Variante grêle'!D20</f>
        <v>1.4041999999999999</v>
      </c>
      <c r="E20" s="217">
        <f t="shared" si="0"/>
        <v>231.69299999999998</v>
      </c>
      <c r="F20" s="725">
        <f t="shared" si="1"/>
        <v>5.3762660806725929E-3</v>
      </c>
      <c r="G20" s="78"/>
    </row>
    <row r="21" spans="1:7" ht="13.65" customHeight="1" x14ac:dyDescent="0.25">
      <c r="A21" s="1500"/>
      <c r="B21" s="18" t="str">
        <f>'Variante grêle'!B21</f>
        <v>Câble d'ancrage 9.5 mm</v>
      </c>
      <c r="C21" s="44">
        <f>'Variante grêle'!C21</f>
        <v>253.63636363636365</v>
      </c>
      <c r="D21" s="42">
        <f>'Variante grêle'!D21</f>
        <v>1.4041999999999999</v>
      </c>
      <c r="E21" s="217">
        <f t="shared" si="0"/>
        <v>356.15618181818184</v>
      </c>
      <c r="F21" s="725">
        <f t="shared" si="1"/>
        <v>8.264342900868615E-3</v>
      </c>
      <c r="G21" s="78"/>
    </row>
    <row r="22" spans="1:7" ht="13.65" customHeight="1" x14ac:dyDescent="0.25">
      <c r="A22" s="1500"/>
      <c r="B22" s="18" t="str">
        <f>'Variante grêle'!B22</f>
        <v xml:space="preserve">Câble transversal 9 mm </v>
      </c>
      <c r="C22" s="44">
        <f>'Variante grêle'!C22</f>
        <v>810</v>
      </c>
      <c r="D22" s="42">
        <f>'Variante grêle'!D22</f>
        <v>0.82599999999999996</v>
      </c>
      <c r="E22" s="217">
        <f t="shared" si="0"/>
        <v>669.06</v>
      </c>
      <c r="F22" s="725">
        <f t="shared" si="1"/>
        <v>1.5525046436166846E-2</v>
      </c>
      <c r="G22" s="78"/>
    </row>
    <row r="23" spans="1:7" ht="13.65" customHeight="1" x14ac:dyDescent="0.25">
      <c r="A23" s="1500"/>
      <c r="B23" s="18" t="str">
        <f>'Variante grêle'!B23</f>
        <v>Fil de faîtage</v>
      </c>
      <c r="C23" s="44">
        <f>'Variante grêle'!C23</f>
        <v>2536.3636363636365</v>
      </c>
      <c r="D23" s="42">
        <f>'Variante grêle'!D23</f>
        <v>0.35399999999999998</v>
      </c>
      <c r="E23" s="217">
        <f t="shared" si="0"/>
        <v>897.87272727272727</v>
      </c>
      <c r="F23" s="725">
        <f t="shared" si="1"/>
        <v>2.083447790134945E-2</v>
      </c>
      <c r="G23" s="78"/>
    </row>
    <row r="24" spans="1:7" ht="13.65" customHeight="1" x14ac:dyDescent="0.25">
      <c r="A24" s="1500"/>
      <c r="B24" s="18" t="str">
        <f>'Variante grêle'!B24</f>
        <v>Ficelle pour filet</v>
      </c>
      <c r="C24" s="44">
        <f>'Variante grêle'!C24</f>
        <v>2781.818181818182</v>
      </c>
      <c r="D24" s="42">
        <f>'Variante grêle'!D24</f>
        <v>0.11799999999999999</v>
      </c>
      <c r="E24" s="217">
        <f t="shared" si="0"/>
        <v>328.25454545454545</v>
      </c>
      <c r="F24" s="725">
        <f t="shared" si="1"/>
        <v>7.6169058994180784E-3</v>
      </c>
      <c r="G24" s="78"/>
    </row>
    <row r="25" spans="1:7" ht="13.65" customHeight="1" x14ac:dyDescent="0.25">
      <c r="A25" s="1500"/>
      <c r="B25" s="18" t="str">
        <f>'Variante grêle'!B25</f>
        <v>Tendeur (pour fil de fer)</v>
      </c>
      <c r="C25" s="44">
        <f>'Variante grêle'!C25</f>
        <v>26</v>
      </c>
      <c r="D25" s="42">
        <f>'Variante grêle'!D25</f>
        <v>10.797000000000001</v>
      </c>
      <c r="E25" s="217">
        <f t="shared" si="0"/>
        <v>280.72200000000004</v>
      </c>
      <c r="F25" s="725">
        <f t="shared" si="1"/>
        <v>6.5139480549631281E-3</v>
      </c>
      <c r="G25" s="78"/>
    </row>
    <row r="26" spans="1:7" ht="13.65" customHeight="1" thickBot="1" x14ac:dyDescent="0.3">
      <c r="A26" s="1500"/>
      <c r="B26" s="18" t="str">
        <f>'Variante grêle'!B26</f>
        <v>Petit matériel</v>
      </c>
      <c r="C26" s="44"/>
      <c r="D26" s="42"/>
      <c r="E26" s="580">
        <f>'Variante grêle'!E26</f>
        <v>550</v>
      </c>
      <c r="F26" s="725">
        <f t="shared" si="1"/>
        <v>1.2762346485953077E-2</v>
      </c>
      <c r="G26" s="78"/>
    </row>
    <row r="27" spans="1:7" ht="13.65" customHeight="1" x14ac:dyDescent="0.3">
      <c r="A27" s="3"/>
      <c r="B27" s="18"/>
      <c r="C27" s="41"/>
      <c r="D27" s="42"/>
      <c r="E27" s="656">
        <f>SUM(E16:E26)</f>
        <v>11753.513413223138</v>
      </c>
      <c r="F27" s="730">
        <f t="shared" si="1"/>
        <v>0.2727316556488194</v>
      </c>
      <c r="G27" s="78"/>
    </row>
    <row r="28" spans="1:7" ht="13.65" customHeight="1" x14ac:dyDescent="0.3">
      <c r="A28" s="38"/>
      <c r="B28" s="18"/>
      <c r="C28" s="41"/>
      <c r="D28" s="42"/>
      <c r="E28" s="217"/>
      <c r="F28" s="725"/>
      <c r="G28" s="78"/>
    </row>
    <row r="29" spans="1:7" ht="13.65" customHeight="1" x14ac:dyDescent="0.25">
      <c r="A29" s="1501" t="s">
        <v>344</v>
      </c>
      <c r="B29" s="18" t="str">
        <f>'Variante grêle'!B28</f>
        <v>Tuteurs de ligne 4 m 8/10 10 m d'espacement</v>
      </c>
      <c r="C29" s="44">
        <f>'Variante grêle'!C28</f>
        <v>196.36363636363637</v>
      </c>
      <c r="D29" s="42">
        <f>'Variante grêle'!D28</f>
        <v>21.83</v>
      </c>
      <c r="E29" s="217">
        <f>C29*D29</f>
        <v>4286.6181818181813</v>
      </c>
      <c r="F29" s="725">
        <f t="shared" ref="F29:F34" si="2">E29/$E$83</f>
        <v>9.9467829980636066E-2</v>
      </c>
      <c r="G29" s="78"/>
    </row>
    <row r="30" spans="1:7" ht="13.65" customHeight="1" x14ac:dyDescent="0.25">
      <c r="A30" s="1501"/>
      <c r="B30" s="18" t="str">
        <f>'Variante grêle'!B29</f>
        <v>Tuteurs à l'extrémité 4.20 m 10/1210</v>
      </c>
      <c r="C30" s="44">
        <f>'Variante grêle'!C29</f>
        <v>36</v>
      </c>
      <c r="D30" s="42">
        <f>'Variante grêle'!D29</f>
        <v>31.86</v>
      </c>
      <c r="E30" s="217">
        <f>C30*D30</f>
        <v>1146.96</v>
      </c>
      <c r="F30" s="725">
        <f t="shared" si="2"/>
        <v>2.6614365319143168E-2</v>
      </c>
      <c r="G30" s="78"/>
    </row>
    <row r="31" spans="1:7" ht="13.65" customHeight="1" x14ac:dyDescent="0.25">
      <c r="A31" s="1501"/>
      <c r="B31" s="18" t="str">
        <f>'Variante grêle'!B30</f>
        <v>Tuteurs au coin 4.50 m 13/15</v>
      </c>
      <c r="C31" s="44">
        <f>'Variante grêle'!C30</f>
        <v>4</v>
      </c>
      <c r="D31" s="42">
        <f>'Variante grêle'!D30</f>
        <v>69.560999999999993</v>
      </c>
      <c r="E31" s="217">
        <f>C31*D31</f>
        <v>278.24399999999997</v>
      </c>
      <c r="F31" s="725">
        <f t="shared" si="2"/>
        <v>6.4564478829773229E-3</v>
      </c>
      <c r="G31" s="78"/>
    </row>
    <row r="32" spans="1:7" ht="13.65" customHeight="1" x14ac:dyDescent="0.25">
      <c r="A32" s="1501"/>
      <c r="B32" s="18" t="str">
        <f>'Variante grêle'!B31</f>
        <v>Armature</v>
      </c>
      <c r="C32" s="44">
        <f>'Variante grêle'!C31</f>
        <v>58.909090909090914</v>
      </c>
      <c r="D32" s="42">
        <f>'Variante grêle'!D31</f>
        <v>23.776999999999997</v>
      </c>
      <c r="E32" s="217">
        <f>C32*D32</f>
        <v>1400.6814545454545</v>
      </c>
      <c r="F32" s="725">
        <f t="shared" si="2"/>
        <v>3.2501785526105137E-2</v>
      </c>
      <c r="G32" s="78"/>
    </row>
    <row r="33" spans="1:36" ht="13.65" customHeight="1" thickBot="1" x14ac:dyDescent="0.3">
      <c r="A33" s="1501"/>
      <c r="B33" s="18" t="str">
        <f>'Variante grêle'!B32</f>
        <v xml:space="preserve">Chapeaux (pour poteaux) </v>
      </c>
      <c r="C33" s="44">
        <f>'Variante grêle'!C32</f>
        <v>55.63636363636364</v>
      </c>
      <c r="D33" s="42">
        <f>'Variante grêle'!D32</f>
        <v>1.18</v>
      </c>
      <c r="E33" s="580">
        <f>C33*D33</f>
        <v>65.650909090909096</v>
      </c>
      <c r="F33" s="725">
        <f t="shared" si="2"/>
        <v>1.5233811798836157E-3</v>
      </c>
      <c r="G33" s="78"/>
    </row>
    <row r="34" spans="1:36" ht="13.65" customHeight="1" x14ac:dyDescent="0.3">
      <c r="A34" s="38"/>
      <c r="B34" s="18"/>
      <c r="C34" s="44"/>
      <c r="D34" s="42"/>
      <c r="E34" s="581">
        <f>SUM(E29:E33)</f>
        <v>7178.1545454545449</v>
      </c>
      <c r="F34" s="730">
        <f t="shared" si="2"/>
        <v>0.16656380988874531</v>
      </c>
      <c r="G34" s="78"/>
    </row>
    <row r="35" spans="1:36" ht="13.65" customHeight="1" x14ac:dyDescent="0.3">
      <c r="A35" s="38"/>
      <c r="B35" s="18"/>
      <c r="C35" s="268"/>
      <c r="D35" s="105"/>
      <c r="E35" s="581"/>
      <c r="F35" s="725"/>
      <c r="G35" s="78"/>
    </row>
    <row r="36" spans="1:36" x14ac:dyDescent="0.25">
      <c r="A36" s="1500" t="s">
        <v>275</v>
      </c>
      <c r="B36" s="18" t="s">
        <v>304</v>
      </c>
      <c r="C36" s="267">
        <f>'Variante grêle'!C35</f>
        <v>40</v>
      </c>
      <c r="D36" s="42">
        <f>'Variante grêle'!D35</f>
        <v>7.2</v>
      </c>
      <c r="E36" s="43">
        <f>C36*D36</f>
        <v>288</v>
      </c>
      <c r="F36" s="725">
        <f>E36/E83</f>
        <v>6.6828287053717931E-3</v>
      </c>
      <c r="G36" s="5"/>
    </row>
    <row r="37" spans="1:36" x14ac:dyDescent="0.25">
      <c r="A37" s="1500"/>
      <c r="B37" s="18" t="s">
        <v>305</v>
      </c>
      <c r="C37" s="268"/>
      <c r="D37" s="41"/>
      <c r="E37" s="42">
        <f>'Variante grêle'!E36</f>
        <v>125</v>
      </c>
      <c r="F37" s="725">
        <f>E37/E83</f>
        <v>2.9005332922620629E-3</v>
      </c>
      <c r="G37" s="5"/>
    </row>
    <row r="38" spans="1:36" ht="13" thickBot="1" x14ac:dyDescent="0.3">
      <c r="A38" s="1500"/>
      <c r="B38" s="18" t="s">
        <v>345</v>
      </c>
      <c r="C38" s="268"/>
      <c r="D38" s="41"/>
      <c r="E38" s="387">
        <f>'Variante grêle'!E37</f>
        <v>500</v>
      </c>
      <c r="F38" s="725">
        <f>E38/E83</f>
        <v>1.1602133169048252E-2</v>
      </c>
      <c r="G38" s="5"/>
    </row>
    <row r="39" spans="1:36" ht="13" x14ac:dyDescent="0.3">
      <c r="A39" s="18"/>
      <c r="B39" s="18"/>
      <c r="C39" s="18"/>
      <c r="D39" s="42"/>
      <c r="E39" s="80">
        <f>SUM(E36:E38)</f>
        <v>913</v>
      </c>
      <c r="F39" s="730">
        <f>E39/E83</f>
        <v>2.1185495166682108E-2</v>
      </c>
      <c r="G39" s="5"/>
    </row>
    <row r="40" spans="1:36" s="1" customFormat="1" ht="13" x14ac:dyDescent="0.3">
      <c r="A40" s="18"/>
      <c r="B40" s="18"/>
      <c r="C40" s="18"/>
      <c r="D40" s="42"/>
      <c r="E40" s="80"/>
      <c r="F40" s="214"/>
      <c r="G40" s="5"/>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row>
    <row r="41" spans="1:36" s="1" customFormat="1" ht="13" x14ac:dyDescent="0.3">
      <c r="A41" s="18" t="str">
        <f>'Variante grêle'!A59</f>
        <v>Economie des coûts de palissage grâce à l'installation du filet anti-grêle</v>
      </c>
      <c r="B41" s="18"/>
      <c r="C41" s="18"/>
      <c r="D41" s="42"/>
      <c r="E41" s="80"/>
      <c r="F41" s="214"/>
      <c r="G41" s="5"/>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row>
    <row r="42" spans="1:36" s="1" customFormat="1" x14ac:dyDescent="0.25">
      <c r="A42" s="18"/>
      <c r="B42" s="18" t="str">
        <f>'Variante grêle'!B60</f>
        <v>Tuteurs à l'extrémité</v>
      </c>
      <c r="C42" s="44">
        <f>'Variante grêle'!C60</f>
        <v>45</v>
      </c>
      <c r="D42" s="42">
        <f>'Variante grêle'!D60</f>
        <v>14</v>
      </c>
      <c r="E42" s="148">
        <f>C42*D42</f>
        <v>630</v>
      </c>
      <c r="F42" s="214"/>
      <c r="G42" s="5"/>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row>
    <row r="43" spans="1:36" s="1" customFormat="1" x14ac:dyDescent="0.25">
      <c r="A43" s="18"/>
      <c r="B43" s="18" t="str">
        <f>'Variante grêle'!B61</f>
        <v>Tuteurs intermédiaires</v>
      </c>
      <c r="C43" s="44">
        <f>'Variante grêle'!C61</f>
        <v>275</v>
      </c>
      <c r="D43" s="42">
        <f>'Variante grêle'!D61</f>
        <v>10</v>
      </c>
      <c r="E43" s="148">
        <f>C43*D43</f>
        <v>2750</v>
      </c>
      <c r="F43" s="214"/>
      <c r="G43" s="5"/>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row>
    <row r="44" spans="1:36" s="1" customFormat="1" ht="13" thickBot="1" x14ac:dyDescent="0.3">
      <c r="A44" s="18"/>
      <c r="B44" s="18" t="str">
        <f>'Variante grêle'!B62</f>
        <v>Ancres à assiette</v>
      </c>
      <c r="C44" s="44">
        <f>'Variante grêle'!C62</f>
        <v>45</v>
      </c>
      <c r="D44" s="42">
        <f>'Variante grêle'!D62</f>
        <v>5.2</v>
      </c>
      <c r="E44" s="582">
        <f>C44*D44</f>
        <v>234</v>
      </c>
      <c r="F44" s="214"/>
      <c r="G44" s="5"/>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row>
    <row r="45" spans="1:36" s="1" customFormat="1" ht="13" x14ac:dyDescent="0.3">
      <c r="A45" s="18"/>
      <c r="B45" s="18"/>
      <c r="C45" s="18"/>
      <c r="D45" s="42"/>
      <c r="E45" s="82">
        <f>SUM(E42:E44)</f>
        <v>3614</v>
      </c>
      <c r="F45" s="214"/>
      <c r="G45" s="5"/>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row>
    <row r="46" spans="1:36" s="1" customFormat="1" ht="13" x14ac:dyDescent="0.3">
      <c r="D46" s="45"/>
      <c r="E46" s="52"/>
      <c r="F46" s="147"/>
      <c r="G46" s="5"/>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row>
    <row r="47" spans="1:36" ht="20" customHeight="1" x14ac:dyDescent="0.35">
      <c r="A47" s="592" t="s">
        <v>412</v>
      </c>
      <c r="B47" s="524"/>
      <c r="C47" s="675"/>
      <c r="D47" s="596"/>
      <c r="E47" s="1445">
        <f>E39+E14+E8+'Variante données'!$C$181*'Variante plantation'!E27+'Variante données'!$C$181*'Variante plantation'!E34-'Variante données'!$C$181*'Variante plantation'!E45</f>
        <v>21993.675999999999</v>
      </c>
      <c r="F47" s="677">
        <f>E47/E83</f>
        <v>0.510347115657801</v>
      </c>
      <c r="G47" s="5"/>
    </row>
    <row r="48" spans="1:36" s="1" customFormat="1" ht="20" customHeight="1" x14ac:dyDescent="0.35">
      <c r="A48" s="2"/>
      <c r="C48" s="6"/>
      <c r="D48" s="45"/>
      <c r="E48" s="283"/>
      <c r="F48" s="87"/>
      <c r="G48" s="5"/>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row>
    <row r="49" spans="1:7" ht="13" x14ac:dyDescent="0.3">
      <c r="A49" s="38"/>
      <c r="B49" s="18"/>
      <c r="C49" s="284" t="s">
        <v>58</v>
      </c>
      <c r="D49" s="285" t="s">
        <v>52</v>
      </c>
      <c r="E49" s="286" t="s">
        <v>343</v>
      </c>
      <c r="F49" s="809"/>
      <c r="G49" s="5"/>
    </row>
    <row r="50" spans="1:7" ht="13" x14ac:dyDescent="0.3">
      <c r="A50" s="38"/>
      <c r="B50" s="18"/>
      <c r="C50" s="37"/>
      <c r="D50" s="42"/>
      <c r="E50" s="43"/>
      <c r="F50" s="133"/>
      <c r="G50" s="5"/>
    </row>
    <row r="51" spans="1:7" ht="13" x14ac:dyDescent="0.3">
      <c r="A51" s="38" t="s">
        <v>163</v>
      </c>
      <c r="B51" s="18" t="str">
        <f>'Variante données'!B146</f>
        <v>Charrue bisoc</v>
      </c>
      <c r="C51" s="37">
        <f>'Variante données'!C146</f>
        <v>3.8</v>
      </c>
      <c r="D51" s="451">
        <f>'Variante données'!$D$146*(1+'Page variable'!$C$33)</f>
        <v>23</v>
      </c>
      <c r="E51" s="43">
        <f t="shared" ref="E51:E60" si="3">C51*D51</f>
        <v>87.399999999999991</v>
      </c>
      <c r="F51" s="733">
        <f>E51/E83</f>
        <v>2.0280528779496342E-3</v>
      </c>
      <c r="G51" s="5"/>
    </row>
    <row r="52" spans="1:7" x14ac:dyDescent="0.25">
      <c r="A52" s="810"/>
      <c r="B52" s="18" t="str">
        <f>'Variante données'!B147</f>
        <v>Herse rotative avec émotteuse à battes, 3 m</v>
      </c>
      <c r="C52" s="37">
        <f>'Variante données'!C147</f>
        <v>1.8</v>
      </c>
      <c r="D52" s="451">
        <f>'Variante données'!D147*(1+'Page variable'!$C$33)</f>
        <v>51.6</v>
      </c>
      <c r="E52" s="43">
        <f t="shared" si="3"/>
        <v>92.88000000000001</v>
      </c>
      <c r="F52" s="733">
        <f>E52/E83</f>
        <v>2.1552122574824036E-3</v>
      </c>
      <c r="G52" s="5"/>
    </row>
    <row r="53" spans="1:7" x14ac:dyDescent="0.25">
      <c r="A53" s="18"/>
      <c r="B53" s="18" t="str">
        <f>'Variante données'!B148</f>
        <v>Semoir 3 m</v>
      </c>
      <c r="C53" s="37">
        <f>'Variante données'!C148</f>
        <v>1.6</v>
      </c>
      <c r="D53" s="451">
        <f>'Variante données'!D148*(1+'Page variable'!$C$33)</f>
        <v>90</v>
      </c>
      <c r="E53" s="43">
        <f t="shared" si="3"/>
        <v>144</v>
      </c>
      <c r="F53" s="733">
        <f>E53/E83</f>
        <v>3.3414143526858966E-3</v>
      </c>
      <c r="G53" s="5"/>
    </row>
    <row r="54" spans="1:7" x14ac:dyDescent="0.25">
      <c r="A54" s="18"/>
      <c r="B54" s="18" t="str">
        <f>'Variante données'!B149</f>
        <v>Char, 3 t</v>
      </c>
      <c r="C54" s="561">
        <v>15</v>
      </c>
      <c r="D54" s="94">
        <f>'Variante données'!D149*(1+'Page variable'!$C$33)</f>
        <v>13.9</v>
      </c>
      <c r="E54" s="43">
        <f t="shared" si="3"/>
        <v>208.5</v>
      </c>
      <c r="F54" s="733">
        <f>E54/E83</f>
        <v>4.8380895314931215E-3</v>
      </c>
      <c r="G54" s="5"/>
    </row>
    <row r="55" spans="1:7" x14ac:dyDescent="0.25">
      <c r="A55" s="18"/>
      <c r="B55" s="144" t="s">
        <v>262</v>
      </c>
      <c r="C55" s="37">
        <f>'Variante grêle'!C41</f>
        <v>16.363636363636363</v>
      </c>
      <c r="D55" s="94">
        <f>'Variante données'!D150*(1+'Page variable'!$C$33)</f>
        <v>22.8</v>
      </c>
      <c r="E55" s="43">
        <f t="shared" si="3"/>
        <v>373.09090909090912</v>
      </c>
      <c r="F55" s="733">
        <f>E55/E83</f>
        <v>8.6573008228680061E-3</v>
      </c>
      <c r="G55" s="5"/>
    </row>
    <row r="56" spans="1:7" x14ac:dyDescent="0.25">
      <c r="A56" s="18"/>
      <c r="B56" s="144" t="s">
        <v>308</v>
      </c>
      <c r="C56" s="37">
        <f>'Variante grêle'!C42</f>
        <v>16.363636363636363</v>
      </c>
      <c r="D56" s="94">
        <f>'Variante données'!D152*(1+'Page variable'!$C$33)</f>
        <v>19.100000000000001</v>
      </c>
      <c r="E56" s="43">
        <f t="shared" si="3"/>
        <v>312.54545454545456</v>
      </c>
      <c r="F56" s="733">
        <f>E56/E83</f>
        <v>7.2523879700341623E-3</v>
      </c>
      <c r="G56" s="5"/>
    </row>
    <row r="57" spans="1:7" x14ac:dyDescent="0.25">
      <c r="A57" s="18"/>
      <c r="B57" s="18" t="s">
        <v>348</v>
      </c>
      <c r="C57" s="561">
        <v>20</v>
      </c>
      <c r="D57" s="42">
        <f>'Variante données'!D145*(1+'Page variable'!$C$33)</f>
        <v>41</v>
      </c>
      <c r="E57" s="43">
        <f t="shared" si="3"/>
        <v>820</v>
      </c>
      <c r="F57" s="733">
        <f>E57/E83</f>
        <v>1.9027498397239134E-2</v>
      </c>
      <c r="G57" s="5"/>
    </row>
    <row r="58" spans="1:7" ht="13" thickBot="1" x14ac:dyDescent="0.3">
      <c r="A58" s="18"/>
      <c r="B58" s="18" t="s">
        <v>349</v>
      </c>
      <c r="C58" s="993">
        <f>SUM(C51:C57)*0.1</f>
        <v>7.4927272727272722</v>
      </c>
      <c r="D58" s="42">
        <f>'Variante données'!D145*(1+'Page variable'!$C$33)</f>
        <v>41</v>
      </c>
      <c r="E58" s="43">
        <f t="shared" si="3"/>
        <v>307.20181818181817</v>
      </c>
      <c r="F58" s="733">
        <f>E58/E83</f>
        <v>7.1283928086384061E-3</v>
      </c>
      <c r="G58" s="5"/>
    </row>
    <row r="59" spans="1:7" ht="13" x14ac:dyDescent="0.3">
      <c r="A59" s="38" t="s">
        <v>347</v>
      </c>
      <c r="B59" s="84" t="str">
        <f>'Variante données'!B145</f>
        <v>Tracteur arboricole, 4 roues motrices</v>
      </c>
      <c r="C59" s="336">
        <f>SUM(C51:C58)</f>
        <v>82.419999999999987</v>
      </c>
      <c r="D59" s="94">
        <f>'Variante données'!D145*(1+'Page variable'!$C$33)</f>
        <v>41</v>
      </c>
      <c r="E59" s="82">
        <f>C59*D59</f>
        <v>3379.2199999999993</v>
      </c>
      <c r="F59" s="733">
        <f>E59/E83</f>
        <v>7.8412320895022453E-2</v>
      </c>
      <c r="G59" s="5"/>
    </row>
    <row r="60" spans="1:7" ht="13" x14ac:dyDescent="0.3">
      <c r="A60" s="38"/>
      <c r="B60" s="18" t="s">
        <v>263</v>
      </c>
      <c r="C60" s="37">
        <f>'Variante grêle'!C40</f>
        <v>12.272727272727273</v>
      </c>
      <c r="D60" s="94">
        <f>'Variante données'!D151*(1+'Page variable'!$C$33)</f>
        <v>150</v>
      </c>
      <c r="E60" s="43">
        <f t="shared" si="3"/>
        <v>1840.909090909091</v>
      </c>
      <c r="F60" s="733">
        <f>E60/E83</f>
        <v>4.2716944849677661E-2</v>
      </c>
      <c r="G60" s="5"/>
    </row>
    <row r="61" spans="1:7" ht="13" thickBot="1" x14ac:dyDescent="0.3">
      <c r="A61" s="18"/>
      <c r="B61" s="18" t="s">
        <v>350</v>
      </c>
      <c r="C61" s="37"/>
      <c r="D61" s="42"/>
      <c r="E61" s="464">
        <f>'Variante données'!D153*(1+'Page variable'!$C$33)</f>
        <v>220</v>
      </c>
      <c r="F61" s="733">
        <f>E61/E83</f>
        <v>5.1049385943812307E-3</v>
      </c>
      <c r="G61" s="5"/>
    </row>
    <row r="62" spans="1:7" ht="13" x14ac:dyDescent="0.3">
      <c r="A62" s="38" t="s">
        <v>468</v>
      </c>
      <c r="B62" s="18"/>
      <c r="C62" s="37"/>
      <c r="D62" s="42"/>
      <c r="E62" s="82">
        <f>SUM(E51:E61)</f>
        <v>7785.7472727272716</v>
      </c>
      <c r="F62" s="730">
        <f>E62/E83</f>
        <v>0.18066255335747208</v>
      </c>
      <c r="G62" s="5"/>
    </row>
    <row r="63" spans="1:7" x14ac:dyDescent="0.25">
      <c r="A63" s="18"/>
      <c r="B63" s="1"/>
      <c r="C63" s="34"/>
      <c r="D63" s="45"/>
      <c r="E63" s="43"/>
      <c r="F63" s="726"/>
      <c r="G63" s="5"/>
    </row>
    <row r="64" spans="1:7" x14ac:dyDescent="0.25">
      <c r="A64" s="1"/>
      <c r="B64" s="1"/>
      <c r="C64" s="34"/>
      <c r="D64" s="45"/>
      <c r="E64" s="43"/>
      <c r="F64" s="726"/>
      <c r="G64" s="5"/>
    </row>
    <row r="65" spans="1:7" ht="13" x14ac:dyDescent="0.3">
      <c r="A65" s="18"/>
      <c r="B65" s="18"/>
      <c r="C65" s="284" t="s">
        <v>309</v>
      </c>
      <c r="D65" s="285" t="s">
        <v>52</v>
      </c>
      <c r="E65" s="286" t="s">
        <v>53</v>
      </c>
      <c r="F65" s="812"/>
      <c r="G65" s="5"/>
    </row>
    <row r="66" spans="1:7" ht="13" x14ac:dyDescent="0.3">
      <c r="A66" s="38" t="s">
        <v>164</v>
      </c>
      <c r="B66" s="18" t="s">
        <v>351</v>
      </c>
      <c r="C66" s="37">
        <f>C51</f>
        <v>3.8</v>
      </c>
      <c r="D66" s="42">
        <f>'Variante données'!$C$36</f>
        <v>29.5</v>
      </c>
      <c r="E66" s="43">
        <f t="shared" ref="E66:E79" si="4">C66*D66</f>
        <v>112.1</v>
      </c>
      <c r="F66" s="733">
        <f>E66/E83</f>
        <v>2.6011982565006179E-3</v>
      </c>
      <c r="G66" s="5"/>
    </row>
    <row r="67" spans="1:7" x14ac:dyDescent="0.25">
      <c r="A67" s="18"/>
      <c r="B67" s="18" t="s">
        <v>352</v>
      </c>
      <c r="C67" s="37">
        <f>C52</f>
        <v>1.8</v>
      </c>
      <c r="D67" s="42">
        <f>'Variante données'!$C$36</f>
        <v>29.5</v>
      </c>
      <c r="E67" s="43">
        <f t="shared" si="4"/>
        <v>53.1</v>
      </c>
      <c r="F67" s="733">
        <f>E67/E83</f>
        <v>1.2321465425529244E-3</v>
      </c>
      <c r="G67" s="5"/>
    </row>
    <row r="68" spans="1:7" x14ac:dyDescent="0.25">
      <c r="A68" s="18"/>
      <c r="B68" s="18" t="s">
        <v>353</v>
      </c>
      <c r="C68" s="561">
        <v>0</v>
      </c>
      <c r="D68" s="42">
        <f>'Variante données'!$C$36</f>
        <v>29.5</v>
      </c>
      <c r="E68" s="43">
        <f t="shared" si="4"/>
        <v>0</v>
      </c>
      <c r="F68" s="733">
        <f>E68/E83</f>
        <v>0</v>
      </c>
      <c r="G68" s="5"/>
    </row>
    <row r="69" spans="1:7" x14ac:dyDescent="0.25">
      <c r="A69" s="18"/>
      <c r="B69" s="18" t="s">
        <v>305</v>
      </c>
      <c r="C69" s="37">
        <f>'Variante grêle'!C46</f>
        <v>1</v>
      </c>
      <c r="D69" s="42">
        <f>'Variante données'!$C$36</f>
        <v>29.5</v>
      </c>
      <c r="E69" s="43">
        <f t="shared" si="4"/>
        <v>29.5</v>
      </c>
      <c r="F69" s="733">
        <f>E69/E83</f>
        <v>6.8452585697384688E-4</v>
      </c>
      <c r="G69" s="5"/>
    </row>
    <row r="70" spans="1:7" x14ac:dyDescent="0.25">
      <c r="A70" s="18"/>
      <c r="B70" s="18" t="s">
        <v>314</v>
      </c>
      <c r="C70" s="37">
        <f>'Variante grêle'!C47</f>
        <v>7.5</v>
      </c>
      <c r="D70" s="42">
        <f>'Variante données'!$C$36</f>
        <v>29.5</v>
      </c>
      <c r="E70" s="43">
        <f t="shared" si="4"/>
        <v>221.25</v>
      </c>
      <c r="F70" s="733">
        <f>E70/E83</f>
        <v>5.1339439273038519E-3</v>
      </c>
      <c r="G70" s="5"/>
    </row>
    <row r="71" spans="1:7" x14ac:dyDescent="0.25">
      <c r="A71" s="813"/>
      <c r="B71" s="18" t="s">
        <v>499</v>
      </c>
      <c r="C71" s="37">
        <f>'Variante grêle'!C48</f>
        <v>61.363636363636367</v>
      </c>
      <c r="D71" s="42">
        <f>'Variante données'!$C$36</f>
        <v>29.5</v>
      </c>
      <c r="E71" s="43">
        <f t="shared" si="4"/>
        <v>1810.2272727272727</v>
      </c>
      <c r="F71" s="733">
        <f>E71/E83</f>
        <v>4.2004995768849696E-2</v>
      </c>
      <c r="G71" s="5"/>
    </row>
    <row r="72" spans="1:7" x14ac:dyDescent="0.25">
      <c r="A72" s="813"/>
      <c r="B72" s="18" t="s">
        <v>354</v>
      </c>
      <c r="C72" s="37">
        <f>'Variante grêle'!C49</f>
        <v>8.1818181818181817</v>
      </c>
      <c r="D72" s="42">
        <f>'Variante données'!$C$36</f>
        <v>29.5</v>
      </c>
      <c r="E72" s="43">
        <f t="shared" si="4"/>
        <v>241.36363636363635</v>
      </c>
      <c r="F72" s="733">
        <f>E72/$E$83</f>
        <v>5.6006661025132919E-3</v>
      </c>
      <c r="G72" s="5"/>
    </row>
    <row r="73" spans="1:7" x14ac:dyDescent="0.25">
      <c r="A73" s="813"/>
      <c r="B73" s="18" t="s">
        <v>355</v>
      </c>
      <c r="C73" s="37">
        <f>'Variante grêle'!C50</f>
        <v>57.272727272727273</v>
      </c>
      <c r="D73" s="42">
        <f>'Variante données'!$C$36</f>
        <v>29.5</v>
      </c>
      <c r="E73" s="43">
        <f t="shared" si="4"/>
        <v>1689.5454545454545</v>
      </c>
      <c r="F73" s="733">
        <f>E73/$E$83</f>
        <v>3.9204662717593049E-2</v>
      </c>
      <c r="G73" s="5"/>
    </row>
    <row r="74" spans="1:7" x14ac:dyDescent="0.25">
      <c r="A74" s="18"/>
      <c r="B74" s="18" t="s">
        <v>304</v>
      </c>
      <c r="C74" s="37">
        <f>C53</f>
        <v>1.6</v>
      </c>
      <c r="D74" s="42">
        <f>'Variante données'!$C$36</f>
        <v>29.5</v>
      </c>
      <c r="E74" s="43">
        <f t="shared" si="4"/>
        <v>47.2</v>
      </c>
      <c r="F74" s="733">
        <f>E74/E83</f>
        <v>1.095241371158155E-3</v>
      </c>
      <c r="G74" s="5"/>
    </row>
    <row r="75" spans="1:7" x14ac:dyDescent="0.25">
      <c r="A75" s="18"/>
      <c r="B75" s="18" t="s">
        <v>356</v>
      </c>
      <c r="C75" s="37">
        <f>'Variante grêle'!C53</f>
        <v>12.272727272727273</v>
      </c>
      <c r="D75" s="42">
        <f>'Variante données'!$C$36</f>
        <v>29.5</v>
      </c>
      <c r="E75" s="43">
        <f t="shared" si="4"/>
        <v>362.04545454545456</v>
      </c>
      <c r="F75" s="733">
        <f>E75/E83</f>
        <v>8.4009991537699388E-3</v>
      </c>
      <c r="G75" s="5"/>
    </row>
    <row r="76" spans="1:7" x14ac:dyDescent="0.25">
      <c r="A76" s="18"/>
      <c r="B76" s="18" t="s">
        <v>357</v>
      </c>
      <c r="C76" s="37">
        <f>'Variante grêle'!C54</f>
        <v>81.818181818181827</v>
      </c>
      <c r="D76" s="42">
        <f>'Variante données'!$C$36</f>
        <v>29.5</v>
      </c>
      <c r="E76" s="43">
        <f t="shared" si="4"/>
        <v>2413.636363636364</v>
      </c>
      <c r="F76" s="733">
        <f>E76/E83</f>
        <v>5.6006661025132937E-2</v>
      </c>
      <c r="G76" s="5"/>
    </row>
    <row r="77" spans="1:7" x14ac:dyDescent="0.25">
      <c r="A77" s="18"/>
      <c r="B77" s="18" t="s">
        <v>319</v>
      </c>
      <c r="C77" s="37">
        <f>'Variante grêle'!C55</f>
        <v>143.18181818181819</v>
      </c>
      <c r="D77" s="42">
        <f>'Variante données'!$C$36</f>
        <v>29.5</v>
      </c>
      <c r="E77" s="43">
        <f t="shared" si="4"/>
        <v>4223.8636363636369</v>
      </c>
      <c r="F77" s="733">
        <f>E77/E83</f>
        <v>9.8011656793982632E-2</v>
      </c>
      <c r="G77" s="5"/>
    </row>
    <row r="78" spans="1:7" x14ac:dyDescent="0.25">
      <c r="A78" s="18"/>
      <c r="B78" s="18" t="s">
        <v>349</v>
      </c>
      <c r="C78" s="37">
        <f>'Variante grêle'!C56</f>
        <v>23.72727272727273</v>
      </c>
      <c r="D78" s="42">
        <f>'Variante données'!$C$36</f>
        <v>29.5</v>
      </c>
      <c r="E78" s="43">
        <f t="shared" si="4"/>
        <v>699.9545454545455</v>
      </c>
      <c r="F78" s="733">
        <f>E78/E83</f>
        <v>1.6241931697288551E-2</v>
      </c>
      <c r="G78" s="5"/>
    </row>
    <row r="79" spans="1:7" ht="13" thickBot="1" x14ac:dyDescent="0.3">
      <c r="A79" s="18"/>
      <c r="B79" s="18" t="s">
        <v>358</v>
      </c>
      <c r="C79" s="728">
        <f>SUM(C66:C78) * 0.1</f>
        <v>40.351818181818189</v>
      </c>
      <c r="D79" s="42">
        <f>'Variante données'!$C$32</f>
        <v>35</v>
      </c>
      <c r="E79" s="464">
        <f t="shared" si="4"/>
        <v>1412.3136363636365</v>
      </c>
      <c r="F79" s="733">
        <f>E79/E83</f>
        <v>3.27717017711074E-2</v>
      </c>
      <c r="G79" s="5"/>
    </row>
    <row r="80" spans="1:7" ht="13" x14ac:dyDescent="0.3">
      <c r="A80" s="18"/>
      <c r="B80" s="18"/>
      <c r="C80" s="814">
        <f>SUM(C66:C79)</f>
        <v>443.87000000000006</v>
      </c>
      <c r="D80" s="42"/>
      <c r="E80" s="80">
        <f>SUM(E66:E79)</f>
        <v>13316.100000000002</v>
      </c>
      <c r="F80" s="815">
        <f>E80/E83</f>
        <v>0.30899033098472689</v>
      </c>
      <c r="G80" s="5"/>
    </row>
    <row r="81" spans="1:36" s="16" customFormat="1" ht="18" customHeight="1" x14ac:dyDescent="0.35">
      <c r="A81" s="592" t="s">
        <v>158</v>
      </c>
      <c r="B81" s="600"/>
      <c r="C81" s="601"/>
      <c r="D81" s="602"/>
      <c r="E81" s="676">
        <f>E80+E62</f>
        <v>21101.847272727275</v>
      </c>
      <c r="F81" s="727">
        <f>E81/E83</f>
        <v>0.48965288434219906</v>
      </c>
      <c r="G81" s="20"/>
      <c r="H81" s="67"/>
      <c r="I81" s="67"/>
      <c r="J81" s="67"/>
      <c r="K81" s="67"/>
      <c r="L81" s="67"/>
      <c r="M81" s="67"/>
      <c r="N81" s="67"/>
      <c r="O81" s="67"/>
      <c r="P81" s="67"/>
      <c r="Q81" s="67"/>
      <c r="R81" s="67"/>
      <c r="S81" s="67"/>
      <c r="T81" s="67"/>
      <c r="U81" s="67"/>
      <c r="V81" s="67"/>
      <c r="W81" s="67"/>
      <c r="X81" s="67"/>
      <c r="Y81" s="67"/>
      <c r="Z81" s="67"/>
      <c r="AA81" s="67"/>
      <c r="AB81" s="67"/>
      <c r="AC81" s="67"/>
      <c r="AD81" s="67"/>
      <c r="AE81" s="67"/>
      <c r="AF81" s="67"/>
      <c r="AG81" s="67"/>
      <c r="AH81" s="67"/>
      <c r="AI81" s="67"/>
      <c r="AJ81" s="67"/>
    </row>
    <row r="82" spans="1:36" s="19" customFormat="1" ht="15.5" x14ac:dyDescent="0.35">
      <c r="A82" s="592"/>
      <c r="B82" s="600"/>
      <c r="C82" s="601"/>
      <c r="D82" s="602"/>
      <c r="E82" s="676"/>
      <c r="F82" s="678"/>
      <c r="G82" s="20"/>
      <c r="H82" s="110"/>
      <c r="I82" s="110"/>
      <c r="J82" s="110"/>
      <c r="K82" s="110"/>
      <c r="L82" s="110"/>
      <c r="M82" s="110"/>
      <c r="N82" s="110"/>
      <c r="O82" s="110"/>
      <c r="P82" s="110"/>
      <c r="Q82" s="110"/>
      <c r="R82" s="110"/>
      <c r="S82" s="110"/>
      <c r="T82" s="110"/>
      <c r="U82" s="110"/>
      <c r="V82" s="110"/>
      <c r="W82" s="110"/>
      <c r="X82" s="110"/>
      <c r="Y82" s="110"/>
      <c r="Z82" s="110"/>
      <c r="AA82" s="110"/>
      <c r="AB82" s="110"/>
      <c r="AC82" s="110"/>
      <c r="AD82" s="110"/>
      <c r="AE82" s="110"/>
      <c r="AF82" s="110"/>
      <c r="AG82" s="110"/>
      <c r="AH82" s="110"/>
      <c r="AI82" s="110"/>
      <c r="AJ82" s="110"/>
    </row>
    <row r="83" spans="1:36" s="22" customFormat="1" ht="20" x14ac:dyDescent="0.4">
      <c r="A83" s="1498" t="s">
        <v>462</v>
      </c>
      <c r="B83" s="1498"/>
      <c r="C83" s="1498"/>
      <c r="D83" s="1498"/>
      <c r="E83" s="590">
        <f>E81+E47</f>
        <v>43095.523272727274</v>
      </c>
      <c r="F83" s="591">
        <f>E83/E83</f>
        <v>1</v>
      </c>
      <c r="G83" s="21"/>
      <c r="H83" s="53"/>
      <c r="I83" s="53"/>
      <c r="J83" s="53"/>
      <c r="K83" s="53"/>
      <c r="L83" s="53"/>
      <c r="M83" s="53"/>
      <c r="N83" s="53"/>
      <c r="O83" s="53"/>
      <c r="P83" s="53"/>
      <c r="Q83" s="53"/>
      <c r="R83" s="53"/>
      <c r="S83" s="53"/>
      <c r="T83" s="53"/>
      <c r="U83" s="53"/>
      <c r="V83" s="53"/>
      <c r="W83" s="53"/>
      <c r="X83" s="53"/>
      <c r="Y83" s="53"/>
      <c r="Z83" s="53"/>
      <c r="AA83" s="53"/>
      <c r="AB83" s="53"/>
      <c r="AC83" s="53"/>
      <c r="AD83" s="53"/>
      <c r="AE83" s="53"/>
      <c r="AF83" s="53"/>
      <c r="AG83" s="53"/>
      <c r="AH83" s="53"/>
      <c r="AI83" s="53"/>
      <c r="AJ83" s="53"/>
    </row>
    <row r="84" spans="1:36" ht="13.5" customHeight="1" x14ac:dyDescent="0.25">
      <c r="A84" s="524"/>
      <c r="B84" s="816"/>
      <c r="C84" s="817"/>
      <c r="D84" s="817"/>
      <c r="E84" s="817"/>
      <c r="F84" s="524"/>
    </row>
    <row r="85" spans="1:36" s="16" customFormat="1" ht="17.149999999999999" customHeight="1" x14ac:dyDescent="0.35">
      <c r="A85" s="592" t="s">
        <v>463</v>
      </c>
      <c r="B85" s="593"/>
      <c r="C85" s="594"/>
      <c r="D85" s="594"/>
      <c r="E85" s="676">
        <f>'Variante grêle'!E75</f>
        <v>25695.763413223136</v>
      </c>
      <c r="F85" s="600"/>
      <c r="G85" s="19"/>
      <c r="H85" s="67"/>
      <c r="I85" s="67"/>
      <c r="J85" s="67"/>
      <c r="K85" s="67"/>
      <c r="L85" s="67"/>
      <c r="M85" s="67"/>
      <c r="N85" s="67"/>
      <c r="O85" s="67"/>
      <c r="P85" s="67"/>
      <c r="Q85" s="67"/>
      <c r="R85" s="67"/>
      <c r="S85" s="67"/>
      <c r="T85" s="67"/>
      <c r="U85" s="67"/>
      <c r="V85" s="67"/>
      <c r="W85" s="67"/>
      <c r="X85" s="67"/>
      <c r="Y85" s="67"/>
      <c r="Z85" s="67"/>
      <c r="AA85" s="67"/>
      <c r="AB85" s="67"/>
      <c r="AC85" s="67"/>
      <c r="AD85" s="67"/>
      <c r="AE85" s="67"/>
      <c r="AF85" s="67"/>
      <c r="AG85" s="67"/>
      <c r="AH85" s="67"/>
      <c r="AI85" s="67"/>
      <c r="AJ85" s="67"/>
    </row>
    <row r="86" spans="1:36" ht="20.399999999999999" customHeight="1" x14ac:dyDescent="0.25">
      <c r="B86" s="13"/>
      <c r="C86" s="11"/>
      <c r="D86" s="11"/>
      <c r="E86" s="11"/>
    </row>
    <row r="87" spans="1:36" ht="19.5" customHeight="1" x14ac:dyDescent="0.4">
      <c r="A87" s="287" t="s">
        <v>359</v>
      </c>
      <c r="B87" s="13"/>
      <c r="C87" s="91" t="s">
        <v>244</v>
      </c>
      <c r="D87" s="91" t="s">
        <v>282</v>
      </c>
      <c r="E87" s="91" t="s">
        <v>343</v>
      </c>
      <c r="F87" s="36"/>
    </row>
    <row r="88" spans="1:36" ht="15" customHeight="1" x14ac:dyDescent="0.3">
      <c r="B88" s="1" t="s">
        <v>329</v>
      </c>
      <c r="C88" s="462">
        <f>('Variante données'!B18+'Variante données'!B19)*2-2*6</f>
        <v>398</v>
      </c>
      <c r="D88" s="45">
        <f>'Variante données'!D166</f>
        <v>6.9</v>
      </c>
      <c r="E88" s="32">
        <f t="shared" ref="E88:E94" si="5">C88*D88</f>
        <v>2746.2000000000003</v>
      </c>
      <c r="F88" s="726">
        <f>E88/E107</f>
        <v>0.45038967513951333</v>
      </c>
      <c r="G88" s="463"/>
    </row>
    <row r="89" spans="1:36" ht="15" customHeight="1" x14ac:dyDescent="0.3">
      <c r="B89" s="1" t="s">
        <v>360</v>
      </c>
      <c r="C89" s="93">
        <f>(C88/4)-(C88/4/5)</f>
        <v>79.599999999999994</v>
      </c>
      <c r="D89" s="45">
        <f>'Variante données'!D167</f>
        <v>9.6</v>
      </c>
      <c r="E89" s="32">
        <f t="shared" si="5"/>
        <v>764.16</v>
      </c>
      <c r="F89" s="726">
        <f>E89/E107</f>
        <v>0.12532582264751674</v>
      </c>
      <c r="G89" s="463"/>
    </row>
    <row r="90" spans="1:36" ht="15" customHeight="1" x14ac:dyDescent="0.3">
      <c r="B90" s="1" t="s">
        <v>361</v>
      </c>
      <c r="C90" s="93">
        <f>(C88/4)/5</f>
        <v>19.899999999999999</v>
      </c>
      <c r="D90" s="45">
        <f>'Variante données'!D168</f>
        <v>15.5</v>
      </c>
      <c r="E90" s="32">
        <f t="shared" si="5"/>
        <v>308.45</v>
      </c>
      <c r="F90" s="726">
        <f>E90/E107</f>
        <v>5.0587246120742432E-2</v>
      </c>
      <c r="G90" s="463"/>
    </row>
    <row r="91" spans="1:36" ht="15" customHeight="1" x14ac:dyDescent="0.3">
      <c r="B91" s="1" t="s">
        <v>361</v>
      </c>
      <c r="C91" s="93">
        <f>'Données normes'!C167</f>
        <v>6</v>
      </c>
      <c r="D91" s="45">
        <f>'Variante données'!D169</f>
        <v>19.8</v>
      </c>
      <c r="E91" s="32">
        <f t="shared" si="5"/>
        <v>118.80000000000001</v>
      </c>
      <c r="F91" s="726">
        <f>E91/E107</f>
        <v>1.9483756975666077E-2</v>
      </c>
      <c r="G91" s="463"/>
    </row>
    <row r="92" spans="1:36" ht="15" customHeight="1" x14ac:dyDescent="0.3">
      <c r="B92" s="1" t="s">
        <v>333</v>
      </c>
      <c r="C92" s="679">
        <f>'Données normes'!C168</f>
        <v>2</v>
      </c>
      <c r="D92" s="45">
        <f>'Variante données'!D170</f>
        <v>200</v>
      </c>
      <c r="E92" s="32">
        <f t="shared" si="5"/>
        <v>400</v>
      </c>
      <c r="F92" s="726">
        <f>E92/E107</f>
        <v>6.5601875338943016E-2</v>
      </c>
      <c r="G92" s="463"/>
    </row>
    <row r="93" spans="1:36" ht="15" customHeight="1" x14ac:dyDescent="0.3">
      <c r="B93" s="1" t="s">
        <v>289</v>
      </c>
      <c r="C93" s="226">
        <f>'Données normes'!C170</f>
        <v>3</v>
      </c>
      <c r="D93" s="45">
        <f>'Variante données'!D172</f>
        <v>11.95</v>
      </c>
      <c r="E93" s="43">
        <f t="shared" si="5"/>
        <v>35.849999999999994</v>
      </c>
      <c r="F93" s="726">
        <f>E93/E107</f>
        <v>5.8795680772527666E-3</v>
      </c>
      <c r="G93" s="463"/>
    </row>
    <row r="94" spans="1:36" ht="15" customHeight="1" thickBot="1" x14ac:dyDescent="0.35">
      <c r="B94" s="1" t="str">
        <f>'Données normes'!B169</f>
        <v>Fils de fer 3 mm</v>
      </c>
      <c r="C94" s="461">
        <f>C88/18</f>
        <v>22.111111111111111</v>
      </c>
      <c r="D94" s="45">
        <f>'Variante données'!D171</f>
        <v>4.0999999999999996</v>
      </c>
      <c r="E94" s="464">
        <f t="shared" si="5"/>
        <v>90.655555555555551</v>
      </c>
      <c r="F94" s="726">
        <f>E94/E107</f>
        <v>1.4867936135845446E-2</v>
      </c>
      <c r="G94" s="463"/>
    </row>
    <row r="95" spans="1:36" ht="15" customHeight="1" x14ac:dyDescent="0.3">
      <c r="B95" s="1"/>
      <c r="C95" s="461"/>
      <c r="D95" s="45"/>
      <c r="E95" s="131">
        <f>SUM(E88:E94)</f>
        <v>4464.1155555555561</v>
      </c>
      <c r="F95" s="726">
        <f>E95/E107</f>
        <v>0.73213588043547984</v>
      </c>
      <c r="G95" s="463"/>
    </row>
    <row r="96" spans="1:36" ht="15" customHeight="1" thickBot="1" x14ac:dyDescent="0.3">
      <c r="B96" s="974" t="s">
        <v>362</v>
      </c>
      <c r="C96" s="93"/>
      <c r="D96" s="88">
        <f>'Variante données'!D173</f>
        <v>0.25</v>
      </c>
      <c r="E96" s="731">
        <f>E95*D96*(-1)</f>
        <v>-1116.028888888889</v>
      </c>
      <c r="F96" s="726">
        <f>E96/$E$107</f>
        <v>-0.18303397010886996</v>
      </c>
    </row>
    <row r="97" spans="1:36" ht="15" customHeight="1" x14ac:dyDescent="0.3">
      <c r="B97" s="1"/>
      <c r="C97" s="93"/>
      <c r="D97" s="133"/>
      <c r="E97" s="82">
        <f>SUM(E95:E96)</f>
        <v>3348.086666666667</v>
      </c>
      <c r="F97" s="729">
        <f>E97/$E$107</f>
        <v>0.54910191032660993</v>
      </c>
    </row>
    <row r="98" spans="1:36" s="1" customFormat="1" ht="15" customHeight="1" x14ac:dyDescent="0.3">
      <c r="B98" s="1" t="s">
        <v>336</v>
      </c>
      <c r="C98" s="93"/>
      <c r="D98" s="88"/>
      <c r="E98" s="82">
        <f>'Variante données'!E175</f>
        <v>300</v>
      </c>
      <c r="F98" s="729">
        <f>E98/$E$107</f>
        <v>4.9201406504207262E-2</v>
      </c>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row>
    <row r="99" spans="1:36" ht="15" customHeight="1" x14ac:dyDescent="0.35">
      <c r="A99" s="592" t="s">
        <v>157</v>
      </c>
      <c r="B99" s="524"/>
      <c r="C99" s="576"/>
      <c r="D99" s="596"/>
      <c r="E99" s="597">
        <f>E97+E98</f>
        <v>3648.086666666667</v>
      </c>
      <c r="F99" s="598">
        <f>E99/E107</f>
        <v>0.59830331683081717</v>
      </c>
    </row>
    <row r="100" spans="1:36" ht="19.5" customHeight="1" x14ac:dyDescent="0.3">
      <c r="A100" s="3" t="s">
        <v>163</v>
      </c>
      <c r="C100" s="117" t="s">
        <v>58</v>
      </c>
      <c r="D100" s="300" t="s">
        <v>52</v>
      </c>
      <c r="E100" s="298" t="s">
        <v>343</v>
      </c>
      <c r="F100" s="588"/>
    </row>
    <row r="101" spans="1:36" ht="16.5" customHeight="1" x14ac:dyDescent="0.25">
      <c r="A101" s="13"/>
      <c r="B101" s="1" t="s">
        <v>469</v>
      </c>
      <c r="C101" s="37">
        <f>'Variante données'!C149*C105</f>
        <v>7</v>
      </c>
      <c r="D101" s="94">
        <f>D54</f>
        <v>13.9</v>
      </c>
      <c r="E101" s="43">
        <f>C101*D101</f>
        <v>97.3</v>
      </c>
      <c r="F101" s="726">
        <f>E101/E107</f>
        <v>1.5957656176197887E-2</v>
      </c>
      <c r="G101" s="5"/>
    </row>
    <row r="102" spans="1:36" ht="16.5" customHeight="1" thickBot="1" x14ac:dyDescent="0.3">
      <c r="A102" s="13"/>
      <c r="B102" s="1" t="s">
        <v>363</v>
      </c>
      <c r="C102" s="37">
        <f>C101</f>
        <v>7</v>
      </c>
      <c r="D102" s="94">
        <f>D59</f>
        <v>41</v>
      </c>
      <c r="E102" s="464">
        <f>C102*D102</f>
        <v>287</v>
      </c>
      <c r="F102" s="726">
        <f>E102/E107</f>
        <v>4.7069345555691616E-2</v>
      </c>
      <c r="G102" s="5"/>
    </row>
    <row r="103" spans="1:36" ht="16.5" customHeight="1" x14ac:dyDescent="0.3">
      <c r="A103" s="13"/>
      <c r="B103" s="1"/>
      <c r="C103" s="37"/>
      <c r="D103" s="94"/>
      <c r="E103" s="82">
        <f>SUM(E101:E102)</f>
        <v>384.3</v>
      </c>
      <c r="F103" s="729">
        <f>E103/E107</f>
        <v>6.3027001731889506E-2</v>
      </c>
      <c r="G103" s="5"/>
    </row>
    <row r="104" spans="1:36" ht="16.5" customHeight="1" x14ac:dyDescent="0.3">
      <c r="A104" s="3" t="s">
        <v>164</v>
      </c>
      <c r="C104" s="117" t="s">
        <v>309</v>
      </c>
      <c r="D104" s="300" t="s">
        <v>52</v>
      </c>
      <c r="E104" s="298" t="s">
        <v>53</v>
      </c>
      <c r="F104" s="811"/>
      <c r="G104" s="5"/>
    </row>
    <row r="105" spans="1:36" ht="16.5" customHeight="1" x14ac:dyDescent="0.3">
      <c r="B105" s="1" t="s">
        <v>364</v>
      </c>
      <c r="C105" s="336">
        <f>'Variante données'!C178</f>
        <v>70</v>
      </c>
      <c r="D105" s="42">
        <f>'Données normes'!$C$36</f>
        <v>29.5</v>
      </c>
      <c r="E105" s="82">
        <f>C105*D105</f>
        <v>2065</v>
      </c>
      <c r="F105" s="729">
        <f>E105/E107</f>
        <v>0.33866968143729331</v>
      </c>
      <c r="G105" s="5"/>
    </row>
    <row r="106" spans="1:36" s="16" customFormat="1" ht="15.5" x14ac:dyDescent="0.35">
      <c r="A106" s="592" t="s">
        <v>158</v>
      </c>
      <c r="B106" s="600"/>
      <c r="C106" s="601"/>
      <c r="D106" s="602"/>
      <c r="E106" s="676">
        <f>E103+E105</f>
        <v>2449.3000000000002</v>
      </c>
      <c r="F106" s="598">
        <f>E106/E107</f>
        <v>0.40169668316918283</v>
      </c>
      <c r="G106" s="20"/>
      <c r="H106" s="67"/>
      <c r="I106" s="67"/>
      <c r="J106" s="67"/>
      <c r="K106" s="67"/>
      <c r="L106" s="67"/>
      <c r="M106" s="67"/>
      <c r="N106" s="67"/>
      <c r="O106" s="67"/>
      <c r="P106" s="67"/>
      <c r="Q106" s="67"/>
      <c r="R106" s="67"/>
      <c r="S106" s="67"/>
      <c r="T106" s="67"/>
      <c r="U106" s="67"/>
      <c r="V106" s="67"/>
      <c r="W106" s="67"/>
      <c r="X106" s="67"/>
      <c r="Y106" s="67"/>
      <c r="Z106" s="67"/>
      <c r="AA106" s="67"/>
      <c r="AB106" s="67"/>
      <c r="AC106" s="67"/>
      <c r="AD106" s="67"/>
      <c r="AE106" s="67"/>
      <c r="AF106" s="67"/>
      <c r="AG106" s="67"/>
      <c r="AH106" s="67"/>
      <c r="AI106" s="67"/>
      <c r="AJ106" s="67"/>
    </row>
    <row r="107" spans="1:36" s="22" customFormat="1" ht="18" customHeight="1" x14ac:dyDescent="0.35">
      <c r="A107" s="603" t="s">
        <v>365</v>
      </c>
      <c r="B107" s="604"/>
      <c r="C107" s="605"/>
      <c r="D107" s="606"/>
      <c r="E107" s="607">
        <f>E99+E106</f>
        <v>6097.3866666666672</v>
      </c>
      <c r="F107" s="598">
        <f>E107/E107</f>
        <v>1</v>
      </c>
      <c r="G107" s="21"/>
      <c r="H107" s="53"/>
      <c r="I107" s="53"/>
      <c r="J107" s="53"/>
      <c r="K107" s="53"/>
      <c r="L107" s="53"/>
      <c r="M107" s="53"/>
      <c r="N107" s="53"/>
      <c r="O107" s="53"/>
      <c r="P107" s="53"/>
      <c r="Q107" s="53"/>
      <c r="R107" s="53"/>
      <c r="S107" s="53"/>
      <c r="T107" s="53"/>
      <c r="U107" s="53"/>
      <c r="V107" s="53"/>
      <c r="W107" s="53"/>
      <c r="X107" s="53"/>
      <c r="Y107" s="53"/>
      <c r="Z107" s="53"/>
      <c r="AA107" s="53"/>
      <c r="AB107" s="53"/>
      <c r="AC107" s="53"/>
      <c r="AD107" s="53"/>
      <c r="AE107" s="53"/>
      <c r="AF107" s="53"/>
      <c r="AG107" s="53"/>
      <c r="AH107" s="53"/>
      <c r="AI107" s="53"/>
      <c r="AJ107" s="53"/>
    </row>
    <row r="108" spans="1:36" s="101" customFormat="1" ht="13.5" customHeight="1" x14ac:dyDescent="0.4">
      <c r="A108" s="95"/>
      <c r="B108" s="96"/>
      <c r="C108" s="97"/>
      <c r="D108" s="98"/>
      <c r="E108" s="99"/>
      <c r="F108" s="88"/>
      <c r="G108" s="21"/>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row>
    <row r="109" spans="1:36" s="101" customFormat="1" ht="20.399999999999999" customHeight="1" x14ac:dyDescent="0.4">
      <c r="A109" s="1497" t="s">
        <v>366</v>
      </c>
      <c r="B109" s="1497"/>
      <c r="C109" s="1497"/>
      <c r="D109" s="1497"/>
      <c r="E109" s="288">
        <f>E107-E97</f>
        <v>2749.3</v>
      </c>
      <c r="F109" s="88"/>
      <c r="G109" s="21"/>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row>
    <row r="110" spans="1:36" s="101" customFormat="1" ht="20.399999999999999" customHeight="1" x14ac:dyDescent="0.4">
      <c r="A110" s="1497"/>
      <c r="B110" s="1497"/>
      <c r="C110" s="1497"/>
      <c r="D110" s="1497"/>
      <c r="E110" s="99"/>
      <c r="F110" s="88"/>
      <c r="G110" s="21"/>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row>
    <row r="111" spans="1:36" s="101" customFormat="1" ht="18" customHeight="1" x14ac:dyDescent="0.4">
      <c r="A111" s="595" t="s">
        <v>464</v>
      </c>
      <c r="B111" s="604"/>
      <c r="C111" s="605"/>
      <c r="D111" s="606"/>
      <c r="E111" s="608">
        <f>E107+E83</f>
        <v>49192.90993939394</v>
      </c>
      <c r="F111" s="609"/>
      <c r="G111" s="21"/>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row>
    <row r="113" spans="1:6" ht="18" x14ac:dyDescent="0.4">
      <c r="A113" s="287" t="s">
        <v>521</v>
      </c>
      <c r="B113" s="287" t="str">
        <f>'Variante irrigation'!B7</f>
        <v>Aspersion</v>
      </c>
      <c r="C113" s="91" t="s">
        <v>244</v>
      </c>
      <c r="D113" s="91" t="s">
        <v>282</v>
      </c>
      <c r="E113" s="91" t="s">
        <v>343</v>
      </c>
      <c r="F113" s="36"/>
    </row>
    <row r="114" spans="1:6" x14ac:dyDescent="0.25">
      <c r="A114" s="18"/>
      <c r="B114" s="18" t="str">
        <f>'Variante irrigation'!B9</f>
        <v>Pompe (Diesel)</v>
      </c>
      <c r="C114" s="41"/>
      <c r="D114" s="41"/>
      <c r="E114" s="32">
        <f>'Variante irrigation'!G9</f>
        <v>7080</v>
      </c>
      <c r="F114" s="18"/>
    </row>
    <row r="115" spans="1:6" x14ac:dyDescent="0.25">
      <c r="A115" s="18"/>
      <c r="B115" s="18" t="str">
        <f>'Variante irrigation'!B10</f>
        <v>Puits</v>
      </c>
      <c r="C115" s="41"/>
      <c r="D115" s="41"/>
      <c r="E115" s="32">
        <f>'Variante irrigation'!G10</f>
        <v>2950</v>
      </c>
      <c r="F115" s="18"/>
    </row>
    <row r="116" spans="1:6" x14ac:dyDescent="0.25">
      <c r="A116" s="18"/>
      <c r="B116" s="18" t="str">
        <f>'Variante irrigation'!B11</f>
        <v>Nourrice principale (Tube PVC)</v>
      </c>
      <c r="C116" s="41"/>
      <c r="D116" s="41"/>
      <c r="E116" s="32">
        <f>'Variante irrigation'!G11</f>
        <v>849.59999999999991</v>
      </c>
      <c r="F116" s="18"/>
    </row>
    <row r="117" spans="1:6" x14ac:dyDescent="0.25">
      <c r="A117" s="18"/>
      <c r="B117" s="18" t="str">
        <f>'Variante irrigation'!B12</f>
        <v>Hydrant (Collier buse; tube, vanne..)</v>
      </c>
      <c r="C117" s="41"/>
      <c r="D117" s="41"/>
      <c r="E117" s="32">
        <f>'Variante irrigation'!G12</f>
        <v>826</v>
      </c>
      <c r="F117" s="18"/>
    </row>
    <row r="118" spans="1:6" x14ac:dyDescent="0.25">
      <c r="B118" s="18" t="str">
        <f>'Variante irrigation'!B13</f>
        <v>Tuyau</v>
      </c>
      <c r="C118" s="41">
        <f>'Variante irrigation'!E13</f>
        <v>400</v>
      </c>
      <c r="D118" s="41">
        <f>'Variante irrigation'!F13</f>
        <v>12.979999999999999</v>
      </c>
      <c r="E118" s="32">
        <f>C118*D118</f>
        <v>5191.9999999999991</v>
      </c>
    </row>
    <row r="119" spans="1:6" x14ac:dyDescent="0.25">
      <c r="B119" s="18" t="str">
        <f>'Variante irrigation'!B14</f>
        <v>Bouchons</v>
      </c>
      <c r="C119" s="41">
        <f>'Variante irrigation'!E14</f>
        <v>5</v>
      </c>
      <c r="D119" s="41">
        <f>'Variante irrigation'!F14</f>
        <v>35.4</v>
      </c>
      <c r="E119" s="32">
        <f>C119*D119</f>
        <v>177</v>
      </c>
    </row>
    <row r="120" spans="1:6" x14ac:dyDescent="0.25">
      <c r="B120" s="18" t="str">
        <f>'Variante irrigation'!B15</f>
        <v>Arroseur complet ( ... Baiouette, vanne, tuyau, n..., arroseur)</v>
      </c>
      <c r="C120" s="41">
        <f>'Variante irrigation'!E15</f>
        <v>33</v>
      </c>
      <c r="D120" s="41">
        <f>'Variante irrigation'!F15</f>
        <v>88.5</v>
      </c>
      <c r="E120" s="32">
        <f>C120*D120</f>
        <v>2920.5</v>
      </c>
    </row>
    <row r="121" spans="1:6" x14ac:dyDescent="0.25">
      <c r="B121" s="18" t="str">
        <f>'Variante irrigation'!B16</f>
        <v>Piquets fixation perche</v>
      </c>
      <c r="C121" s="41">
        <f>'Variante irrigation'!E16</f>
        <v>33</v>
      </c>
      <c r="D121" s="41">
        <f>'Variante irrigation'!F16</f>
        <v>35.4</v>
      </c>
      <c r="E121" s="32">
        <f>C121*D121</f>
        <v>1168.2</v>
      </c>
    </row>
    <row r="122" spans="1:6" x14ac:dyDescent="0.25">
      <c r="A122" s="18" t="str">
        <f>'Variante irrigation'!A19</f>
        <v>Machines et outillage</v>
      </c>
      <c r="B122" s="18"/>
      <c r="D122" s="18"/>
      <c r="E122" s="10">
        <f>'Variante irrigation'!G19</f>
        <v>1000</v>
      </c>
    </row>
    <row r="123" spans="1:6" ht="13" thickBot="1" x14ac:dyDescent="0.3">
      <c r="A123" s="18" t="str">
        <f>'Variante irrigation'!A20</f>
        <v>Main-d'oeuvre</v>
      </c>
      <c r="B123" s="18"/>
      <c r="C123" s="41">
        <f>'Variante irrigation'!E20</f>
        <v>100</v>
      </c>
      <c r="D123" s="10">
        <f>'Variante données'!C37</f>
        <v>28</v>
      </c>
      <c r="E123" s="464">
        <f>C123*D123</f>
        <v>2800</v>
      </c>
    </row>
    <row r="124" spans="1:6" ht="18" x14ac:dyDescent="0.4">
      <c r="E124" s="288">
        <f>SUM(E114:E123)</f>
        <v>24963.3</v>
      </c>
    </row>
    <row r="125" spans="1:6" ht="13" x14ac:dyDescent="0.3">
      <c r="A125" s="72" t="str">
        <f>B113</f>
        <v>Aspersion</v>
      </c>
      <c r="B125" s="142" t="s">
        <v>661</v>
      </c>
      <c r="C125" s="1404">
        <f>'Variante données'!C185</f>
        <v>1</v>
      </c>
    </row>
    <row r="127" spans="1:6" ht="18" x14ac:dyDescent="0.4">
      <c r="A127" s="287" t="s">
        <v>521</v>
      </c>
      <c r="B127" s="287" t="str">
        <f>'Variante irrigation'!B31</f>
        <v>goutte à goutte</v>
      </c>
      <c r="C127" s="91" t="s">
        <v>244</v>
      </c>
      <c r="D127" s="91" t="s">
        <v>282</v>
      </c>
      <c r="E127" s="91" t="s">
        <v>343</v>
      </c>
      <c r="F127" s="36"/>
    </row>
    <row r="128" spans="1:6" ht="18" x14ac:dyDescent="0.4">
      <c r="A128" s="287"/>
      <c r="B128" t="str">
        <f>'Variante irrigation'!A33</f>
        <v>Installation pompe</v>
      </c>
      <c r="C128" s="287"/>
      <c r="D128" s="287"/>
      <c r="E128" s="32">
        <f>'Variante irrigation'!H37</f>
        <v>0</v>
      </c>
      <c r="F128" s="287"/>
    </row>
    <row r="129" spans="1:6" x14ac:dyDescent="0.25">
      <c r="B129" t="str">
        <f>'Variante irrigation'!A38</f>
        <v>Installation goutte à goutte</v>
      </c>
      <c r="E129" s="32">
        <f>'Variante irrigation'!H44</f>
        <v>3969.4</v>
      </c>
    </row>
    <row r="130" spans="1:6" x14ac:dyDescent="0.25">
      <c r="B130" t="str">
        <f>'Variante irrigation'!A45</f>
        <v>Installation dispersion</v>
      </c>
      <c r="E130" s="32">
        <f>'Variante irrigation'!H49</f>
        <v>1379.62</v>
      </c>
    </row>
    <row r="131" spans="1:6" x14ac:dyDescent="0.25">
      <c r="B131" t="str">
        <f>'Variante irrigation'!A50</f>
        <v>Installation station tête</v>
      </c>
      <c r="E131" s="32">
        <f>'Variante irrigation'!H57</f>
        <v>1275</v>
      </c>
    </row>
    <row r="132" spans="1:6" x14ac:dyDescent="0.25">
      <c r="B132" t="str">
        <f>'Variante irrigation'!A74</f>
        <v>Maschines et force de traction</v>
      </c>
      <c r="E132" s="32">
        <f>'Variante irrigation'!H74</f>
        <v>2235.25</v>
      </c>
    </row>
    <row r="133" spans="1:6" ht="13" thickBot="1" x14ac:dyDescent="0.3">
      <c r="B133" t="str">
        <f>'Variante irrigation'!A75</f>
        <v>Coûts du travail manuel</v>
      </c>
      <c r="E133" s="464">
        <f>'Variante irrigation'!H75</f>
        <v>2030.4</v>
      </c>
    </row>
    <row r="134" spans="1:6" ht="18" x14ac:dyDescent="0.4">
      <c r="E134" s="288">
        <f>SUM(E128:E133)</f>
        <v>10889.67</v>
      </c>
    </row>
    <row r="135" spans="1:6" ht="13" x14ac:dyDescent="0.3">
      <c r="B135" s="142" t="str">
        <f>B125</f>
        <v>JA=1, Nein = 0</v>
      </c>
      <c r="C135" s="1404">
        <f>'Variante données'!C186</f>
        <v>0</v>
      </c>
    </row>
    <row r="136" spans="1:6" ht="13" x14ac:dyDescent="0.3">
      <c r="B136" s="142"/>
    </row>
    <row r="137" spans="1:6" ht="18" x14ac:dyDescent="0.4">
      <c r="A137" s="287" t="s">
        <v>521</v>
      </c>
      <c r="B137" s="287" t="str">
        <f>'Variante irrigation'!B87</f>
        <v>Microjet</v>
      </c>
      <c r="C137" s="91" t="s">
        <v>244</v>
      </c>
      <c r="D137" s="91" t="s">
        <v>282</v>
      </c>
      <c r="E137" s="91" t="s">
        <v>343</v>
      </c>
      <c r="F137" s="36"/>
    </row>
    <row r="138" spans="1:6" ht="18" x14ac:dyDescent="0.4">
      <c r="A138" s="287"/>
      <c r="B138" t="str">
        <f>'Variante irrigation'!A33</f>
        <v>Installation pompe</v>
      </c>
      <c r="C138" s="287"/>
      <c r="D138" s="287"/>
      <c r="E138" s="32">
        <f>'Variante irrigation'!H37</f>
        <v>0</v>
      </c>
      <c r="F138" s="287"/>
    </row>
    <row r="139" spans="1:6" x14ac:dyDescent="0.25">
      <c r="B139" t="str">
        <f>'Variante irrigation'!A94</f>
        <v>Installation à goutte</v>
      </c>
      <c r="E139" s="32">
        <f>'Variante irrigation'!H100</f>
        <v>5927.53</v>
      </c>
    </row>
    <row r="140" spans="1:6" x14ac:dyDescent="0.25">
      <c r="B140" t="str">
        <f>'Variante irrigation'!A45</f>
        <v>Installation dispersion</v>
      </c>
      <c r="E140" s="32">
        <f>'Variante irrigation'!H105</f>
        <v>1500</v>
      </c>
    </row>
    <row r="141" spans="1:6" x14ac:dyDescent="0.25">
      <c r="B141" t="str">
        <f>'Variante irrigation'!A50</f>
        <v>Installation station tête</v>
      </c>
      <c r="E141" s="32">
        <f>'Variante irrigation'!H113</f>
        <v>1550</v>
      </c>
    </row>
    <row r="142" spans="1:6" x14ac:dyDescent="0.25">
      <c r="B142" t="str">
        <f>'Variante irrigation'!A132</f>
        <v>Maschines et force de traction</v>
      </c>
      <c r="E142" s="32">
        <f>'Variante irrigation'!H132</f>
        <v>2650</v>
      </c>
    </row>
    <row r="143" spans="1:6" ht="13" thickBot="1" x14ac:dyDescent="0.3">
      <c r="B143" t="str">
        <f>'Variante irrigation'!A133</f>
        <v>Coûts du travail manuel</v>
      </c>
      <c r="E143" s="464">
        <f>'Variante irrigation'!H133</f>
        <v>4004</v>
      </c>
    </row>
    <row r="144" spans="1:6" ht="18" x14ac:dyDescent="0.4">
      <c r="E144" s="288">
        <f>SUM(E138:E143)</f>
        <v>15631.529999999999</v>
      </c>
    </row>
    <row r="145" spans="1:6" ht="13" x14ac:dyDescent="0.3">
      <c r="B145" s="1401" t="str">
        <f>B135</f>
        <v>JA=1, Nein = 0</v>
      </c>
      <c r="C145" s="1404">
        <f>'Variante données'!C187</f>
        <v>0</v>
      </c>
    </row>
    <row r="146" spans="1:6" x14ac:dyDescent="0.25">
      <c r="A146" s="783"/>
      <c r="B146" s="783"/>
      <c r="C146" s="783"/>
      <c r="D146" s="783"/>
      <c r="E146" s="783"/>
      <c r="F146" s="783"/>
    </row>
    <row r="147" spans="1:6" ht="18" x14ac:dyDescent="0.4">
      <c r="A147" s="1497" t="s">
        <v>665</v>
      </c>
      <c r="B147" s="1497"/>
      <c r="C147" s="1497"/>
      <c r="D147" s="1497"/>
      <c r="E147" s="288">
        <f>C125*E124+C135*E134+C145*E144</f>
        <v>24963.3</v>
      </c>
      <c r="F147" s="88"/>
    </row>
    <row r="148" spans="1:6" ht="18" x14ac:dyDescent="0.4">
      <c r="A148" s="1497"/>
      <c r="B148" s="1497"/>
      <c r="C148" s="1497"/>
      <c r="D148" s="1497"/>
      <c r="E148" s="99"/>
      <c r="F148" s="88"/>
    </row>
    <row r="149" spans="1:6" ht="18" x14ac:dyDescent="0.4">
      <c r="A149" s="595" t="s">
        <v>666</v>
      </c>
      <c r="B149" s="604"/>
      <c r="C149" s="605"/>
      <c r="D149" s="606"/>
      <c r="E149" s="608">
        <f>E111+E147</f>
        <v>74156.209939393942</v>
      </c>
      <c r="F149" s="609"/>
    </row>
    <row r="151" spans="1:6" ht="22.5" x14ac:dyDescent="0.45">
      <c r="A151" s="595" t="s">
        <v>686</v>
      </c>
      <c r="B151" s="604"/>
      <c r="C151" s="1437">
        <f>IF(C155=0,1,0)</f>
        <v>0</v>
      </c>
      <c r="D151" s="608">
        <f>E8+E14+E39+E62-E57+E80-E75-E78-E76-E77</f>
        <v>34576.023272727274</v>
      </c>
      <c r="E151" s="608">
        <f>C151*D151</f>
        <v>0</v>
      </c>
      <c r="F151" s="1438"/>
    </row>
    <row r="152" spans="1:6" ht="22.5" x14ac:dyDescent="0.45">
      <c r="A152" s="595" t="s">
        <v>687</v>
      </c>
      <c r="B152" s="604"/>
      <c r="C152" s="1437">
        <f>IF('Variante données'!C188=1,0,'Variante données'!C180)</f>
        <v>0</v>
      </c>
      <c r="D152" s="608">
        <f>E111</f>
        <v>49192.90993939394</v>
      </c>
      <c r="E152" s="608">
        <f>C152*D152</f>
        <v>0</v>
      </c>
      <c r="F152" s="1438"/>
    </row>
    <row r="153" spans="1:6" ht="22.5" x14ac:dyDescent="0.45">
      <c r="A153" s="595" t="s">
        <v>688</v>
      </c>
      <c r="B153" s="604"/>
      <c r="C153" s="1437">
        <f>IF('Variante données'!C190=2,1,0)</f>
        <v>0</v>
      </c>
      <c r="D153" s="608">
        <f>E111+E147</f>
        <v>74156.209939393942</v>
      </c>
      <c r="E153" s="608">
        <f>(D153+E103)*C153</f>
        <v>0</v>
      </c>
      <c r="F153" s="1438"/>
    </row>
    <row r="154" spans="1:6" ht="22.5" x14ac:dyDescent="0.45">
      <c r="A154" s="595" t="s">
        <v>689</v>
      </c>
      <c r="B154" s="604"/>
      <c r="C154" s="1437">
        <f>IF(C153=1,0,'Variante données'!C188)</f>
        <v>1</v>
      </c>
      <c r="D154" s="608">
        <f>D151+E147</f>
        <v>59539.32327272727</v>
      </c>
      <c r="E154" s="608">
        <f>D154*C154</f>
        <v>59539.32327272727</v>
      </c>
      <c r="F154" s="1438"/>
    </row>
    <row r="155" spans="1:6" x14ac:dyDescent="0.25">
      <c r="C155" s="1436">
        <f>SUM(C152:C154)</f>
        <v>1</v>
      </c>
    </row>
    <row r="156" spans="1:6" ht="18" x14ac:dyDescent="0.4">
      <c r="A156" s="595" t="s">
        <v>690</v>
      </c>
      <c r="B156" s="524"/>
      <c r="C156" s="524"/>
      <c r="D156" s="524"/>
      <c r="E156" s="608">
        <f>SUM(E151:E154)</f>
        <v>59539.32327272727</v>
      </c>
      <c r="F156" s="524"/>
    </row>
  </sheetData>
  <mergeCells count="8">
    <mergeCell ref="A147:D148"/>
    <mergeCell ref="A83:D83"/>
    <mergeCell ref="A109:D110"/>
    <mergeCell ref="B3:F3"/>
    <mergeCell ref="A36:A38"/>
    <mergeCell ref="A10:A13"/>
    <mergeCell ref="A16:A26"/>
    <mergeCell ref="A29:A33"/>
  </mergeCells>
  <phoneticPr fontId="0" type="noConversion"/>
  <printOptions gridLines="1" gridLinesSet="0"/>
  <pageMargins left="0.78740157480314965" right="0.39370078740157483" top="0.59055118110236227" bottom="0.39370078740157483" header="0.51181102362204722" footer="0.51181102362204722"/>
  <pageSetup paperSize="9" scale="60"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ndardStandjahre1">
    <tabColor indexed="50"/>
  </sheetPr>
  <dimension ref="A1:DF82"/>
  <sheetViews>
    <sheetView topLeftCell="A55" zoomScale="70" workbookViewId="0">
      <selection activeCell="F79" sqref="F79"/>
    </sheetView>
  </sheetViews>
  <sheetFormatPr baseColWidth="10" defaultRowHeight="14" x14ac:dyDescent="0.3"/>
  <cols>
    <col min="1" max="1" width="41.54296875" style="12" customWidth="1"/>
    <col min="2" max="2" width="34.7265625" style="15" customWidth="1"/>
    <col min="3" max="3" width="18.453125" style="10" customWidth="1"/>
    <col min="4" max="4" width="14.54296875" style="10" bestFit="1" customWidth="1"/>
    <col min="5" max="5" width="19.08984375" style="23" customWidth="1"/>
    <col min="6" max="6" width="22.81640625" style="24" customWidth="1"/>
    <col min="7" max="7" width="10.7265625" style="10" customWidth="1"/>
    <col min="8" max="8" width="41.54296875" style="326" customWidth="1"/>
    <col min="9" max="9" width="34.7265625" style="10" customWidth="1"/>
    <col min="10" max="10" width="18.453125" customWidth="1"/>
    <col min="11" max="11" width="16" bestFit="1" customWidth="1"/>
    <col min="12" max="12" width="15.7265625" customWidth="1"/>
    <col min="13" max="13" width="17.453125" customWidth="1"/>
    <col min="14" max="14" width="10.7265625" style="1" customWidth="1"/>
    <col min="15" max="15" width="41.54296875" style="211" customWidth="1"/>
    <col min="16" max="16" width="34.7265625" customWidth="1"/>
    <col min="17" max="17" width="18.453125" customWidth="1"/>
    <col min="18" max="18" width="16.7265625" style="25" bestFit="1" customWidth="1"/>
    <col min="19" max="19" width="17.7265625" customWidth="1"/>
    <col min="20" max="20" width="17.453125" customWidth="1"/>
    <col min="21" max="21" width="10.7265625" style="330" customWidth="1"/>
    <col min="22" max="22" width="41.54296875" style="211" customWidth="1"/>
    <col min="23" max="23" width="34.7265625" customWidth="1"/>
    <col min="24" max="24" width="18.453125" customWidth="1"/>
    <col min="25" max="25" width="17.08984375" bestFit="1" customWidth="1"/>
    <col min="26" max="26" width="15.453125" customWidth="1"/>
    <col min="27" max="27" width="17.453125" customWidth="1"/>
    <col min="28" max="28" width="10.7265625" style="1" customWidth="1"/>
    <col min="29" max="29" width="41.453125" style="211" customWidth="1"/>
    <col min="30" max="30" width="34.7265625" customWidth="1"/>
    <col min="31" max="31" width="18.453125" customWidth="1"/>
    <col min="32" max="32" width="17.08984375" bestFit="1" customWidth="1"/>
    <col min="33" max="33" width="13.453125" customWidth="1"/>
    <col min="34" max="34" width="17.453125" customWidth="1"/>
    <col min="35" max="35" width="10.7265625" style="1" customWidth="1"/>
    <col min="36" max="36" width="41.54296875" style="211" customWidth="1"/>
    <col min="37" max="37" width="34.7265625" customWidth="1"/>
    <col min="38" max="38" width="18.453125" customWidth="1"/>
    <col min="39" max="39" width="17.08984375" bestFit="1" customWidth="1"/>
    <col min="40" max="40" width="13.453125" customWidth="1"/>
    <col min="41" max="41" width="17.453125" customWidth="1"/>
    <col min="42" max="42" width="10.7265625" style="1" customWidth="1"/>
    <col min="43" max="43" width="41.54296875" style="211" customWidth="1"/>
    <col min="44" max="44" width="34.7265625" customWidth="1"/>
    <col min="45" max="45" width="18.453125" customWidth="1"/>
    <col min="46" max="46" width="17.08984375" bestFit="1" customWidth="1"/>
    <col min="47" max="47" width="13.453125" customWidth="1"/>
    <col min="48" max="48" width="17.453125" customWidth="1"/>
    <col min="49" max="49" width="10.7265625" style="1" customWidth="1"/>
    <col min="50" max="50" width="41.54296875" style="211" customWidth="1"/>
    <col min="51" max="51" width="34.7265625" customWidth="1"/>
    <col min="52" max="52" width="18.453125" customWidth="1"/>
    <col min="53" max="53" width="17.08984375" bestFit="1" customWidth="1"/>
    <col min="54" max="54" width="15.453125" customWidth="1"/>
    <col min="55" max="55" width="17.453125" customWidth="1"/>
    <col min="56" max="56" width="10.7265625" style="1" customWidth="1"/>
    <col min="57" max="57" width="41.54296875" style="211" customWidth="1"/>
    <col min="58" max="58" width="34.7265625" customWidth="1"/>
    <col min="59" max="59" width="18.453125" customWidth="1"/>
    <col min="60" max="60" width="17.08984375" bestFit="1" customWidth="1"/>
    <col min="61" max="61" width="13.453125" customWidth="1"/>
    <col min="62" max="62" width="17.453125" customWidth="1"/>
    <col min="63" max="63" width="10.7265625" style="1" customWidth="1"/>
    <col min="64" max="64" width="41.54296875" style="211" customWidth="1"/>
    <col min="65" max="65" width="34.7265625" customWidth="1"/>
    <col min="66" max="66" width="18.453125" customWidth="1"/>
    <col min="67" max="67" width="17.08984375" bestFit="1" customWidth="1"/>
    <col min="68" max="68" width="13.453125" customWidth="1"/>
    <col min="69" max="69" width="17.453125" customWidth="1"/>
    <col min="70" max="70" width="10.7265625" style="1" customWidth="1"/>
    <col min="71" max="71" width="41.54296875" style="211" customWidth="1"/>
    <col min="72" max="72" width="34.7265625" customWidth="1"/>
    <col min="73" max="73" width="18.453125" customWidth="1"/>
    <col min="74" max="74" width="17.08984375" bestFit="1" customWidth="1"/>
    <col min="75" max="75" width="14.81640625" customWidth="1"/>
    <col min="76" max="76" width="17.453125" customWidth="1"/>
    <col min="77" max="77" width="10.7265625" style="1" customWidth="1"/>
    <col min="78" max="78" width="41.54296875" style="211" customWidth="1"/>
    <col min="79" max="79" width="34.7265625" customWidth="1"/>
    <col min="80" max="80" width="18.453125" customWidth="1"/>
    <col min="81" max="81" width="17.08984375" bestFit="1" customWidth="1"/>
    <col min="82" max="82" width="17.26953125" customWidth="1"/>
    <col min="83" max="83" width="21.54296875" customWidth="1"/>
    <col min="84" max="84" width="10.7265625" style="1" customWidth="1"/>
    <col min="85" max="85" width="41.54296875" style="211" customWidth="1"/>
    <col min="86" max="86" width="34.7265625" customWidth="1"/>
    <col min="87" max="87" width="18.453125" customWidth="1"/>
    <col min="88" max="88" width="17.08984375" bestFit="1" customWidth="1"/>
    <col min="89" max="89" width="13.453125" customWidth="1"/>
    <col min="90" max="90" width="17.453125" customWidth="1"/>
    <col min="91" max="91" width="10.7265625" style="1" customWidth="1"/>
    <col min="92" max="92" width="41.54296875" style="211" customWidth="1"/>
    <col min="93" max="93" width="34.7265625" customWidth="1"/>
    <col min="94" max="94" width="18.453125" customWidth="1"/>
    <col min="95" max="95" width="17.08984375" bestFit="1" customWidth="1"/>
    <col min="96" max="96" width="15.7265625" customWidth="1"/>
    <col min="97" max="97" width="20.81640625" customWidth="1"/>
    <col min="98" max="98" width="10.7265625" style="1" customWidth="1"/>
    <col min="99" max="99" width="41.54296875" style="211" customWidth="1"/>
    <col min="100" max="100" width="34.7265625" customWidth="1"/>
    <col min="101" max="101" width="20.7265625" customWidth="1"/>
    <col min="102" max="102" width="20.81640625" customWidth="1"/>
    <col min="103" max="103" width="18.81640625" customWidth="1"/>
    <col min="104" max="104" width="20.7265625" customWidth="1"/>
    <col min="105" max="105" width="10.7265625" style="18" customWidth="1"/>
  </cols>
  <sheetData>
    <row r="1" spans="1:105" s="13" customFormat="1" ht="42" customHeight="1" x14ac:dyDescent="0.5">
      <c r="A1" s="1441" t="str">
        <f>'Variante données'!A1</f>
        <v>Arbokost 2023</v>
      </c>
      <c r="B1" s="746" t="str">
        <f>'Variante données'!B7</f>
        <v>Pomme de table</v>
      </c>
      <c r="C1" s="978"/>
      <c r="D1" s="979"/>
      <c r="E1" s="980"/>
      <c r="F1" s="981"/>
      <c r="G1" s="982"/>
      <c r="H1" s="820"/>
      <c r="I1" s="820"/>
      <c r="J1" s="820"/>
      <c r="K1" s="820"/>
      <c r="L1" s="820"/>
      <c r="M1" s="820"/>
      <c r="N1" s="820"/>
      <c r="O1" s="820"/>
      <c r="P1" s="820"/>
      <c r="Q1" s="820"/>
      <c r="R1" s="820"/>
      <c r="S1" s="820"/>
      <c r="T1" s="820"/>
      <c r="U1" s="820"/>
      <c r="V1" s="820"/>
      <c r="W1" s="820"/>
      <c r="X1" s="820"/>
      <c r="Y1" s="820"/>
      <c r="Z1" s="820"/>
      <c r="AA1" s="820"/>
      <c r="AB1" s="820"/>
      <c r="AC1" s="820"/>
      <c r="AD1" s="820"/>
      <c r="AE1" s="820"/>
      <c r="AF1" s="820"/>
      <c r="AG1" s="820"/>
      <c r="AH1" s="820"/>
      <c r="AI1" s="820"/>
      <c r="AJ1" s="820"/>
      <c r="AK1" s="820"/>
      <c r="AL1" s="820"/>
      <c r="AM1" s="820"/>
      <c r="AN1" s="820"/>
      <c r="AO1" s="820"/>
      <c r="AP1" s="820"/>
      <c r="AQ1" s="820"/>
      <c r="AR1" s="820"/>
      <c r="AS1" s="820"/>
      <c r="AT1" s="820"/>
      <c r="AU1" s="820"/>
      <c r="AV1" s="820"/>
      <c r="AW1" s="820"/>
      <c r="AX1" s="820"/>
      <c r="AY1" s="820"/>
      <c r="AZ1" s="820"/>
      <c r="BA1" s="820"/>
      <c r="BB1" s="820"/>
      <c r="BC1" s="820"/>
      <c r="BD1" s="820"/>
      <c r="BE1" s="820"/>
      <c r="BF1" s="820"/>
      <c r="BG1" s="820"/>
      <c r="BH1" s="820"/>
      <c r="BI1" s="820"/>
      <c r="BJ1" s="820"/>
      <c r="BK1" s="820"/>
      <c r="BL1" s="820"/>
      <c r="BM1" s="820"/>
      <c r="BN1" s="820"/>
      <c r="BO1" s="820"/>
      <c r="BP1" s="820"/>
      <c r="BQ1" s="820"/>
      <c r="BR1" s="820"/>
      <c r="BS1" s="820"/>
      <c r="BT1" s="820"/>
      <c r="BU1" s="820"/>
      <c r="BV1" s="820"/>
      <c r="BW1" s="820"/>
      <c r="BX1" s="820"/>
      <c r="BY1" s="820"/>
      <c r="BZ1" s="820"/>
      <c r="CA1" s="820"/>
      <c r="CB1" s="820"/>
      <c r="CC1" s="820"/>
      <c r="CD1" s="820"/>
      <c r="CE1" s="820"/>
      <c r="CF1" s="820"/>
      <c r="CG1" s="820"/>
      <c r="CH1" s="820"/>
      <c r="CI1" s="820"/>
      <c r="CJ1" s="820"/>
      <c r="CK1" s="820"/>
      <c r="CL1" s="820"/>
      <c r="CM1" s="820"/>
      <c r="CN1" s="820"/>
      <c r="CO1" s="820"/>
      <c r="CP1" s="820"/>
      <c r="CQ1" s="820"/>
      <c r="CR1" s="820"/>
      <c r="CS1" s="820"/>
      <c r="CT1" s="820"/>
      <c r="CU1" s="820"/>
      <c r="CV1" s="820"/>
      <c r="CW1" s="820"/>
      <c r="CX1" s="820"/>
      <c r="CY1" s="820"/>
      <c r="CZ1" s="820"/>
      <c r="DA1" s="820"/>
    </row>
    <row r="2" spans="1:105" s="13" customFormat="1" ht="12.75" customHeight="1" x14ac:dyDescent="0.8">
      <c r="A2" s="803"/>
      <c r="B2" s="994"/>
      <c r="C2" s="978"/>
      <c r="D2" s="979"/>
      <c r="E2" s="980"/>
      <c r="F2" s="981"/>
      <c r="G2" s="982"/>
      <c r="H2" s="820"/>
      <c r="I2" s="820"/>
      <c r="J2" s="820"/>
      <c r="K2" s="820"/>
      <c r="L2" s="820"/>
      <c r="M2" s="820"/>
      <c r="N2" s="820"/>
      <c r="O2" s="820"/>
      <c r="P2" s="820"/>
      <c r="Q2" s="820"/>
      <c r="R2" s="820"/>
      <c r="S2" s="820"/>
      <c r="T2" s="820"/>
      <c r="U2" s="820"/>
      <c r="V2" s="820"/>
      <c r="W2" s="820"/>
      <c r="X2" s="820"/>
      <c r="Y2" s="820"/>
      <c r="Z2" s="820"/>
      <c r="AA2" s="820"/>
      <c r="AB2" s="820"/>
      <c r="AC2" s="820"/>
      <c r="AD2" s="820"/>
      <c r="AE2" s="820"/>
      <c r="AF2" s="820"/>
      <c r="AG2" s="820"/>
      <c r="AH2" s="820"/>
      <c r="AI2" s="820"/>
      <c r="AJ2" s="820"/>
      <c r="AK2" s="820"/>
      <c r="AL2" s="820"/>
      <c r="AM2" s="820"/>
      <c r="AN2" s="820"/>
      <c r="AO2" s="820"/>
      <c r="AP2" s="820"/>
      <c r="AQ2" s="820"/>
      <c r="AR2" s="820"/>
      <c r="AS2" s="820"/>
      <c r="AT2" s="820"/>
      <c r="AU2" s="820"/>
      <c r="AV2" s="820"/>
      <c r="AW2" s="820"/>
      <c r="AX2" s="820"/>
      <c r="AY2" s="820"/>
      <c r="AZ2" s="820"/>
      <c r="BA2" s="820"/>
      <c r="BB2" s="820"/>
      <c r="BC2" s="820"/>
      <c r="BD2" s="820"/>
      <c r="BE2" s="820"/>
      <c r="BF2" s="820"/>
      <c r="BG2" s="820"/>
      <c r="BH2" s="820"/>
      <c r="BI2" s="820"/>
      <c r="BJ2" s="820"/>
      <c r="BK2" s="820"/>
      <c r="BL2" s="820"/>
      <c r="BM2" s="820"/>
      <c r="BN2" s="820"/>
      <c r="BO2" s="820"/>
      <c r="BP2" s="820"/>
      <c r="BQ2" s="820"/>
      <c r="BR2" s="820"/>
      <c r="BS2" s="820"/>
      <c r="BT2" s="820"/>
      <c r="BU2" s="820"/>
      <c r="BV2" s="820"/>
      <c r="BW2" s="820"/>
      <c r="BX2" s="820"/>
      <c r="BY2" s="820"/>
      <c r="BZ2" s="820"/>
      <c r="CA2" s="820"/>
      <c r="CB2" s="820"/>
      <c r="CC2" s="820"/>
      <c r="CD2" s="820"/>
      <c r="CE2" s="820"/>
      <c r="CF2" s="820"/>
      <c r="CG2" s="820"/>
      <c r="CH2" s="820"/>
      <c r="CI2" s="820"/>
      <c r="CJ2" s="820"/>
      <c r="CK2" s="820"/>
      <c r="CL2" s="820"/>
      <c r="CM2" s="820"/>
      <c r="CN2" s="820"/>
      <c r="CO2" s="820"/>
      <c r="CP2" s="820"/>
      <c r="CQ2" s="820"/>
      <c r="CR2" s="820"/>
      <c r="CS2" s="820"/>
      <c r="CT2" s="820"/>
      <c r="CU2" s="820"/>
      <c r="CV2" s="820"/>
      <c r="CW2" s="820"/>
      <c r="CX2" s="820"/>
      <c r="CY2" s="820"/>
      <c r="CZ2" s="820"/>
      <c r="DA2" s="820"/>
    </row>
    <row r="3" spans="1:105" s="13" customFormat="1" ht="18" customHeight="1" x14ac:dyDescent="0.8">
      <c r="A3" s="803"/>
      <c r="B3" s="994"/>
      <c r="C3" s="978"/>
      <c r="D3" s="979"/>
      <c r="E3" s="980"/>
      <c r="F3" s="981"/>
      <c r="G3" s="982"/>
      <c r="H3" s="820"/>
      <c r="I3" s="820"/>
      <c r="J3" s="820"/>
      <c r="K3" s="820"/>
      <c r="L3" s="820"/>
      <c r="M3" s="820"/>
      <c r="N3" s="820"/>
      <c r="O3" s="820"/>
      <c r="P3" s="820"/>
      <c r="Q3" s="820"/>
      <c r="R3" s="820"/>
      <c r="S3" s="820"/>
      <c r="T3" s="820"/>
      <c r="U3" s="820"/>
      <c r="V3" s="820"/>
      <c r="W3" s="820"/>
      <c r="X3" s="820"/>
      <c r="Y3" s="820"/>
      <c r="Z3" s="820"/>
      <c r="AA3" s="820"/>
      <c r="AB3" s="820"/>
      <c r="AC3" s="820"/>
      <c r="AD3" s="820"/>
      <c r="AE3" s="820"/>
      <c r="AF3" s="820"/>
      <c r="AG3" s="820"/>
      <c r="AH3" s="820"/>
      <c r="AI3" s="820"/>
      <c r="AJ3" s="820"/>
      <c r="AK3" s="820"/>
      <c r="AL3" s="820"/>
      <c r="AM3" s="820"/>
      <c r="AN3" s="820"/>
      <c r="AO3" s="820"/>
      <c r="AP3" s="820"/>
      <c r="AQ3" s="820"/>
      <c r="AR3" s="820"/>
      <c r="AS3" s="820"/>
      <c r="AT3" s="820"/>
      <c r="AU3" s="820"/>
      <c r="AV3" s="820"/>
      <c r="AW3" s="820"/>
      <c r="AX3" s="820"/>
      <c r="AY3" s="820"/>
      <c r="AZ3" s="820"/>
      <c r="BA3" s="820"/>
      <c r="BB3" s="820"/>
      <c r="BC3" s="820"/>
      <c r="BD3" s="820"/>
      <c r="BE3" s="820"/>
      <c r="BF3" s="820"/>
      <c r="BG3" s="820"/>
      <c r="BH3" s="820"/>
      <c r="BI3" s="820"/>
      <c r="BJ3" s="820"/>
      <c r="BK3" s="820"/>
      <c r="BL3" s="820"/>
      <c r="BM3" s="820"/>
      <c r="BN3" s="820"/>
      <c r="BO3" s="820"/>
      <c r="BP3" s="820"/>
      <c r="BQ3" s="820"/>
      <c r="BR3" s="820"/>
      <c r="BS3" s="820"/>
      <c r="BT3" s="820"/>
      <c r="BU3" s="820"/>
      <c r="BV3" s="820"/>
      <c r="BW3" s="820"/>
      <c r="BX3" s="820"/>
      <c r="BY3" s="820"/>
      <c r="BZ3" s="820"/>
      <c r="CA3" s="820"/>
      <c r="CB3" s="820"/>
      <c r="CC3" s="820"/>
      <c r="CD3" s="820"/>
      <c r="CE3" s="820"/>
      <c r="CF3" s="820"/>
      <c r="CG3" s="820"/>
      <c r="CH3" s="820"/>
      <c r="CI3" s="820"/>
      <c r="CJ3" s="820"/>
      <c r="CK3" s="820"/>
      <c r="CL3" s="820"/>
      <c r="CM3" s="820"/>
      <c r="CN3" s="820"/>
      <c r="CO3" s="820"/>
      <c r="CP3" s="820"/>
      <c r="CQ3" s="820"/>
      <c r="CR3" s="820"/>
      <c r="CS3" s="820"/>
      <c r="CT3" s="820"/>
      <c r="CU3" s="820"/>
      <c r="CV3" s="820"/>
      <c r="CW3" s="820"/>
      <c r="CX3" s="820"/>
      <c r="CY3" s="820"/>
      <c r="CZ3" s="820"/>
      <c r="DA3" s="820"/>
    </row>
    <row r="4" spans="1:105" s="13" customFormat="1" ht="13" x14ac:dyDescent="0.3">
      <c r="A4" s="891"/>
      <c r="B4" s="983"/>
      <c r="C4" s="821"/>
      <c r="D4" s="821"/>
      <c r="E4" s="984"/>
      <c r="F4" s="985"/>
      <c r="G4" s="821"/>
      <c r="H4" s="821"/>
      <c r="I4" s="821"/>
      <c r="J4" s="820"/>
      <c r="K4" s="820"/>
      <c r="L4" s="820"/>
      <c r="M4" s="820"/>
      <c r="N4" s="820"/>
      <c r="O4" s="821"/>
      <c r="P4" s="821"/>
      <c r="Q4" s="820"/>
      <c r="R4" s="820"/>
      <c r="S4" s="820"/>
      <c r="T4" s="820"/>
      <c r="U4" s="820"/>
      <c r="V4" s="821"/>
      <c r="W4" s="821"/>
      <c r="X4" s="820"/>
      <c r="Y4" s="820"/>
      <c r="Z4" s="820"/>
      <c r="AA4" s="820"/>
      <c r="AB4" s="820"/>
      <c r="AC4" s="821"/>
      <c r="AD4" s="821"/>
      <c r="AE4" s="820"/>
      <c r="AF4" s="820"/>
      <c r="AG4" s="820"/>
      <c r="AH4" s="820"/>
      <c r="AI4" s="820"/>
      <c r="AJ4" s="821"/>
      <c r="AK4" s="821"/>
      <c r="AL4" s="820"/>
      <c r="AM4" s="820"/>
      <c r="AN4" s="820"/>
      <c r="AO4" s="820"/>
      <c r="AP4" s="820"/>
      <c r="AQ4" s="821"/>
      <c r="AR4" s="821"/>
      <c r="AS4" s="820"/>
      <c r="AT4" s="820"/>
      <c r="AU4" s="820"/>
      <c r="AV4" s="820"/>
      <c r="AW4" s="820"/>
      <c r="AX4" s="821"/>
      <c r="AY4" s="821"/>
      <c r="AZ4" s="820"/>
      <c r="BA4" s="820"/>
      <c r="BB4" s="820"/>
      <c r="BC4" s="820"/>
      <c r="BD4" s="820"/>
      <c r="BE4" s="821"/>
      <c r="BF4" s="821"/>
      <c r="BG4" s="820"/>
      <c r="BH4" s="820"/>
      <c r="BI4" s="820"/>
      <c r="BJ4" s="820"/>
      <c r="BK4" s="820"/>
      <c r="BL4" s="821"/>
      <c r="BM4" s="821"/>
      <c r="BN4" s="820"/>
      <c r="BO4" s="820"/>
      <c r="BP4" s="820"/>
      <c r="BQ4" s="820"/>
      <c r="BR4" s="820"/>
      <c r="BS4" s="821"/>
      <c r="BT4" s="821"/>
      <c r="BU4" s="820"/>
      <c r="BV4" s="820"/>
      <c r="BW4" s="820"/>
      <c r="BX4" s="820"/>
      <c r="BY4" s="820"/>
      <c r="BZ4" s="821"/>
      <c r="CA4" s="821"/>
      <c r="CB4" s="820"/>
      <c r="CC4" s="820"/>
      <c r="CD4" s="820"/>
      <c r="CE4" s="820"/>
      <c r="CF4" s="820"/>
      <c r="CG4" s="821"/>
      <c r="CH4" s="821"/>
      <c r="CI4" s="820"/>
      <c r="CJ4" s="820"/>
      <c r="CK4" s="820"/>
      <c r="CL4" s="820"/>
      <c r="CM4" s="820"/>
      <c r="CN4" s="821"/>
      <c r="CO4" s="821"/>
      <c r="CP4" s="820"/>
      <c r="CQ4" s="820"/>
      <c r="CR4" s="820"/>
      <c r="CS4" s="820"/>
      <c r="CT4" s="820"/>
      <c r="CU4" s="821"/>
      <c r="CV4" s="821"/>
      <c r="CW4" s="820"/>
      <c r="CX4" s="820"/>
      <c r="CY4" s="820"/>
      <c r="CZ4" s="820"/>
      <c r="DA4" s="820"/>
    </row>
    <row r="5" spans="1:105" s="771" customFormat="1" ht="20" x14ac:dyDescent="0.4">
      <c r="A5" s="744" t="s">
        <v>370</v>
      </c>
      <c r="B5" s="746"/>
      <c r="C5" s="743"/>
      <c r="D5" s="744"/>
      <c r="E5" s="995" t="s">
        <v>342</v>
      </c>
      <c r="F5" s="996"/>
      <c r="G5" s="746"/>
      <c r="H5" s="744" t="s">
        <v>370</v>
      </c>
      <c r="I5" s="746"/>
      <c r="J5" s="743"/>
      <c r="K5" s="744"/>
      <c r="L5" s="745"/>
      <c r="M5" s="744"/>
      <c r="N5" s="746"/>
      <c r="O5" s="744" t="s">
        <v>370</v>
      </c>
      <c r="P5" s="746"/>
      <c r="Q5" s="743"/>
      <c r="R5" s="744"/>
      <c r="S5" s="745"/>
      <c r="T5" s="744"/>
      <c r="U5" s="746"/>
      <c r="V5" s="744" t="s">
        <v>370</v>
      </c>
      <c r="W5" s="746"/>
      <c r="X5" s="743"/>
      <c r="Y5" s="744"/>
      <c r="Z5" s="745"/>
      <c r="AA5" s="744"/>
      <c r="AB5" s="746"/>
      <c r="AC5" s="744" t="s">
        <v>370</v>
      </c>
      <c r="AD5" s="746"/>
      <c r="AE5" s="743"/>
      <c r="AF5" s="744"/>
      <c r="AG5" s="745"/>
      <c r="AH5" s="744"/>
      <c r="AI5" s="746"/>
      <c r="AJ5" s="744" t="s">
        <v>370</v>
      </c>
      <c r="AK5" s="746"/>
      <c r="AL5" s="743"/>
      <c r="AM5" s="744"/>
      <c r="AN5" s="745"/>
      <c r="AO5" s="744"/>
      <c r="AP5" s="746"/>
      <c r="AQ5" s="744" t="s">
        <v>370</v>
      </c>
      <c r="AR5" s="746"/>
      <c r="AS5" s="743"/>
      <c r="AT5" s="744"/>
      <c r="AU5" s="745"/>
      <c r="AV5" s="744"/>
      <c r="AW5" s="746"/>
      <c r="AX5" s="744" t="s">
        <v>370</v>
      </c>
      <c r="AY5" s="746"/>
      <c r="AZ5" s="743"/>
      <c r="BA5" s="744"/>
      <c r="BB5" s="745"/>
      <c r="BC5" s="744"/>
      <c r="BD5" s="746"/>
      <c r="BE5" s="744" t="s">
        <v>370</v>
      </c>
      <c r="BF5" s="746"/>
      <c r="BG5" s="743"/>
      <c r="BH5" s="744"/>
      <c r="BI5" s="745"/>
      <c r="BJ5" s="744"/>
      <c r="BK5" s="746"/>
      <c r="BL5" s="744" t="s">
        <v>370</v>
      </c>
      <c r="BM5" s="746"/>
      <c r="BN5" s="743"/>
      <c r="BO5" s="744"/>
      <c r="BP5" s="745"/>
      <c r="BQ5" s="744"/>
      <c r="BR5" s="746"/>
      <c r="BS5" s="744" t="s">
        <v>370</v>
      </c>
      <c r="BT5" s="746"/>
      <c r="BU5" s="743"/>
      <c r="BV5" s="744"/>
      <c r="BW5" s="745"/>
      <c r="BX5" s="744"/>
      <c r="BY5" s="746"/>
      <c r="BZ5" s="744" t="s">
        <v>370</v>
      </c>
      <c r="CA5" s="746"/>
      <c r="CB5" s="743"/>
      <c r="CC5" s="744"/>
      <c r="CD5" s="745"/>
      <c r="CE5" s="744"/>
      <c r="CF5" s="746"/>
      <c r="CG5" s="744" t="s">
        <v>370</v>
      </c>
      <c r="CH5" s="746"/>
      <c r="CI5" s="743"/>
      <c r="CJ5" s="744"/>
      <c r="CK5" s="745"/>
      <c r="CL5" s="744"/>
      <c r="CM5" s="746"/>
      <c r="CN5" s="744" t="s">
        <v>370</v>
      </c>
      <c r="CO5" s="746"/>
      <c r="CP5" s="743"/>
      <c r="CQ5" s="744"/>
      <c r="CR5" s="745"/>
      <c r="CS5" s="744"/>
      <c r="CT5" s="746"/>
      <c r="CU5" s="744" t="s">
        <v>370</v>
      </c>
      <c r="CV5" s="746"/>
      <c r="CW5" s="743"/>
      <c r="CX5" s="744"/>
      <c r="CY5" s="745"/>
      <c r="CZ5" s="744"/>
      <c r="DA5" s="746"/>
    </row>
    <row r="6" spans="1:105" s="17" customFormat="1" ht="29.25" customHeight="1" x14ac:dyDescent="0.4">
      <c r="A6" s="986" t="s">
        <v>408</v>
      </c>
      <c r="B6" s="1052">
        <f>'Variante données'!B24</f>
        <v>2000</v>
      </c>
      <c r="C6" s="1506"/>
      <c r="D6" s="1506"/>
      <c r="E6" s="1506"/>
      <c r="F6" s="1506"/>
      <c r="G6" s="1506"/>
      <c r="H6" s="986" t="s">
        <v>394</v>
      </c>
      <c r="I6" s="1052">
        <f>'Variante données'!B24</f>
        <v>2000</v>
      </c>
      <c r="J6" s="1506"/>
      <c r="K6" s="1507"/>
      <c r="L6" s="1507"/>
      <c r="M6" s="1507"/>
      <c r="N6" s="1507"/>
      <c r="O6" s="986" t="s">
        <v>395</v>
      </c>
      <c r="P6" s="1052">
        <f>'Variante données'!B24</f>
        <v>2000</v>
      </c>
      <c r="Q6" s="1506"/>
      <c r="R6" s="1506"/>
      <c r="S6" s="1506"/>
      <c r="T6" s="1506"/>
      <c r="U6" s="1506"/>
      <c r="V6" s="986" t="s">
        <v>396</v>
      </c>
      <c r="W6" s="1052">
        <f>'Variante données'!B24</f>
        <v>2000</v>
      </c>
      <c r="X6" s="1506"/>
      <c r="Y6" s="1506"/>
      <c r="Z6" s="1506"/>
      <c r="AA6" s="1506"/>
      <c r="AB6" s="1506"/>
      <c r="AC6" s="986" t="s">
        <v>397</v>
      </c>
      <c r="AD6" s="1052">
        <f>'Variante données'!B24</f>
        <v>2000</v>
      </c>
      <c r="AE6" s="1506"/>
      <c r="AF6" s="1506"/>
      <c r="AG6" s="1506"/>
      <c r="AH6" s="1506"/>
      <c r="AI6" s="1506"/>
      <c r="AJ6" s="986" t="s">
        <v>398</v>
      </c>
      <c r="AK6" s="1052">
        <f>'Variante données'!B24</f>
        <v>2000</v>
      </c>
      <c r="AL6" s="1506"/>
      <c r="AM6" s="1506"/>
      <c r="AN6" s="1506"/>
      <c r="AO6" s="1506"/>
      <c r="AP6" s="1506"/>
      <c r="AQ6" s="986" t="s">
        <v>399</v>
      </c>
      <c r="AR6" s="1052">
        <f>'Variante données'!B24</f>
        <v>2000</v>
      </c>
      <c r="AS6" s="1506"/>
      <c r="AT6" s="1506"/>
      <c r="AU6" s="1506"/>
      <c r="AV6" s="1506"/>
      <c r="AW6" s="1506"/>
      <c r="AX6" s="986" t="s">
        <v>400</v>
      </c>
      <c r="AY6" s="1052">
        <f>'Variante données'!B24</f>
        <v>2000</v>
      </c>
      <c r="AZ6" s="1506"/>
      <c r="BA6" s="1506"/>
      <c r="BB6" s="1506"/>
      <c r="BC6" s="1506"/>
      <c r="BD6" s="1506"/>
      <c r="BE6" s="986" t="s">
        <v>401</v>
      </c>
      <c r="BF6" s="1052">
        <f>'Variante données'!B24</f>
        <v>2000</v>
      </c>
      <c r="BG6" s="1506"/>
      <c r="BH6" s="1506"/>
      <c r="BI6" s="1506"/>
      <c r="BJ6" s="1506"/>
      <c r="BK6" s="1506"/>
      <c r="BL6" s="986" t="s">
        <v>402</v>
      </c>
      <c r="BM6" s="1052">
        <f>'Variante données'!B24</f>
        <v>2000</v>
      </c>
      <c r="BN6" s="1506"/>
      <c r="BO6" s="1506"/>
      <c r="BP6" s="1506"/>
      <c r="BQ6" s="1506"/>
      <c r="BR6" s="1506"/>
      <c r="BS6" s="986" t="s">
        <v>403</v>
      </c>
      <c r="BT6" s="1052">
        <f>'Variante données'!B24</f>
        <v>2000</v>
      </c>
      <c r="BU6" s="1506"/>
      <c r="BV6" s="1506"/>
      <c r="BW6" s="1506"/>
      <c r="BX6" s="1506"/>
      <c r="BY6" s="1506"/>
      <c r="BZ6" s="986" t="s">
        <v>404</v>
      </c>
      <c r="CA6" s="1052">
        <f>'Variante données'!B24</f>
        <v>2000</v>
      </c>
      <c r="CB6" s="1506"/>
      <c r="CC6" s="1506"/>
      <c r="CD6" s="1506"/>
      <c r="CE6" s="1506"/>
      <c r="CF6" s="1506"/>
      <c r="CG6" s="986" t="s">
        <v>405</v>
      </c>
      <c r="CH6" s="1052">
        <f>'Variante données'!B24</f>
        <v>2000</v>
      </c>
      <c r="CI6" s="1506"/>
      <c r="CJ6" s="1506"/>
      <c r="CK6" s="1506"/>
      <c r="CL6" s="1506"/>
      <c r="CM6" s="1506"/>
      <c r="CN6" s="986" t="s">
        <v>406</v>
      </c>
      <c r="CO6" s="1052">
        <f>'Variante données'!B24</f>
        <v>2000</v>
      </c>
      <c r="CP6" s="1506"/>
      <c r="CQ6" s="1506"/>
      <c r="CR6" s="1506"/>
      <c r="CS6" s="1506"/>
      <c r="CT6" s="1506"/>
      <c r="CU6" s="986" t="s">
        <v>407</v>
      </c>
      <c r="CV6" s="1052">
        <f>'Variante données'!B24</f>
        <v>2000</v>
      </c>
      <c r="CW6" s="1506"/>
      <c r="CX6" s="1506"/>
      <c r="CY6" s="1506"/>
      <c r="CZ6" s="1506"/>
      <c r="DA6" s="1506"/>
    </row>
    <row r="7" spans="1:105" s="3" customFormat="1" ht="30.75" customHeight="1" x14ac:dyDescent="0.35">
      <c r="A7" s="386" t="s">
        <v>66</v>
      </c>
      <c r="B7" s="747"/>
      <c r="C7" s="1505" t="s">
        <v>367</v>
      </c>
      <c r="D7" s="1505"/>
      <c r="E7" s="1049" t="s">
        <v>368</v>
      </c>
      <c r="F7" s="1050" t="s">
        <v>422</v>
      </c>
      <c r="G7" s="1504" t="s">
        <v>393</v>
      </c>
      <c r="H7" s="386" t="s">
        <v>66</v>
      </c>
      <c r="I7" s="747"/>
      <c r="J7" s="1505" t="s">
        <v>367</v>
      </c>
      <c r="K7" s="1505"/>
      <c r="L7" s="1049" t="s">
        <v>368</v>
      </c>
      <c r="M7" s="1050" t="s">
        <v>422</v>
      </c>
      <c r="N7" s="1504" t="s">
        <v>393</v>
      </c>
      <c r="O7" s="386" t="s">
        <v>66</v>
      </c>
      <c r="P7" s="747"/>
      <c r="Q7" s="1505" t="s">
        <v>367</v>
      </c>
      <c r="R7" s="1505"/>
      <c r="S7" s="1049" t="s">
        <v>368</v>
      </c>
      <c r="T7" s="1050" t="s">
        <v>422</v>
      </c>
      <c r="U7" s="1504" t="s">
        <v>393</v>
      </c>
      <c r="V7" s="386" t="s">
        <v>66</v>
      </c>
      <c r="W7" s="747"/>
      <c r="X7" s="1505" t="s">
        <v>367</v>
      </c>
      <c r="Y7" s="1505"/>
      <c r="Z7" s="1049" t="s">
        <v>368</v>
      </c>
      <c r="AA7" s="1050" t="s">
        <v>422</v>
      </c>
      <c r="AB7" s="1504" t="s">
        <v>393</v>
      </c>
      <c r="AC7" s="386" t="s">
        <v>66</v>
      </c>
      <c r="AD7" s="747"/>
      <c r="AE7" s="1505" t="s">
        <v>367</v>
      </c>
      <c r="AF7" s="1505"/>
      <c r="AG7" s="1049" t="s">
        <v>368</v>
      </c>
      <c r="AH7" s="1050" t="s">
        <v>422</v>
      </c>
      <c r="AI7" s="1504" t="s">
        <v>393</v>
      </c>
      <c r="AJ7" s="386" t="s">
        <v>66</v>
      </c>
      <c r="AK7" s="747"/>
      <c r="AL7" s="1505" t="s">
        <v>367</v>
      </c>
      <c r="AM7" s="1505"/>
      <c r="AN7" s="1049" t="s">
        <v>368</v>
      </c>
      <c r="AO7" s="1050" t="s">
        <v>422</v>
      </c>
      <c r="AP7" s="1504" t="s">
        <v>393</v>
      </c>
      <c r="AQ7" s="386" t="s">
        <v>66</v>
      </c>
      <c r="AR7" s="747"/>
      <c r="AS7" s="1505" t="s">
        <v>367</v>
      </c>
      <c r="AT7" s="1505"/>
      <c r="AU7" s="1049" t="s">
        <v>368</v>
      </c>
      <c r="AV7" s="1050" t="s">
        <v>422</v>
      </c>
      <c r="AW7" s="1504" t="s">
        <v>393</v>
      </c>
      <c r="AX7" s="386" t="s">
        <v>66</v>
      </c>
      <c r="AY7" s="747"/>
      <c r="AZ7" s="1505" t="s">
        <v>367</v>
      </c>
      <c r="BA7" s="1505"/>
      <c r="BB7" s="1049" t="s">
        <v>368</v>
      </c>
      <c r="BC7" s="1050" t="s">
        <v>422</v>
      </c>
      <c r="BD7" s="1504" t="s">
        <v>393</v>
      </c>
      <c r="BE7" s="386" t="s">
        <v>66</v>
      </c>
      <c r="BF7" s="747"/>
      <c r="BG7" s="1505" t="s">
        <v>367</v>
      </c>
      <c r="BH7" s="1505"/>
      <c r="BI7" s="1049" t="s">
        <v>368</v>
      </c>
      <c r="BJ7" s="1050" t="s">
        <v>422</v>
      </c>
      <c r="BK7" s="1504" t="s">
        <v>393</v>
      </c>
      <c r="BL7" s="386" t="s">
        <v>66</v>
      </c>
      <c r="BM7" s="747"/>
      <c r="BN7" s="1505" t="s">
        <v>367</v>
      </c>
      <c r="BO7" s="1505"/>
      <c r="BP7" s="1049" t="s">
        <v>368</v>
      </c>
      <c r="BQ7" s="1050" t="s">
        <v>422</v>
      </c>
      <c r="BR7" s="1504" t="s">
        <v>393</v>
      </c>
      <c r="BS7" s="386" t="s">
        <v>66</v>
      </c>
      <c r="BT7" s="747"/>
      <c r="BU7" s="1505" t="s">
        <v>367</v>
      </c>
      <c r="BV7" s="1505"/>
      <c r="BW7" s="1049" t="s">
        <v>368</v>
      </c>
      <c r="BX7" s="1050" t="s">
        <v>422</v>
      </c>
      <c r="BY7" s="1504" t="s">
        <v>393</v>
      </c>
      <c r="BZ7" s="386" t="s">
        <v>66</v>
      </c>
      <c r="CA7" s="747"/>
      <c r="CB7" s="1505" t="s">
        <v>367</v>
      </c>
      <c r="CC7" s="1505"/>
      <c r="CD7" s="1049" t="s">
        <v>368</v>
      </c>
      <c r="CE7" s="1050" t="s">
        <v>422</v>
      </c>
      <c r="CF7" s="1504" t="s">
        <v>393</v>
      </c>
      <c r="CG7" s="386" t="s">
        <v>66</v>
      </c>
      <c r="CH7" s="747"/>
      <c r="CI7" s="1505" t="s">
        <v>367</v>
      </c>
      <c r="CJ7" s="1505"/>
      <c r="CK7" s="1049" t="s">
        <v>368</v>
      </c>
      <c r="CL7" s="1050" t="s">
        <v>422</v>
      </c>
      <c r="CM7" s="1504" t="s">
        <v>393</v>
      </c>
      <c r="CN7" s="386" t="s">
        <v>66</v>
      </c>
      <c r="CO7" s="747"/>
      <c r="CP7" s="1505" t="s">
        <v>367</v>
      </c>
      <c r="CQ7" s="1505"/>
      <c r="CR7" s="1049" t="s">
        <v>368</v>
      </c>
      <c r="CS7" s="1050" t="s">
        <v>422</v>
      </c>
      <c r="CT7" s="1504" t="s">
        <v>393</v>
      </c>
      <c r="CU7" s="386" t="s">
        <v>66</v>
      </c>
      <c r="CV7" s="747"/>
      <c r="CW7" s="1505" t="s">
        <v>367</v>
      </c>
      <c r="CX7" s="1505"/>
      <c r="CY7" s="1049" t="s">
        <v>368</v>
      </c>
      <c r="CZ7" s="1050" t="s">
        <v>422</v>
      </c>
      <c r="DA7" s="1504" t="s">
        <v>393</v>
      </c>
    </row>
    <row r="8" spans="1:105" s="12" customFormat="1" ht="12.75" customHeight="1" x14ac:dyDescent="0.3">
      <c r="B8" s="39"/>
      <c r="C8" s="186" t="s">
        <v>369</v>
      </c>
      <c r="D8" s="186" t="s">
        <v>55</v>
      </c>
      <c r="E8" s="219" t="s">
        <v>64</v>
      </c>
      <c r="F8" s="740" t="s">
        <v>53</v>
      </c>
      <c r="G8" s="1504"/>
      <c r="I8" s="39"/>
      <c r="J8" s="186" t="s">
        <v>369</v>
      </c>
      <c r="K8" s="186" t="s">
        <v>55</v>
      </c>
      <c r="L8" s="219" t="s">
        <v>64</v>
      </c>
      <c r="M8" s="740" t="s">
        <v>53</v>
      </c>
      <c r="N8" s="1504"/>
      <c r="P8" s="39"/>
      <c r="Q8" s="186" t="s">
        <v>369</v>
      </c>
      <c r="R8" s="186" t="s">
        <v>55</v>
      </c>
      <c r="S8" s="219" t="s">
        <v>64</v>
      </c>
      <c r="T8" s="740" t="s">
        <v>53</v>
      </c>
      <c r="U8" s="1504"/>
      <c r="W8" s="39"/>
      <c r="X8" s="186" t="s">
        <v>369</v>
      </c>
      <c r="Y8" s="186" t="s">
        <v>55</v>
      </c>
      <c r="Z8" s="219" t="s">
        <v>64</v>
      </c>
      <c r="AA8" s="740" t="s">
        <v>53</v>
      </c>
      <c r="AB8" s="1504"/>
      <c r="AD8" s="39"/>
      <c r="AE8" s="186" t="s">
        <v>369</v>
      </c>
      <c r="AF8" s="186" t="s">
        <v>55</v>
      </c>
      <c r="AG8" s="219" t="s">
        <v>64</v>
      </c>
      <c r="AH8" s="740" t="s">
        <v>53</v>
      </c>
      <c r="AI8" s="1504"/>
      <c r="AK8" s="39"/>
      <c r="AL8" s="186" t="s">
        <v>369</v>
      </c>
      <c r="AM8" s="186" t="s">
        <v>55</v>
      </c>
      <c r="AN8" s="219" t="s">
        <v>64</v>
      </c>
      <c r="AO8" s="740" t="s">
        <v>53</v>
      </c>
      <c r="AP8" s="1504"/>
      <c r="AR8" s="39"/>
      <c r="AS8" s="186" t="s">
        <v>369</v>
      </c>
      <c r="AT8" s="186" t="s">
        <v>55</v>
      </c>
      <c r="AU8" s="219" t="s">
        <v>64</v>
      </c>
      <c r="AV8" s="740" t="s">
        <v>53</v>
      </c>
      <c r="AW8" s="1504"/>
      <c r="AY8" s="39"/>
      <c r="AZ8" s="186" t="s">
        <v>369</v>
      </c>
      <c r="BA8" s="186" t="s">
        <v>55</v>
      </c>
      <c r="BB8" s="219" t="s">
        <v>64</v>
      </c>
      <c r="BC8" s="740" t="s">
        <v>53</v>
      </c>
      <c r="BD8" s="1504"/>
      <c r="BF8" s="39"/>
      <c r="BG8" s="186" t="s">
        <v>369</v>
      </c>
      <c r="BH8" s="186" t="s">
        <v>55</v>
      </c>
      <c r="BI8" s="219" t="s">
        <v>64</v>
      </c>
      <c r="BJ8" s="740" t="s">
        <v>53</v>
      </c>
      <c r="BK8" s="1504"/>
      <c r="BM8" s="39"/>
      <c r="BN8" s="186" t="s">
        <v>369</v>
      </c>
      <c r="BO8" s="186" t="s">
        <v>55</v>
      </c>
      <c r="BP8" s="219" t="s">
        <v>64</v>
      </c>
      <c r="BQ8" s="740" t="s">
        <v>53</v>
      </c>
      <c r="BR8" s="1504"/>
      <c r="BT8" s="39"/>
      <c r="BU8" s="186" t="s">
        <v>369</v>
      </c>
      <c r="BV8" s="186" t="s">
        <v>55</v>
      </c>
      <c r="BW8" s="219" t="s">
        <v>64</v>
      </c>
      <c r="BX8" s="740" t="s">
        <v>53</v>
      </c>
      <c r="BY8" s="1504"/>
      <c r="CA8" s="39"/>
      <c r="CB8" s="186" t="s">
        <v>369</v>
      </c>
      <c r="CC8" s="186" t="s">
        <v>55</v>
      </c>
      <c r="CD8" s="219" t="s">
        <v>64</v>
      </c>
      <c r="CE8" s="740" t="s">
        <v>53</v>
      </c>
      <c r="CF8" s="1504"/>
      <c r="CH8" s="39"/>
      <c r="CI8" s="186" t="s">
        <v>369</v>
      </c>
      <c r="CJ8" s="186" t="s">
        <v>55</v>
      </c>
      <c r="CK8" s="219" t="s">
        <v>64</v>
      </c>
      <c r="CL8" s="740" t="s">
        <v>53</v>
      </c>
      <c r="CM8" s="1504"/>
      <c r="CO8" s="39"/>
      <c r="CP8" s="186" t="s">
        <v>369</v>
      </c>
      <c r="CQ8" s="186" t="s">
        <v>55</v>
      </c>
      <c r="CR8" s="219" t="s">
        <v>64</v>
      </c>
      <c r="CS8" s="740" t="s">
        <v>53</v>
      </c>
      <c r="CT8" s="1504"/>
      <c r="CV8" s="39"/>
      <c r="CW8" s="186" t="s">
        <v>369</v>
      </c>
      <c r="CX8" s="186" t="s">
        <v>55</v>
      </c>
      <c r="CY8" s="219" t="s">
        <v>64</v>
      </c>
      <c r="CZ8" s="740" t="s">
        <v>53</v>
      </c>
      <c r="DA8" s="1504"/>
    </row>
    <row r="9" spans="1:105" s="84" customFormat="1" ht="15.75" customHeight="1" x14ac:dyDescent="0.3">
      <c r="A9" s="72"/>
      <c r="B9" s="84" t="str">
        <f>'Variante données'!$B$47</f>
        <v>Catégorie I</v>
      </c>
      <c r="C9" s="739">
        <f>D9/B6</f>
        <v>0</v>
      </c>
      <c r="D9" s="216">
        <f>G9*D12</f>
        <v>0</v>
      </c>
      <c r="E9" s="213">
        <f>'Variante données'!B48</f>
        <v>1.1200000000000001</v>
      </c>
      <c r="F9" s="148">
        <f>D9*E9</f>
        <v>0</v>
      </c>
      <c r="G9" s="725">
        <f>'Variante données'!B71</f>
        <v>0.7</v>
      </c>
      <c r="H9" s="72"/>
      <c r="I9" s="84" t="str">
        <f>'Variante données'!$B$47</f>
        <v>Catégorie I</v>
      </c>
      <c r="J9" s="739">
        <f>K9/I6</f>
        <v>1.75</v>
      </c>
      <c r="K9" s="216">
        <f>N9*K12</f>
        <v>3500</v>
      </c>
      <c r="L9" s="213">
        <f>'Variante données'!B49</f>
        <v>1.1200000000000001</v>
      </c>
      <c r="M9" s="148">
        <f>K9*L9</f>
        <v>3920.0000000000005</v>
      </c>
      <c r="N9" s="725">
        <f>'Variante données'!B72</f>
        <v>0.7</v>
      </c>
      <c r="O9" s="72"/>
      <c r="P9" s="84" t="str">
        <f>'Variante données'!$B$47</f>
        <v>Catégorie I</v>
      </c>
      <c r="Q9" s="739">
        <f>R9/P6</f>
        <v>6.3</v>
      </c>
      <c r="R9" s="216">
        <f>U9*R12</f>
        <v>12600</v>
      </c>
      <c r="S9" s="213">
        <f>'Variante données'!B50</f>
        <v>1.1200000000000001</v>
      </c>
      <c r="T9" s="148">
        <f>R9*S9</f>
        <v>14112.000000000002</v>
      </c>
      <c r="U9" s="725">
        <f>'Variante données'!B73</f>
        <v>0.7</v>
      </c>
      <c r="V9" s="72"/>
      <c r="W9" s="84" t="str">
        <f>'Variante données'!$B$47</f>
        <v>Catégorie I</v>
      </c>
      <c r="X9" s="739">
        <f>Y9/W6</f>
        <v>8.75</v>
      </c>
      <c r="Y9" s="216">
        <f>AB9*Y12</f>
        <v>17500</v>
      </c>
      <c r="Z9" s="213">
        <f>'Variante données'!B51</f>
        <v>1.1200000000000001</v>
      </c>
      <c r="AA9" s="148">
        <f>Y9*Z9</f>
        <v>19600.000000000004</v>
      </c>
      <c r="AB9" s="725">
        <f>'Variante données'!B74</f>
        <v>0.7</v>
      </c>
      <c r="AC9" s="72"/>
      <c r="AD9" s="84" t="str">
        <f>'Variante données'!$B$47</f>
        <v>Catégorie I</v>
      </c>
      <c r="AE9" s="739">
        <f>AF9/AD6</f>
        <v>12.25</v>
      </c>
      <c r="AF9" s="216">
        <f>AI9*AF12</f>
        <v>24500</v>
      </c>
      <c r="AG9" s="213">
        <f>'Variante données'!B52</f>
        <v>1.1200000000000001</v>
      </c>
      <c r="AH9" s="148">
        <f>AF9*AG9</f>
        <v>27440.000000000004</v>
      </c>
      <c r="AI9" s="725">
        <f>'Variante données'!B75</f>
        <v>0.7</v>
      </c>
      <c r="AJ9" s="72"/>
      <c r="AK9" s="84" t="str">
        <f>'Variante données'!$B$47</f>
        <v>Catégorie I</v>
      </c>
      <c r="AL9" s="739">
        <f>AM9/AK6</f>
        <v>15.749999999999998</v>
      </c>
      <c r="AM9" s="216">
        <f>AP9*AM12</f>
        <v>31499.999999999996</v>
      </c>
      <c r="AN9" s="213">
        <f>'Variante données'!B53</f>
        <v>1.1200000000000001</v>
      </c>
      <c r="AO9" s="148">
        <f>AM9*AN9</f>
        <v>35280</v>
      </c>
      <c r="AP9" s="725">
        <f>'Variante données'!B76</f>
        <v>0.7</v>
      </c>
      <c r="AQ9" s="72"/>
      <c r="AR9" s="84" t="str">
        <f>'Variante données'!$B$47</f>
        <v>Catégorie I</v>
      </c>
      <c r="AS9" s="739">
        <f>AT9/AR6</f>
        <v>15.749999999999998</v>
      </c>
      <c r="AT9" s="216">
        <f>AW9*AT12</f>
        <v>31499.999999999996</v>
      </c>
      <c r="AU9" s="213">
        <f>'Variante données'!B54</f>
        <v>1.1200000000000001</v>
      </c>
      <c r="AV9" s="148">
        <f>AT9*AU9</f>
        <v>35280</v>
      </c>
      <c r="AW9" s="725">
        <f>'Variante données'!B77</f>
        <v>0.7</v>
      </c>
      <c r="AX9" s="72"/>
      <c r="AY9" s="84" t="str">
        <f>'Variante données'!$B$47</f>
        <v>Catégorie I</v>
      </c>
      <c r="AZ9" s="739">
        <f>BA9/AY6</f>
        <v>15.749999999999998</v>
      </c>
      <c r="BA9" s="216">
        <f>BD9*BA12</f>
        <v>31499.999999999996</v>
      </c>
      <c r="BB9" s="213">
        <f>'Variante données'!B55</f>
        <v>1.1200000000000001</v>
      </c>
      <c r="BC9" s="148">
        <f>BA9*BB9</f>
        <v>35280</v>
      </c>
      <c r="BD9" s="725">
        <f>'Variante données'!B78</f>
        <v>0.7</v>
      </c>
      <c r="BE9" s="72"/>
      <c r="BF9" s="84" t="str">
        <f>'Variante données'!$B$47</f>
        <v>Catégorie I</v>
      </c>
      <c r="BG9" s="739">
        <f>BH9/B6</f>
        <v>15.749999999999998</v>
      </c>
      <c r="BH9" s="216">
        <f>BK9*BH12</f>
        <v>31499.999999999996</v>
      </c>
      <c r="BI9" s="213">
        <f>'Variante données'!B56</f>
        <v>1.1200000000000001</v>
      </c>
      <c r="BJ9" s="148">
        <f>BH9*BI9</f>
        <v>35280</v>
      </c>
      <c r="BK9" s="725">
        <f>'Variante données'!B78</f>
        <v>0.7</v>
      </c>
      <c r="BL9" s="72"/>
      <c r="BM9" s="84" t="str">
        <f>'Variante données'!$B$47</f>
        <v>Catégorie I</v>
      </c>
      <c r="BN9" s="739">
        <f>BO9/B6</f>
        <v>14.625</v>
      </c>
      <c r="BO9" s="216">
        <f>BR9*BO12</f>
        <v>29250</v>
      </c>
      <c r="BP9" s="213">
        <f>'Variante données'!B57</f>
        <v>1.1200000000000001</v>
      </c>
      <c r="BQ9" s="148">
        <f>BO9*BP9</f>
        <v>32760.000000000004</v>
      </c>
      <c r="BR9" s="725">
        <f>'Variante données'!B80</f>
        <v>0.65</v>
      </c>
      <c r="BS9" s="72"/>
      <c r="BT9" s="84" t="str">
        <f>'Variante données'!$B$47</f>
        <v>Catégorie I</v>
      </c>
      <c r="BU9" s="739">
        <f>BV9/B6</f>
        <v>14.625</v>
      </c>
      <c r="BV9" s="216">
        <f>BY9*BV12</f>
        <v>29250</v>
      </c>
      <c r="BW9" s="213">
        <f>'Variante données'!B58</f>
        <v>1.1200000000000001</v>
      </c>
      <c r="BX9" s="148">
        <f>BV9*BW9</f>
        <v>32760.000000000004</v>
      </c>
      <c r="BY9" s="725">
        <f>'Variante données'!B81</f>
        <v>0.65</v>
      </c>
      <c r="BZ9" s="72"/>
      <c r="CA9" s="84" t="str">
        <f>'Variante données'!$B$47</f>
        <v>Catégorie I</v>
      </c>
      <c r="CB9" s="739">
        <f>CC9/B6</f>
        <v>14.625</v>
      </c>
      <c r="CC9" s="216">
        <f>CF9*CC12</f>
        <v>29250</v>
      </c>
      <c r="CD9" s="213">
        <f>'Variante données'!B59</f>
        <v>1.1200000000000001</v>
      </c>
      <c r="CE9" s="148">
        <f>CC9*CD9</f>
        <v>32760.000000000004</v>
      </c>
      <c r="CF9" s="725">
        <f>'Variante données'!B82</f>
        <v>0.65</v>
      </c>
      <c r="CG9" s="72"/>
      <c r="CH9" s="84" t="str">
        <f>'Variante données'!$B$47</f>
        <v>Catégorie I</v>
      </c>
      <c r="CI9" s="739">
        <f>CJ9/B6</f>
        <v>13.5</v>
      </c>
      <c r="CJ9" s="216">
        <f>CM9*CJ12</f>
        <v>27000</v>
      </c>
      <c r="CK9" s="213">
        <f>'Variante données'!B60</f>
        <v>1.1200000000000001</v>
      </c>
      <c r="CL9" s="148">
        <f>CJ9*CK9</f>
        <v>30240.000000000004</v>
      </c>
      <c r="CM9" s="725">
        <f>'Variante données'!B83</f>
        <v>0.6</v>
      </c>
      <c r="CN9" s="72"/>
      <c r="CO9" s="84" t="str">
        <f>'Variante données'!$B$47</f>
        <v>Catégorie I</v>
      </c>
      <c r="CP9" s="739">
        <f>CQ9/B6</f>
        <v>13.5</v>
      </c>
      <c r="CQ9" s="216">
        <f>CT9*CQ12</f>
        <v>27000</v>
      </c>
      <c r="CR9" s="213">
        <f>'Variante données'!B61</f>
        <v>1.1200000000000001</v>
      </c>
      <c r="CS9" s="148">
        <f>CQ9*CR9</f>
        <v>30240.000000000004</v>
      </c>
      <c r="CT9" s="725">
        <f>'Variante données'!B84</f>
        <v>0.6</v>
      </c>
      <c r="CU9" s="72"/>
      <c r="CV9" s="84" t="str">
        <f>'Variante données'!$B$47</f>
        <v>Catégorie I</v>
      </c>
      <c r="CW9" s="739">
        <f>CX9/B6</f>
        <v>13.5</v>
      </c>
      <c r="CX9" s="216">
        <f>DA9*CX12</f>
        <v>27000</v>
      </c>
      <c r="CY9" s="213">
        <f>'Variante données'!B62</f>
        <v>1.1200000000000001</v>
      </c>
      <c r="CZ9" s="148">
        <f>CX9*CY9</f>
        <v>30240.000000000004</v>
      </c>
      <c r="DA9" s="725">
        <f>'Variante données'!B85</f>
        <v>0.6</v>
      </c>
    </row>
    <row r="10" spans="1:105" s="84" customFormat="1" ht="13.65" customHeight="1" x14ac:dyDescent="0.3">
      <c r="B10" s="84" t="str">
        <f>'Variante données'!$C$47</f>
        <v>Catégorie II</v>
      </c>
      <c r="C10" s="739">
        <f>D10/B6</f>
        <v>0</v>
      </c>
      <c r="D10" s="216">
        <f>G10*D12</f>
        <v>0</v>
      </c>
      <c r="E10" s="213">
        <f>'Variante données'!C48</f>
        <v>0.45</v>
      </c>
      <c r="F10" s="148">
        <f>D10*E10</f>
        <v>0</v>
      </c>
      <c r="G10" s="725">
        <f>'Variante données'!C71</f>
        <v>0.2</v>
      </c>
      <c r="I10" s="84" t="str">
        <f>'Variante données'!$C$47</f>
        <v>Catégorie II</v>
      </c>
      <c r="J10" s="739">
        <f>K10/I6</f>
        <v>0.5</v>
      </c>
      <c r="K10" s="216">
        <f>N10*K12</f>
        <v>1000</v>
      </c>
      <c r="L10" s="213">
        <f>'Variante données'!C49</f>
        <v>0.45</v>
      </c>
      <c r="M10" s="148">
        <f>K10*L10</f>
        <v>450</v>
      </c>
      <c r="N10" s="725">
        <f>'Variante données'!C72</f>
        <v>0.2</v>
      </c>
      <c r="P10" s="84" t="str">
        <f>'Variante données'!$C$47</f>
        <v>Catégorie II</v>
      </c>
      <c r="Q10" s="739">
        <f>R10/P6</f>
        <v>1.8</v>
      </c>
      <c r="R10" s="216">
        <f>U10*R12</f>
        <v>3600</v>
      </c>
      <c r="S10" s="213">
        <f>'Variante données'!C50</f>
        <v>0.45</v>
      </c>
      <c r="T10" s="148">
        <f>R10*S10</f>
        <v>1620</v>
      </c>
      <c r="U10" s="725">
        <f>'Variante données'!C73</f>
        <v>0.2</v>
      </c>
      <c r="W10" s="84" t="str">
        <f>'Variante données'!$C$47</f>
        <v>Catégorie II</v>
      </c>
      <c r="X10" s="739">
        <f>Y10/W6</f>
        <v>2.5</v>
      </c>
      <c r="Y10" s="216">
        <f>AB10*Y12</f>
        <v>5000</v>
      </c>
      <c r="Z10" s="213">
        <f>'Variante données'!C51</f>
        <v>0.45</v>
      </c>
      <c r="AA10" s="148">
        <f>Y10*Z10</f>
        <v>2250</v>
      </c>
      <c r="AB10" s="725">
        <f>'Variante données'!C74</f>
        <v>0.2</v>
      </c>
      <c r="AD10" s="84" t="str">
        <f>'Variante données'!$C$47</f>
        <v>Catégorie II</v>
      </c>
      <c r="AE10" s="739">
        <f>AF10/AD6</f>
        <v>3.5</v>
      </c>
      <c r="AF10" s="216">
        <f>AI10*AF12</f>
        <v>7000</v>
      </c>
      <c r="AG10" s="213">
        <f>'Variante données'!C52</f>
        <v>0.45</v>
      </c>
      <c r="AH10" s="148">
        <f>AF10*AG10</f>
        <v>3150</v>
      </c>
      <c r="AI10" s="725">
        <f>'Variante données'!C75</f>
        <v>0.2</v>
      </c>
      <c r="AK10" s="84" t="str">
        <f>'Variante données'!$C$47</f>
        <v>Catégorie II</v>
      </c>
      <c r="AL10" s="739">
        <f>AM10/AK6</f>
        <v>4.5</v>
      </c>
      <c r="AM10" s="216">
        <f>AP10*AM12</f>
        <v>9000</v>
      </c>
      <c r="AN10" s="213">
        <f>'Variante données'!C53</f>
        <v>0.45</v>
      </c>
      <c r="AO10" s="148">
        <f>AM10*AN10</f>
        <v>4050</v>
      </c>
      <c r="AP10" s="725">
        <f>'Variante données'!C76</f>
        <v>0.2</v>
      </c>
      <c r="AR10" s="84" t="str">
        <f>'Variante données'!$C$47</f>
        <v>Catégorie II</v>
      </c>
      <c r="AS10" s="739">
        <f>AT10/AR6</f>
        <v>4.5</v>
      </c>
      <c r="AT10" s="216">
        <f>AW10*AT12</f>
        <v>9000</v>
      </c>
      <c r="AU10" s="213">
        <f>'Variante données'!C54</f>
        <v>0.45</v>
      </c>
      <c r="AV10" s="148">
        <f>AT10*AU10</f>
        <v>4050</v>
      </c>
      <c r="AW10" s="725">
        <f>'Variante données'!C77</f>
        <v>0.2</v>
      </c>
      <c r="AY10" s="84" t="str">
        <f>'Variante données'!$C$47</f>
        <v>Catégorie II</v>
      </c>
      <c r="AZ10" s="739">
        <f>BA10/AY6</f>
        <v>4.5</v>
      </c>
      <c r="BA10" s="216">
        <f>BD10*BA12</f>
        <v>9000</v>
      </c>
      <c r="BB10" s="213">
        <f>'Variante données'!C55</f>
        <v>0.45</v>
      </c>
      <c r="BC10" s="148">
        <f>BA10*BB10</f>
        <v>4050</v>
      </c>
      <c r="BD10" s="725">
        <f>'Variante données'!C78</f>
        <v>0.2</v>
      </c>
      <c r="BF10" s="84" t="str">
        <f>'Variante données'!$C$47</f>
        <v>Catégorie II</v>
      </c>
      <c r="BG10" s="739">
        <f>BH10/B6</f>
        <v>4.5</v>
      </c>
      <c r="BH10" s="216">
        <f>BK10*BH12</f>
        <v>9000</v>
      </c>
      <c r="BI10" s="213">
        <f>'Variante données'!C56</f>
        <v>0.45</v>
      </c>
      <c r="BJ10" s="148">
        <f>BH10*BI10</f>
        <v>4050</v>
      </c>
      <c r="BK10" s="725">
        <f>'Variante données'!C79</f>
        <v>0.2</v>
      </c>
      <c r="BM10" s="84" t="str">
        <f>'Variante données'!$C$47</f>
        <v>Catégorie II</v>
      </c>
      <c r="BN10" s="739">
        <f>BO10/B6</f>
        <v>5.625</v>
      </c>
      <c r="BO10" s="216">
        <f>BR10*BO12</f>
        <v>11250</v>
      </c>
      <c r="BP10" s="213">
        <f>'Variante données'!C57</f>
        <v>0.45</v>
      </c>
      <c r="BQ10" s="148">
        <f>BO10*BP10</f>
        <v>5062.5</v>
      </c>
      <c r="BR10" s="725">
        <f>'Variante données'!C80</f>
        <v>0.25</v>
      </c>
      <c r="BT10" s="84" t="str">
        <f>'Variante données'!$C$47</f>
        <v>Catégorie II</v>
      </c>
      <c r="BU10" s="739">
        <f>BV10/B6</f>
        <v>5.625</v>
      </c>
      <c r="BV10" s="216">
        <f>BY10*BV12</f>
        <v>11250</v>
      </c>
      <c r="BW10" s="213">
        <f>'Variante données'!C57</f>
        <v>0.45</v>
      </c>
      <c r="BX10" s="148">
        <f>BV10*BW10</f>
        <v>5062.5</v>
      </c>
      <c r="BY10" s="725">
        <f>'Variante données'!C81</f>
        <v>0.25</v>
      </c>
      <c r="CA10" s="84" t="str">
        <f>'Variante données'!$C$47</f>
        <v>Catégorie II</v>
      </c>
      <c r="CB10" s="739">
        <f>CC10/B6</f>
        <v>5.625</v>
      </c>
      <c r="CC10" s="216">
        <f>CF10*CC12</f>
        <v>11250</v>
      </c>
      <c r="CD10" s="213">
        <f>'Variante données'!C59</f>
        <v>0.45</v>
      </c>
      <c r="CE10" s="148">
        <f>CC10*CD10</f>
        <v>5062.5</v>
      </c>
      <c r="CF10" s="725">
        <f>'Variante données'!C82</f>
        <v>0.25</v>
      </c>
      <c r="CH10" s="84" t="str">
        <f>'Variante données'!$C$47</f>
        <v>Catégorie II</v>
      </c>
      <c r="CI10" s="739">
        <f>CJ10/B6</f>
        <v>6.75</v>
      </c>
      <c r="CJ10" s="216">
        <f>CM10*CJ12</f>
        <v>13500</v>
      </c>
      <c r="CK10" s="213">
        <f>'Variante données'!C60</f>
        <v>0.45</v>
      </c>
      <c r="CL10" s="148">
        <f>CJ10*CK10</f>
        <v>6075</v>
      </c>
      <c r="CM10" s="725">
        <f>'Variante données'!C83</f>
        <v>0.3</v>
      </c>
      <c r="CO10" s="84" t="str">
        <f>'Variante données'!$C$47</f>
        <v>Catégorie II</v>
      </c>
      <c r="CP10" s="739">
        <f>CQ10/B6</f>
        <v>6.75</v>
      </c>
      <c r="CQ10" s="216">
        <f>CT10*CQ12</f>
        <v>13500</v>
      </c>
      <c r="CR10" s="213">
        <f>'Variante données'!C61</f>
        <v>0.45</v>
      </c>
      <c r="CS10" s="148">
        <f>CQ10*CR10</f>
        <v>6075</v>
      </c>
      <c r="CT10" s="725">
        <f>'Variante données'!C84</f>
        <v>0.3</v>
      </c>
      <c r="CV10" s="84" t="str">
        <f>'Variante données'!$C$47</f>
        <v>Catégorie II</v>
      </c>
      <c r="CW10" s="739">
        <f>CX10/B6</f>
        <v>6.75</v>
      </c>
      <c r="CX10" s="216">
        <f>DA10*CX12</f>
        <v>13500</v>
      </c>
      <c r="CY10" s="213">
        <f>'Variante données'!C62</f>
        <v>0.45</v>
      </c>
      <c r="CZ10" s="148">
        <f>CX10*CY10</f>
        <v>6075</v>
      </c>
      <c r="DA10" s="725">
        <f>'Variante données'!C85</f>
        <v>0.3</v>
      </c>
    </row>
    <row r="11" spans="1:105" s="84" customFormat="1" ht="13.65" customHeight="1" thickBot="1" x14ac:dyDescent="0.35">
      <c r="B11" s="84" t="str">
        <f>'Variante données'!$D$47</f>
        <v>Cidre</v>
      </c>
      <c r="C11" s="741"/>
      <c r="D11" s="742">
        <f>D12*G11</f>
        <v>0</v>
      </c>
      <c r="E11" s="672">
        <f>'Variante données'!D48</f>
        <v>0.23</v>
      </c>
      <c r="F11" s="582">
        <f>D11*E11</f>
        <v>0</v>
      </c>
      <c r="G11" s="725">
        <f>'Variante données'!F71</f>
        <v>0.1</v>
      </c>
      <c r="I11" s="84" t="str">
        <f>'Variante données'!$D$47</f>
        <v>Cidre</v>
      </c>
      <c r="J11" s="741">
        <f>K11/$B$6</f>
        <v>0.25</v>
      </c>
      <c r="K11" s="742">
        <f>K12*N11</f>
        <v>500</v>
      </c>
      <c r="L11" s="672">
        <f>'Variante données'!D49</f>
        <v>0.23</v>
      </c>
      <c r="M11" s="582">
        <f>K11*L11</f>
        <v>115</v>
      </c>
      <c r="N11" s="725">
        <f>'Variante données'!F72</f>
        <v>0.1</v>
      </c>
      <c r="P11" s="84" t="str">
        <f>'Variante données'!$D$47</f>
        <v>Cidre</v>
      </c>
      <c r="Q11" s="741">
        <f>R11/$B$6</f>
        <v>0.9</v>
      </c>
      <c r="R11" s="742">
        <f>R12*U11</f>
        <v>1800</v>
      </c>
      <c r="S11" s="672">
        <f>'Variante données'!D50</f>
        <v>0.23</v>
      </c>
      <c r="T11" s="582">
        <f>R11*S11</f>
        <v>414</v>
      </c>
      <c r="U11" s="725">
        <f>'Variante données'!F73</f>
        <v>0.1</v>
      </c>
      <c r="W11" s="84" t="str">
        <f>'Variante données'!$D$47</f>
        <v>Cidre</v>
      </c>
      <c r="X11" s="741">
        <f>Y11/$B$6</f>
        <v>1.25</v>
      </c>
      <c r="Y11" s="742">
        <f>Y12*AB11</f>
        <v>2500</v>
      </c>
      <c r="Z11" s="672">
        <f>'Variante données'!D51</f>
        <v>0.23</v>
      </c>
      <c r="AA11" s="582">
        <f>Y11*Z11</f>
        <v>575</v>
      </c>
      <c r="AB11" s="725">
        <f>'Variante données'!F74</f>
        <v>0.1</v>
      </c>
      <c r="AD11" s="84" t="str">
        <f>'Variante données'!$D$47</f>
        <v>Cidre</v>
      </c>
      <c r="AE11" s="741">
        <f>AF11/$B$6</f>
        <v>1.75</v>
      </c>
      <c r="AF11" s="742">
        <f>AF12*AI11</f>
        <v>3500</v>
      </c>
      <c r="AG11" s="672">
        <f>'Variante données'!D52</f>
        <v>0.23</v>
      </c>
      <c r="AH11" s="582">
        <f>AF11*AG11</f>
        <v>805</v>
      </c>
      <c r="AI11" s="725">
        <f>'Variante données'!F75</f>
        <v>0.1</v>
      </c>
      <c r="AK11" s="84" t="str">
        <f>'Variante données'!$D$47</f>
        <v>Cidre</v>
      </c>
      <c r="AL11" s="741">
        <f>AM11/$B$6</f>
        <v>2.25</v>
      </c>
      <c r="AM11" s="742">
        <f>AM12*AP11</f>
        <v>4500</v>
      </c>
      <c r="AN11" s="672">
        <f>'Variante données'!D53</f>
        <v>0.23</v>
      </c>
      <c r="AO11" s="582">
        <f>AM11*AN11</f>
        <v>1035</v>
      </c>
      <c r="AP11" s="725">
        <f>'Variante données'!F76</f>
        <v>0.1</v>
      </c>
      <c r="AR11" s="84" t="str">
        <f>'Variante données'!$D$47</f>
        <v>Cidre</v>
      </c>
      <c r="AS11" s="741">
        <f>AT11/$B$6</f>
        <v>2.25</v>
      </c>
      <c r="AT11" s="742">
        <f>AT12*AW11</f>
        <v>4500</v>
      </c>
      <c r="AU11" s="672">
        <f>'Variante données'!D54</f>
        <v>0.23</v>
      </c>
      <c r="AV11" s="582">
        <f>AT11*AU11</f>
        <v>1035</v>
      </c>
      <c r="AW11" s="725">
        <f>'Variante données'!F77</f>
        <v>0.1</v>
      </c>
      <c r="AY11" s="84" t="str">
        <f>'Variante données'!$D$47</f>
        <v>Cidre</v>
      </c>
      <c r="AZ11" s="741">
        <f>BA11/$B$6</f>
        <v>2.25</v>
      </c>
      <c r="BA11" s="742">
        <f>BA12*BD11</f>
        <v>4500</v>
      </c>
      <c r="BB11" s="672">
        <f>'Variante données'!D55</f>
        <v>0.23</v>
      </c>
      <c r="BC11" s="582">
        <f>BA11*BB11</f>
        <v>1035</v>
      </c>
      <c r="BD11" s="725">
        <f>'Variante données'!F78</f>
        <v>0.1</v>
      </c>
      <c r="BF11" s="84" t="str">
        <f>'Variante données'!$D$47</f>
        <v>Cidre</v>
      </c>
      <c r="BG11" s="741">
        <f>BH11/$B$6</f>
        <v>2.25</v>
      </c>
      <c r="BH11" s="742">
        <f>BH12*BK11</f>
        <v>4500</v>
      </c>
      <c r="BI11" s="672">
        <f>'Variante données'!D56</f>
        <v>0.23</v>
      </c>
      <c r="BJ11" s="582">
        <f>BH11*BI11</f>
        <v>1035</v>
      </c>
      <c r="BK11" s="725">
        <f>'Variante données'!F79</f>
        <v>0.1</v>
      </c>
      <c r="BM11" s="84" t="str">
        <f>'Variante données'!$D$47</f>
        <v>Cidre</v>
      </c>
      <c r="BN11" s="741">
        <f>BO11/$B$6</f>
        <v>2.25</v>
      </c>
      <c r="BO11" s="742">
        <f>BO12*BR11</f>
        <v>4500</v>
      </c>
      <c r="BP11" s="672">
        <f>'Variante données'!D57</f>
        <v>0.23</v>
      </c>
      <c r="BQ11" s="582">
        <f>BO11*BP11</f>
        <v>1035</v>
      </c>
      <c r="BR11" s="725">
        <f>'Variante données'!F80</f>
        <v>0.1</v>
      </c>
      <c r="BT11" s="84" t="str">
        <f>'Variante données'!$D$47</f>
        <v>Cidre</v>
      </c>
      <c r="BU11" s="741">
        <f>BV11/$B$6</f>
        <v>2.25</v>
      </c>
      <c r="BV11" s="742">
        <f>BV12*BY11</f>
        <v>4500</v>
      </c>
      <c r="BW11" s="672">
        <f>'Variante données'!D58</f>
        <v>0.23</v>
      </c>
      <c r="BX11" s="582">
        <f>BV11*BW11</f>
        <v>1035</v>
      </c>
      <c r="BY11" s="725">
        <f>'Variante données'!F81</f>
        <v>0.1</v>
      </c>
      <c r="CA11" s="84" t="str">
        <f>'Variante données'!$D$47</f>
        <v>Cidre</v>
      </c>
      <c r="CB11" s="741">
        <f>CC11/$B$6</f>
        <v>2.25</v>
      </c>
      <c r="CC11" s="742">
        <f>CC12*CF11</f>
        <v>4500</v>
      </c>
      <c r="CD11" s="672">
        <f>'Variante données'!D59</f>
        <v>0.23</v>
      </c>
      <c r="CE11" s="582">
        <f>CC11*CD11</f>
        <v>1035</v>
      </c>
      <c r="CF11" s="725">
        <f>'Variante données'!F82</f>
        <v>0.1</v>
      </c>
      <c r="CH11" s="84" t="str">
        <f>'Variante données'!$D$47</f>
        <v>Cidre</v>
      </c>
      <c r="CI11" s="741">
        <f>CJ11/$B$6</f>
        <v>2.25</v>
      </c>
      <c r="CJ11" s="742">
        <f>CJ12*CM11</f>
        <v>4500</v>
      </c>
      <c r="CK11" s="672">
        <f>'Variante données'!D60</f>
        <v>0.23</v>
      </c>
      <c r="CL11" s="582">
        <f>CJ11*CK11</f>
        <v>1035</v>
      </c>
      <c r="CM11" s="725">
        <f>'Variante données'!F83</f>
        <v>0.1</v>
      </c>
      <c r="CO11" s="84" t="str">
        <f>'Variante données'!$D$47</f>
        <v>Cidre</v>
      </c>
      <c r="CP11" s="741">
        <f>CQ11/$B$6</f>
        <v>2.25</v>
      </c>
      <c r="CQ11" s="742">
        <f>CQ12*CT11</f>
        <v>4500</v>
      </c>
      <c r="CR11" s="672">
        <f>'Variante données'!D61</f>
        <v>0.23</v>
      </c>
      <c r="CS11" s="582">
        <f>CQ11*CR11</f>
        <v>1035</v>
      </c>
      <c r="CT11" s="725">
        <f>'Variante données'!F84</f>
        <v>0.1</v>
      </c>
      <c r="CV11" s="84" t="str">
        <f>'Variante données'!$D$47</f>
        <v>Cidre</v>
      </c>
      <c r="CW11" s="741">
        <f>CX11/$B$6</f>
        <v>2.25</v>
      </c>
      <c r="CX11" s="742">
        <f>CX12*DA11</f>
        <v>4500</v>
      </c>
      <c r="CY11" s="672">
        <f>'Variante données'!D62</f>
        <v>0.23</v>
      </c>
      <c r="CZ11" s="582">
        <f>CX11*CY11</f>
        <v>1035</v>
      </c>
      <c r="DA11" s="725">
        <f>'Variante données'!F85</f>
        <v>0.1</v>
      </c>
    </row>
    <row r="12" spans="1:105" s="84" customFormat="1" ht="13" x14ac:dyDescent="0.3">
      <c r="B12" s="144"/>
      <c r="C12" s="306">
        <f>SUM(C9:C11)</f>
        <v>0</v>
      </c>
      <c r="D12" s="307">
        <f>'Variante données'!E48</f>
        <v>0</v>
      </c>
      <c r="E12" s="289">
        <v>0</v>
      </c>
      <c r="F12" s="82">
        <f>SUM(F9:F11)</f>
        <v>0</v>
      </c>
      <c r="G12" s="725">
        <f>SUM(G9:G11)</f>
        <v>0.99999999999999989</v>
      </c>
      <c r="I12" s="144"/>
      <c r="J12" s="306">
        <f>SUM(J9:J11)</f>
        <v>2.5</v>
      </c>
      <c r="K12" s="307">
        <f>'Variante données'!E49</f>
        <v>5000</v>
      </c>
      <c r="L12" s="289">
        <f>M12/K12</f>
        <v>0.89700000000000002</v>
      </c>
      <c r="M12" s="82">
        <f>SUM(M9:M11)</f>
        <v>4485</v>
      </c>
      <c r="N12" s="725">
        <f>SUM(N9:N11)</f>
        <v>0.99999999999999989</v>
      </c>
      <c r="P12" s="144"/>
      <c r="Q12" s="306">
        <f>SUM(Q9:Q11)</f>
        <v>9</v>
      </c>
      <c r="R12" s="307">
        <f>'Variante données'!E50</f>
        <v>18000</v>
      </c>
      <c r="S12" s="289">
        <f>T12/R12</f>
        <v>0.89700000000000013</v>
      </c>
      <c r="T12" s="82">
        <f>SUM(T9:T11)</f>
        <v>16146.000000000002</v>
      </c>
      <c r="U12" s="725">
        <f>SUM(U9:U11)</f>
        <v>0.99999999999999989</v>
      </c>
      <c r="W12" s="144"/>
      <c r="X12" s="306">
        <f>SUM(X9:X11)</f>
        <v>12.5</v>
      </c>
      <c r="Y12" s="307">
        <f>'Variante données'!E51</f>
        <v>25000</v>
      </c>
      <c r="Z12" s="289">
        <f>AA12/Y12</f>
        <v>0.89700000000000013</v>
      </c>
      <c r="AA12" s="82">
        <f>SUM(AA9:AA11)</f>
        <v>22425.000000000004</v>
      </c>
      <c r="AB12" s="725">
        <f>SUM(AB9:AB11)</f>
        <v>0.99999999999999989</v>
      </c>
      <c r="AD12" s="144"/>
      <c r="AE12" s="306">
        <f>SUM(AE9:AE11)</f>
        <v>17.5</v>
      </c>
      <c r="AF12" s="307">
        <f>'Variante données'!E52</f>
        <v>35000</v>
      </c>
      <c r="AG12" s="289">
        <f>AH12/AF12</f>
        <v>0.89700000000000013</v>
      </c>
      <c r="AH12" s="82">
        <f>SUM(AH9:AH11)</f>
        <v>31395.000000000004</v>
      </c>
      <c r="AI12" s="725">
        <f>SUM(AI9:AI11)</f>
        <v>0.99999999999999989</v>
      </c>
      <c r="AK12" s="144"/>
      <c r="AL12" s="306">
        <f>SUM(AL9:AL11)</f>
        <v>22.5</v>
      </c>
      <c r="AM12" s="307">
        <f>'Variante données'!E53</f>
        <v>45000</v>
      </c>
      <c r="AN12" s="289">
        <f>AO12/AM12</f>
        <v>0.89700000000000002</v>
      </c>
      <c r="AO12" s="82">
        <f>SUM(AO9:AO11)</f>
        <v>40365</v>
      </c>
      <c r="AP12" s="725">
        <f>SUM(AP9:AP11)</f>
        <v>0.99999999999999989</v>
      </c>
      <c r="AR12" s="144"/>
      <c r="AS12" s="306">
        <f>SUM(AS9:AS11)</f>
        <v>22.5</v>
      </c>
      <c r="AT12" s="307">
        <f>'Variante données'!E54</f>
        <v>45000</v>
      </c>
      <c r="AU12" s="289">
        <f>AV12/AT12</f>
        <v>0.89700000000000002</v>
      </c>
      <c r="AV12" s="82">
        <f>SUM(AV9:AV11)</f>
        <v>40365</v>
      </c>
      <c r="AW12" s="725">
        <f>SUM(AW9:AW11)</f>
        <v>0.99999999999999989</v>
      </c>
      <c r="AY12" s="144"/>
      <c r="AZ12" s="306">
        <f>SUM(AZ9:AZ11)</f>
        <v>22.5</v>
      </c>
      <c r="BA12" s="307">
        <f>'Variante données'!E55</f>
        <v>45000</v>
      </c>
      <c r="BB12" s="289">
        <f>BC12/BA12</f>
        <v>0.89700000000000002</v>
      </c>
      <c r="BC12" s="82">
        <f>SUM(BC9:BC11)</f>
        <v>40365</v>
      </c>
      <c r="BD12" s="725">
        <f>SUM(BD9:BD11)</f>
        <v>0.99999999999999989</v>
      </c>
      <c r="BF12" s="144"/>
      <c r="BG12" s="306">
        <f>SUM(BG9:BG11)</f>
        <v>22.5</v>
      </c>
      <c r="BH12" s="307">
        <f>'Variante données'!E56</f>
        <v>45000</v>
      </c>
      <c r="BI12" s="289">
        <f>BJ12/BH12</f>
        <v>0.89700000000000002</v>
      </c>
      <c r="BJ12" s="82">
        <f>SUM(BJ9:BJ11)</f>
        <v>40365</v>
      </c>
      <c r="BK12" s="725">
        <f>SUM(BK9:BK11)</f>
        <v>0.99999999999999989</v>
      </c>
      <c r="BM12" s="144"/>
      <c r="BN12" s="306">
        <f>SUM(BN9:BN11)</f>
        <v>22.5</v>
      </c>
      <c r="BO12" s="307">
        <f>'Variante données'!E57</f>
        <v>45000</v>
      </c>
      <c r="BP12" s="289">
        <f>BQ12/BO12</f>
        <v>0.86350000000000005</v>
      </c>
      <c r="BQ12" s="82">
        <f>SUM(BQ9:BQ11)</f>
        <v>38857.5</v>
      </c>
      <c r="BR12" s="725">
        <f>SUM(BR9:BR11)</f>
        <v>1</v>
      </c>
      <c r="BT12" s="144"/>
      <c r="BU12" s="306">
        <f>SUM(BU9:BU11)</f>
        <v>22.5</v>
      </c>
      <c r="BV12" s="307">
        <f>'Variante données'!E58</f>
        <v>45000</v>
      </c>
      <c r="BW12" s="289">
        <f>BX12/BV12</f>
        <v>0.86350000000000005</v>
      </c>
      <c r="BX12" s="82">
        <f>SUM(BX9:BX11)</f>
        <v>38857.5</v>
      </c>
      <c r="BY12" s="725">
        <f>SUM(BY9:BY11)</f>
        <v>1</v>
      </c>
      <c r="CA12" s="144"/>
      <c r="CB12" s="306">
        <f>SUM(CB9:CB11)</f>
        <v>22.5</v>
      </c>
      <c r="CC12" s="307">
        <f>'Variante données'!E59</f>
        <v>45000</v>
      </c>
      <c r="CD12" s="289">
        <f>CE12/CC12</f>
        <v>0.86350000000000005</v>
      </c>
      <c r="CE12" s="82">
        <f>SUM(CE9:CE11)</f>
        <v>38857.5</v>
      </c>
      <c r="CF12" s="725">
        <f>SUM(CF9:CF11)</f>
        <v>1</v>
      </c>
      <c r="CH12" s="144"/>
      <c r="CI12" s="306">
        <f>SUM(CI9:CI11)</f>
        <v>22.5</v>
      </c>
      <c r="CJ12" s="307">
        <f>'Variante données'!E60</f>
        <v>45000</v>
      </c>
      <c r="CK12" s="289">
        <f>CL12/CJ12</f>
        <v>0.83</v>
      </c>
      <c r="CL12" s="82">
        <f>SUM(CL9:CL11)</f>
        <v>37350</v>
      </c>
      <c r="CM12" s="725">
        <f>SUM(CM9:CM11)</f>
        <v>0.99999999999999989</v>
      </c>
      <c r="CO12" s="144"/>
      <c r="CP12" s="306">
        <f>SUM(CP9:CP11)</f>
        <v>22.5</v>
      </c>
      <c r="CQ12" s="307">
        <f>'Variante données'!E61</f>
        <v>45000</v>
      </c>
      <c r="CR12" s="289">
        <f>CS12/CQ12</f>
        <v>0.83</v>
      </c>
      <c r="CS12" s="82">
        <f>SUM(CS9:CS11)</f>
        <v>37350</v>
      </c>
      <c r="CT12" s="725">
        <f>SUM(CT9:CT11)</f>
        <v>0.99999999999999989</v>
      </c>
      <c r="CV12" s="144"/>
      <c r="CW12" s="306">
        <f>SUM(CW9:CW11)</f>
        <v>22.5</v>
      </c>
      <c r="CX12" s="307">
        <f>'Variante données'!E62</f>
        <v>45000</v>
      </c>
      <c r="CY12" s="289">
        <f>CZ12/CX12</f>
        <v>0.83</v>
      </c>
      <c r="CZ12" s="82">
        <f>SUM(CZ9:CZ11)</f>
        <v>37350</v>
      </c>
      <c r="DA12" s="725">
        <f>SUM(DA9:DA11)</f>
        <v>0.99999999999999989</v>
      </c>
    </row>
    <row r="13" spans="1:105" s="84" customFormat="1" ht="13" x14ac:dyDescent="0.3">
      <c r="B13" s="144"/>
      <c r="C13" s="306"/>
      <c r="D13" s="307"/>
      <c r="E13" s="289"/>
      <c r="F13" s="82"/>
      <c r="G13" s="214"/>
      <c r="I13" s="144"/>
      <c r="J13" s="306"/>
      <c r="K13" s="307"/>
      <c r="L13" s="289"/>
      <c r="M13" s="82"/>
      <c r="N13" s="214"/>
      <c r="P13" s="144"/>
      <c r="Q13" s="306"/>
      <c r="R13" s="307"/>
      <c r="S13" s="289"/>
      <c r="T13" s="82"/>
      <c r="U13" s="214"/>
      <c r="W13" s="144"/>
      <c r="X13" s="306"/>
      <c r="Y13" s="307"/>
      <c r="Z13" s="289"/>
      <c r="AA13" s="82"/>
      <c r="AB13" s="214"/>
      <c r="AD13" s="144"/>
      <c r="AE13" s="306"/>
      <c r="AF13" s="307"/>
      <c r="AG13" s="289"/>
      <c r="AH13" s="82"/>
      <c r="AI13" s="214"/>
      <c r="AK13" s="144"/>
      <c r="AL13" s="306"/>
      <c r="AM13" s="307"/>
      <c r="AN13" s="289"/>
      <c r="AO13" s="82"/>
      <c r="AP13" s="214"/>
      <c r="AR13" s="144"/>
      <c r="AS13" s="306"/>
      <c r="AT13" s="307"/>
      <c r="AU13" s="289"/>
      <c r="AV13" s="82"/>
      <c r="AW13" s="214"/>
      <c r="AY13" s="144"/>
      <c r="AZ13" s="306"/>
      <c r="BA13" s="307"/>
      <c r="BB13" s="289"/>
      <c r="BC13" s="82"/>
      <c r="BD13" s="214"/>
      <c r="BF13" s="144"/>
      <c r="BG13" s="306"/>
      <c r="BH13" s="307"/>
      <c r="BI13" s="289"/>
      <c r="BJ13" s="82"/>
      <c r="BK13" s="214"/>
      <c r="BM13" s="144"/>
      <c r="BN13" s="306"/>
      <c r="BO13" s="307"/>
      <c r="BP13" s="289"/>
      <c r="BQ13" s="82"/>
      <c r="BR13" s="214"/>
      <c r="BT13" s="144"/>
      <c r="BU13" s="306"/>
      <c r="BV13" s="307"/>
      <c r="BW13" s="289"/>
      <c r="BX13" s="82"/>
      <c r="BY13" s="214"/>
      <c r="CA13" s="144"/>
      <c r="CB13" s="306"/>
      <c r="CC13" s="307"/>
      <c r="CD13" s="289"/>
      <c r="CE13" s="82"/>
      <c r="CF13" s="214"/>
      <c r="CH13" s="144"/>
      <c r="CI13" s="306"/>
      <c r="CJ13" s="307"/>
      <c r="CK13" s="289"/>
      <c r="CL13" s="82"/>
      <c r="CM13" s="214"/>
      <c r="CO13" s="144"/>
      <c r="CP13" s="306"/>
      <c r="CQ13" s="307"/>
      <c r="CR13" s="289"/>
      <c r="CS13" s="82"/>
      <c r="CT13" s="214"/>
      <c r="CV13" s="144"/>
      <c r="CW13" s="306"/>
      <c r="CX13" s="307"/>
      <c r="CY13" s="289"/>
      <c r="CZ13" s="82"/>
      <c r="DA13" s="214"/>
    </row>
    <row r="14" spans="1:105" s="84" customFormat="1" ht="13" x14ac:dyDescent="0.3">
      <c r="B14" s="84" t="str">
        <f>'Variante données'!$A$39</f>
        <v>Paiements directs PER</v>
      </c>
      <c r="C14" s="306"/>
      <c r="D14" s="307"/>
      <c r="E14" s="289"/>
      <c r="F14" s="148">
        <f>'Variante données'!$C$39</f>
        <v>1100</v>
      </c>
      <c r="G14" s="214"/>
      <c r="I14" s="84" t="str">
        <f>'Variante données'!$A$39</f>
        <v>Paiements directs PER</v>
      </c>
      <c r="J14" s="306"/>
      <c r="K14" s="307"/>
      <c r="L14" s="289"/>
      <c r="M14" s="148">
        <f>'Variante données'!$C$39</f>
        <v>1100</v>
      </c>
      <c r="N14" s="214"/>
      <c r="P14" s="84" t="str">
        <f>'Variante données'!$A$39</f>
        <v>Paiements directs PER</v>
      </c>
      <c r="Q14" s="306"/>
      <c r="R14" s="307"/>
      <c r="S14" s="289"/>
      <c r="T14" s="148">
        <f>'Variante données'!$C$39</f>
        <v>1100</v>
      </c>
      <c r="U14" s="214"/>
      <c r="W14" s="84" t="str">
        <f>'Variante données'!$A$39</f>
        <v>Paiements directs PER</v>
      </c>
      <c r="X14" s="306"/>
      <c r="Y14" s="307"/>
      <c r="Z14" s="289"/>
      <c r="AA14" s="148">
        <f>'Variante données'!$C$39</f>
        <v>1100</v>
      </c>
      <c r="AB14" s="214"/>
      <c r="AD14" s="84" t="str">
        <f>'Variante données'!$A$39</f>
        <v>Paiements directs PER</v>
      </c>
      <c r="AE14" s="306"/>
      <c r="AF14" s="307"/>
      <c r="AG14" s="289"/>
      <c r="AH14" s="148">
        <f>'Variante données'!$C$39</f>
        <v>1100</v>
      </c>
      <c r="AI14" s="214"/>
      <c r="AK14" s="84" t="str">
        <f>'Variante données'!$A$39</f>
        <v>Paiements directs PER</v>
      </c>
      <c r="AL14" s="306"/>
      <c r="AM14" s="307"/>
      <c r="AN14" s="289"/>
      <c r="AO14" s="148">
        <f>'Variante données'!$C$39</f>
        <v>1100</v>
      </c>
      <c r="AP14" s="214"/>
      <c r="AR14" s="84" t="str">
        <f>'Variante données'!$A$39</f>
        <v>Paiements directs PER</v>
      </c>
      <c r="AS14" s="306"/>
      <c r="AT14" s="307"/>
      <c r="AU14" s="289"/>
      <c r="AV14" s="148">
        <f>'Variante données'!$C$39</f>
        <v>1100</v>
      </c>
      <c r="AW14" s="214"/>
      <c r="AY14" s="84" t="str">
        <f>'Variante données'!$A$39</f>
        <v>Paiements directs PER</v>
      </c>
      <c r="AZ14" s="306"/>
      <c r="BA14" s="307"/>
      <c r="BB14" s="289"/>
      <c r="BC14" s="148">
        <f>'Variante données'!$C$39</f>
        <v>1100</v>
      </c>
      <c r="BD14" s="214"/>
      <c r="BF14" s="84" t="str">
        <f>'Variante données'!$A$39</f>
        <v>Paiements directs PER</v>
      </c>
      <c r="BG14" s="306"/>
      <c r="BH14" s="307"/>
      <c r="BI14" s="289"/>
      <c r="BJ14" s="148">
        <f>'Variante données'!$C$39</f>
        <v>1100</v>
      </c>
      <c r="BK14" s="214"/>
      <c r="BM14" s="84" t="str">
        <f>'Variante données'!$A$39</f>
        <v>Paiements directs PER</v>
      </c>
      <c r="BN14" s="306"/>
      <c r="BO14" s="307"/>
      <c r="BP14" s="289"/>
      <c r="BQ14" s="148">
        <f>'Variante données'!$C$39</f>
        <v>1100</v>
      </c>
      <c r="BR14" s="214"/>
      <c r="BT14" s="84" t="str">
        <f>'Variante données'!$A$39</f>
        <v>Paiements directs PER</v>
      </c>
      <c r="BU14" s="306"/>
      <c r="BV14" s="307"/>
      <c r="BW14" s="289"/>
      <c r="BX14" s="148">
        <f>'Variante données'!$C$39</f>
        <v>1100</v>
      </c>
      <c r="BY14" s="214"/>
      <c r="CA14" s="84" t="str">
        <f>'Variante données'!$A$39</f>
        <v>Paiements directs PER</v>
      </c>
      <c r="CB14" s="306"/>
      <c r="CC14" s="307"/>
      <c r="CD14" s="289"/>
      <c r="CE14" s="148">
        <f>'Variante données'!$C$39</f>
        <v>1100</v>
      </c>
      <c r="CF14" s="214"/>
      <c r="CH14" s="84" t="str">
        <f>'Variante données'!$A$39</f>
        <v>Paiements directs PER</v>
      </c>
      <c r="CI14" s="306"/>
      <c r="CJ14" s="307"/>
      <c r="CK14" s="289"/>
      <c r="CL14" s="148">
        <f>'Variante données'!$C$39</f>
        <v>1100</v>
      </c>
      <c r="CM14" s="214"/>
      <c r="CO14" s="84" t="str">
        <f>'Variante données'!$A$39</f>
        <v>Paiements directs PER</v>
      </c>
      <c r="CP14" s="306"/>
      <c r="CQ14" s="307"/>
      <c r="CR14" s="289"/>
      <c r="CS14" s="148">
        <f>'Variante données'!$C$39</f>
        <v>1100</v>
      </c>
      <c r="CT14" s="214"/>
      <c r="CV14" s="84" t="str">
        <f>'Variante données'!$A$39</f>
        <v>Paiements directs PER</v>
      </c>
      <c r="CW14" s="306"/>
      <c r="CX14" s="307"/>
      <c r="CY14" s="289"/>
      <c r="CZ14" s="148">
        <f>'Variante données'!$C$39</f>
        <v>1100</v>
      </c>
      <c r="DA14" s="214"/>
    </row>
    <row r="15" spans="1:105" s="771" customFormat="1" ht="23.25" customHeight="1" x14ac:dyDescent="0.4">
      <c r="A15" s="737" t="s">
        <v>367</v>
      </c>
      <c r="B15" s="738"/>
      <c r="C15" s="738"/>
      <c r="D15" s="738"/>
      <c r="E15" s="738"/>
      <c r="F15" s="590">
        <f>SUM(F12:F14)</f>
        <v>1100</v>
      </c>
      <c r="G15" s="685"/>
      <c r="H15" s="737" t="s">
        <v>367</v>
      </c>
      <c r="I15" s="738"/>
      <c r="J15" s="738"/>
      <c r="K15" s="738"/>
      <c r="L15" s="738"/>
      <c r="M15" s="590">
        <f>SUM(M12:M14)</f>
        <v>5585</v>
      </c>
      <c r="N15" s="685"/>
      <c r="O15" s="737" t="s">
        <v>367</v>
      </c>
      <c r="P15" s="738"/>
      <c r="Q15" s="738"/>
      <c r="R15" s="738"/>
      <c r="S15" s="738"/>
      <c r="T15" s="590">
        <f>SUM(T12:T14)</f>
        <v>17246</v>
      </c>
      <c r="U15" s="685"/>
      <c r="V15" s="737" t="s">
        <v>367</v>
      </c>
      <c r="W15" s="738"/>
      <c r="X15" s="738"/>
      <c r="Y15" s="738"/>
      <c r="Z15" s="738"/>
      <c r="AA15" s="590">
        <f>SUM(AA12:AA14)</f>
        <v>23525.000000000004</v>
      </c>
      <c r="AB15" s="685"/>
      <c r="AC15" s="737" t="s">
        <v>367</v>
      </c>
      <c r="AD15" s="738"/>
      <c r="AE15" s="738"/>
      <c r="AF15" s="738"/>
      <c r="AG15" s="738"/>
      <c r="AH15" s="590">
        <f>SUM(AH12:AH14)</f>
        <v>32495.000000000004</v>
      </c>
      <c r="AI15" s="685"/>
      <c r="AJ15" s="737" t="s">
        <v>367</v>
      </c>
      <c r="AK15" s="738"/>
      <c r="AL15" s="738"/>
      <c r="AM15" s="738"/>
      <c r="AN15" s="738"/>
      <c r="AO15" s="590">
        <f>SUM(AO12:AO14)</f>
        <v>41465</v>
      </c>
      <c r="AP15" s="685"/>
      <c r="AQ15" s="737" t="s">
        <v>367</v>
      </c>
      <c r="AR15" s="738"/>
      <c r="AS15" s="738"/>
      <c r="AT15" s="738"/>
      <c r="AU15" s="738"/>
      <c r="AV15" s="590">
        <f>SUM(AV12:AV14)</f>
        <v>41465</v>
      </c>
      <c r="AW15" s="685"/>
      <c r="AX15" s="737" t="s">
        <v>367</v>
      </c>
      <c r="AY15" s="738"/>
      <c r="AZ15" s="738"/>
      <c r="BA15" s="738"/>
      <c r="BB15" s="738"/>
      <c r="BC15" s="590">
        <f>SUM(BC12:BC14)</f>
        <v>41465</v>
      </c>
      <c r="BD15" s="685"/>
      <c r="BE15" s="737" t="s">
        <v>367</v>
      </c>
      <c r="BF15" s="738"/>
      <c r="BG15" s="738"/>
      <c r="BH15" s="738"/>
      <c r="BI15" s="738"/>
      <c r="BJ15" s="590">
        <f>SUM(BJ12:BJ14)</f>
        <v>41465</v>
      </c>
      <c r="BK15" s="685"/>
      <c r="BL15" s="737" t="s">
        <v>367</v>
      </c>
      <c r="BM15" s="738"/>
      <c r="BN15" s="738"/>
      <c r="BO15" s="738"/>
      <c r="BP15" s="738"/>
      <c r="BQ15" s="590">
        <f>SUM(BQ12:BQ14)</f>
        <v>39957.5</v>
      </c>
      <c r="BR15" s="685"/>
      <c r="BS15" s="737" t="s">
        <v>367</v>
      </c>
      <c r="BT15" s="738"/>
      <c r="BU15" s="738"/>
      <c r="BV15" s="738"/>
      <c r="BW15" s="738"/>
      <c r="BX15" s="590">
        <f>SUM(BX12:BX14)</f>
        <v>39957.5</v>
      </c>
      <c r="BY15" s="685"/>
      <c r="BZ15" s="737" t="s">
        <v>367</v>
      </c>
      <c r="CA15" s="738"/>
      <c r="CB15" s="738"/>
      <c r="CC15" s="738"/>
      <c r="CD15" s="738"/>
      <c r="CE15" s="590">
        <f>SUM(CE12:CE14)</f>
        <v>39957.5</v>
      </c>
      <c r="CF15" s="685"/>
      <c r="CG15" s="737" t="s">
        <v>367</v>
      </c>
      <c r="CH15" s="738"/>
      <c r="CI15" s="738"/>
      <c r="CJ15" s="738"/>
      <c r="CK15" s="738"/>
      <c r="CL15" s="590">
        <f>SUM(CL12:CL14)</f>
        <v>38450</v>
      </c>
      <c r="CM15" s="685"/>
      <c r="CN15" s="737" t="s">
        <v>367</v>
      </c>
      <c r="CO15" s="738"/>
      <c r="CP15" s="738"/>
      <c r="CQ15" s="738"/>
      <c r="CR15" s="738"/>
      <c r="CS15" s="590">
        <f>SUM(CS12:CS14)</f>
        <v>38450</v>
      </c>
      <c r="CT15" s="685"/>
      <c r="CU15" s="737" t="s">
        <v>367</v>
      </c>
      <c r="CV15" s="738"/>
      <c r="CW15" s="738"/>
      <c r="CX15" s="738"/>
      <c r="CY15" s="738"/>
      <c r="CZ15" s="590">
        <f>SUM(CZ12:CZ14)</f>
        <v>38450</v>
      </c>
      <c r="DA15" s="685"/>
    </row>
    <row r="16" spans="1:105" s="15" customFormat="1" ht="12.5" x14ac:dyDescent="0.25">
      <c r="A16" s="39"/>
      <c r="B16" s="4"/>
      <c r="C16" s="26" t="s">
        <v>244</v>
      </c>
      <c r="D16" s="26" t="s">
        <v>55</v>
      </c>
      <c r="E16" s="27" t="s">
        <v>240</v>
      </c>
      <c r="F16" s="31" t="s">
        <v>343</v>
      </c>
      <c r="G16" s="732" t="s">
        <v>56</v>
      </c>
      <c r="H16" s="39"/>
      <c r="I16" s="4"/>
      <c r="J16" s="26" t="s">
        <v>244</v>
      </c>
      <c r="K16" s="26" t="s">
        <v>55</v>
      </c>
      <c r="L16" s="27" t="s">
        <v>240</v>
      </c>
      <c r="M16" s="31" t="s">
        <v>343</v>
      </c>
      <c r="N16" s="732" t="s">
        <v>56</v>
      </c>
      <c r="O16" s="39"/>
      <c r="P16" s="4"/>
      <c r="Q16" s="26" t="s">
        <v>244</v>
      </c>
      <c r="R16" s="26" t="s">
        <v>55</v>
      </c>
      <c r="S16" s="27" t="s">
        <v>240</v>
      </c>
      <c r="T16" s="31" t="s">
        <v>343</v>
      </c>
      <c r="U16" s="732" t="s">
        <v>56</v>
      </c>
      <c r="V16" s="39"/>
      <c r="W16" s="4"/>
      <c r="X16" s="26" t="s">
        <v>244</v>
      </c>
      <c r="Y16" s="26" t="s">
        <v>55</v>
      </c>
      <c r="Z16" s="27" t="s">
        <v>240</v>
      </c>
      <c r="AA16" s="31" t="s">
        <v>343</v>
      </c>
      <c r="AB16" s="732" t="s">
        <v>56</v>
      </c>
      <c r="AC16" s="39"/>
      <c r="AD16" s="4"/>
      <c r="AE16" s="26" t="s">
        <v>244</v>
      </c>
      <c r="AF16" s="26" t="s">
        <v>55</v>
      </c>
      <c r="AG16" s="27" t="s">
        <v>240</v>
      </c>
      <c r="AH16" s="31" t="s">
        <v>343</v>
      </c>
      <c r="AI16" s="732" t="s">
        <v>56</v>
      </c>
      <c r="AJ16" s="39"/>
      <c r="AK16" s="4"/>
      <c r="AL16" s="26" t="s">
        <v>244</v>
      </c>
      <c r="AM16" s="26" t="s">
        <v>55</v>
      </c>
      <c r="AN16" s="27" t="s">
        <v>240</v>
      </c>
      <c r="AO16" s="31" t="s">
        <v>343</v>
      </c>
      <c r="AP16" s="732" t="s">
        <v>56</v>
      </c>
      <c r="AQ16" s="39"/>
      <c r="AR16" s="4"/>
      <c r="AS16" s="26" t="s">
        <v>244</v>
      </c>
      <c r="AT16" s="26" t="s">
        <v>55</v>
      </c>
      <c r="AU16" s="27" t="s">
        <v>240</v>
      </c>
      <c r="AV16" s="31" t="s">
        <v>343</v>
      </c>
      <c r="AW16" s="732" t="s">
        <v>56</v>
      </c>
      <c r="AX16" s="39"/>
      <c r="AY16" s="4"/>
      <c r="AZ16" s="26" t="s">
        <v>244</v>
      </c>
      <c r="BA16" s="26" t="s">
        <v>55</v>
      </c>
      <c r="BB16" s="27" t="s">
        <v>240</v>
      </c>
      <c r="BC16" s="31" t="s">
        <v>343</v>
      </c>
      <c r="BD16" s="732" t="s">
        <v>56</v>
      </c>
      <c r="BE16" s="39"/>
      <c r="BF16" s="4"/>
      <c r="BG16" s="26" t="s">
        <v>244</v>
      </c>
      <c r="BH16" s="26" t="s">
        <v>55</v>
      </c>
      <c r="BI16" s="27" t="s">
        <v>240</v>
      </c>
      <c r="BJ16" s="31" t="s">
        <v>343</v>
      </c>
      <c r="BK16" s="732" t="s">
        <v>56</v>
      </c>
      <c r="BL16" s="39"/>
      <c r="BM16" s="4"/>
      <c r="BN16" s="26" t="s">
        <v>244</v>
      </c>
      <c r="BO16" s="26" t="s">
        <v>55</v>
      </c>
      <c r="BP16" s="27" t="s">
        <v>240</v>
      </c>
      <c r="BQ16" s="31" t="s">
        <v>343</v>
      </c>
      <c r="BR16" s="732" t="s">
        <v>56</v>
      </c>
      <c r="BS16" s="39"/>
      <c r="BT16" s="4"/>
      <c r="BU16" s="26" t="s">
        <v>244</v>
      </c>
      <c r="BV16" s="26" t="s">
        <v>55</v>
      </c>
      <c r="BW16" s="27" t="s">
        <v>240</v>
      </c>
      <c r="BX16" s="31" t="s">
        <v>343</v>
      </c>
      <c r="BY16" s="732" t="s">
        <v>56</v>
      </c>
      <c r="BZ16" s="39"/>
      <c r="CA16" s="4"/>
      <c r="CB16" s="26" t="s">
        <v>244</v>
      </c>
      <c r="CC16" s="26" t="s">
        <v>55</v>
      </c>
      <c r="CD16" s="27" t="s">
        <v>240</v>
      </c>
      <c r="CE16" s="31" t="s">
        <v>343</v>
      </c>
      <c r="CF16" s="732" t="s">
        <v>56</v>
      </c>
      <c r="CG16" s="39"/>
      <c r="CH16" s="4"/>
      <c r="CI16" s="26" t="s">
        <v>244</v>
      </c>
      <c r="CJ16" s="26" t="s">
        <v>55</v>
      </c>
      <c r="CK16" s="27" t="s">
        <v>240</v>
      </c>
      <c r="CL16" s="31" t="s">
        <v>343</v>
      </c>
      <c r="CM16" s="732" t="s">
        <v>56</v>
      </c>
      <c r="CN16" s="39"/>
      <c r="CO16" s="4"/>
      <c r="CP16" s="26" t="s">
        <v>244</v>
      </c>
      <c r="CQ16" s="26" t="s">
        <v>55</v>
      </c>
      <c r="CR16" s="27" t="s">
        <v>240</v>
      </c>
      <c r="CS16" s="31" t="s">
        <v>343</v>
      </c>
      <c r="CT16" s="732" t="s">
        <v>56</v>
      </c>
      <c r="CU16" s="39"/>
      <c r="CV16" s="4"/>
      <c r="CW16" s="26" t="s">
        <v>244</v>
      </c>
      <c r="CX16" s="26" t="s">
        <v>55</v>
      </c>
      <c r="CY16" s="27" t="s">
        <v>240</v>
      </c>
      <c r="CZ16" s="31" t="s">
        <v>343</v>
      </c>
      <c r="DA16" s="732" t="s">
        <v>56</v>
      </c>
    </row>
    <row r="17" spans="1:105" s="4" customFormat="1" ht="13" x14ac:dyDescent="0.3">
      <c r="A17" s="38" t="s">
        <v>353</v>
      </c>
      <c r="B17" s="39"/>
      <c r="C17" s="40"/>
      <c r="D17" s="40"/>
      <c r="E17" s="622"/>
      <c r="F17" s="465"/>
      <c r="G17" s="732"/>
      <c r="H17" s="38" t="s">
        <v>353</v>
      </c>
      <c r="I17" s="39"/>
      <c r="J17" s="40"/>
      <c r="K17" s="40"/>
      <c r="L17" s="622"/>
      <c r="M17" s="465"/>
      <c r="N17" s="732"/>
      <c r="O17" s="38" t="s">
        <v>353</v>
      </c>
      <c r="P17" s="39"/>
      <c r="Q17" s="40"/>
      <c r="R17" s="40"/>
      <c r="S17" s="622"/>
      <c r="T17" s="465"/>
      <c r="U17" s="732"/>
      <c r="V17" s="38" t="s">
        <v>353</v>
      </c>
      <c r="W17" s="39"/>
      <c r="X17" s="40"/>
      <c r="Y17" s="40"/>
      <c r="Z17" s="622"/>
      <c r="AA17" s="465"/>
      <c r="AB17" s="732"/>
      <c r="AC17" s="38" t="s">
        <v>353</v>
      </c>
      <c r="AD17" s="39"/>
      <c r="AE17" s="40"/>
      <c r="AF17" s="40"/>
      <c r="AG17" s="622"/>
      <c r="AH17" s="465"/>
      <c r="AI17" s="732"/>
      <c r="AJ17" s="38" t="s">
        <v>353</v>
      </c>
      <c r="AK17" s="39"/>
      <c r="AL17" s="40"/>
      <c r="AM17" s="40"/>
      <c r="AN17" s="622"/>
      <c r="AO17" s="465"/>
      <c r="AP17" s="732"/>
      <c r="AQ17" s="38" t="s">
        <v>353</v>
      </c>
      <c r="AR17" s="39"/>
      <c r="AS17" s="40"/>
      <c r="AT17" s="40"/>
      <c r="AU17" s="622"/>
      <c r="AV17" s="465"/>
      <c r="AW17" s="732"/>
      <c r="AX17" s="38" t="s">
        <v>353</v>
      </c>
      <c r="AY17" s="39"/>
      <c r="AZ17" s="40"/>
      <c r="BA17" s="40"/>
      <c r="BB17" s="622"/>
      <c r="BC17" s="465"/>
      <c r="BD17" s="732"/>
      <c r="BE17" s="38" t="s">
        <v>353</v>
      </c>
      <c r="BF17" s="39"/>
      <c r="BG17" s="40"/>
      <c r="BH17" s="40"/>
      <c r="BI17" s="622"/>
      <c r="BJ17" s="465"/>
      <c r="BK17" s="732"/>
      <c r="BL17" s="38" t="s">
        <v>353</v>
      </c>
      <c r="BM17" s="39"/>
      <c r="BN17" s="40"/>
      <c r="BO17" s="40"/>
      <c r="BP17" s="622"/>
      <c r="BQ17" s="465"/>
      <c r="BR17" s="732"/>
      <c r="BS17" s="38" t="s">
        <v>353</v>
      </c>
      <c r="BT17" s="39"/>
      <c r="BU17" s="40"/>
      <c r="BV17" s="40"/>
      <c r="BW17" s="622"/>
      <c r="BX17" s="465"/>
      <c r="BY17" s="732"/>
      <c r="BZ17" s="38" t="s">
        <v>353</v>
      </c>
      <c r="CA17" s="39"/>
      <c r="CB17" s="40"/>
      <c r="CC17" s="40"/>
      <c r="CD17" s="622"/>
      <c r="CE17" s="465"/>
      <c r="CF17" s="732"/>
      <c r="CG17" s="38" t="s">
        <v>353</v>
      </c>
      <c r="CH17" s="39"/>
      <c r="CI17" s="40"/>
      <c r="CJ17" s="40"/>
      <c r="CK17" s="622"/>
      <c r="CL17" s="465"/>
      <c r="CM17" s="732"/>
      <c r="CN17" s="38" t="s">
        <v>353</v>
      </c>
      <c r="CO17" s="39"/>
      <c r="CP17" s="40"/>
      <c r="CQ17" s="40"/>
      <c r="CR17" s="622"/>
      <c r="CS17" s="465"/>
      <c r="CT17" s="732"/>
      <c r="CU17" s="38" t="s">
        <v>353</v>
      </c>
      <c r="CV17" s="39"/>
      <c r="CW17" s="40"/>
      <c r="CX17" s="40"/>
      <c r="CY17" s="622"/>
      <c r="CZ17" s="465"/>
      <c r="DA17" s="732"/>
    </row>
    <row r="18" spans="1:105" s="1" customFormat="1" ht="13" x14ac:dyDescent="0.3">
      <c r="A18" s="38"/>
      <c r="B18" s="28" t="str">
        <f>'Variante données'!$B$100</f>
        <v>Nitrate d'ammoniaque</v>
      </c>
      <c r="C18" s="748">
        <f>'Variante données'!B106</f>
        <v>0</v>
      </c>
      <c r="D18" s="104">
        <f>'Variante données'!B105</f>
        <v>50</v>
      </c>
      <c r="E18" s="105">
        <f>'Variante données'!$B$101*(1+'Page variable'!$C$35)</f>
        <v>0.42</v>
      </c>
      <c r="F18" s="29">
        <f>D18*E18*C18</f>
        <v>0</v>
      </c>
      <c r="G18" s="733">
        <f>F18/$F$76</f>
        <v>0</v>
      </c>
      <c r="H18" s="38"/>
      <c r="I18" s="28" t="str">
        <f>'Variante données'!$B$100</f>
        <v>Nitrate d'ammoniaque</v>
      </c>
      <c r="J18" s="748">
        <f>'Variante données'!B108</f>
        <v>1</v>
      </c>
      <c r="K18" s="104">
        <f>'Variante données'!B107</f>
        <v>100</v>
      </c>
      <c r="L18" s="105">
        <f>'Variante données'!$B$101*(1+'Page variable'!$C$35)</f>
        <v>0.42</v>
      </c>
      <c r="M18" s="29">
        <f>K18*L18</f>
        <v>42</v>
      </c>
      <c r="N18" s="733">
        <f>M18/$M$76</f>
        <v>3.0203176194538071E-3</v>
      </c>
      <c r="O18" s="38"/>
      <c r="P18" s="28" t="str">
        <f>'Variante données'!B100</f>
        <v>Nitrate d'ammoniaque</v>
      </c>
      <c r="Q18" s="748">
        <f>'Variante données'!B110</f>
        <v>1</v>
      </c>
      <c r="R18" s="104">
        <f>'Variante données'!B109</f>
        <v>150</v>
      </c>
      <c r="S18" s="105">
        <f>'Variante données'!$B$101*(1+'Page variable'!$C$35)</f>
        <v>0.42</v>
      </c>
      <c r="T18" s="29">
        <f>R18*S18</f>
        <v>63</v>
      </c>
      <c r="U18" s="733">
        <f>T18/$T$76</f>
        <v>2.4012634234918295E-3</v>
      </c>
      <c r="V18" s="38"/>
      <c r="W18" s="28" t="str">
        <f>'Variante données'!B100</f>
        <v>Nitrate d'ammoniaque</v>
      </c>
      <c r="X18" s="748">
        <f>'Variante données'!B112</f>
        <v>1</v>
      </c>
      <c r="Y18" s="104">
        <f>'Variante données'!B111</f>
        <v>200</v>
      </c>
      <c r="Z18" s="105">
        <f>'Variante données'!$B$101*(1+'Page variable'!$C$35)</f>
        <v>0.42</v>
      </c>
      <c r="AA18" s="29">
        <f>Y18*Z18</f>
        <v>84</v>
      </c>
      <c r="AB18" s="733">
        <f>AA18/$AA$76</f>
        <v>2.9449102269518386E-3</v>
      </c>
      <c r="AC18" s="38"/>
      <c r="AD18" s="28" t="str">
        <f>'Variante données'!B100</f>
        <v>Nitrate d'ammoniaque</v>
      </c>
      <c r="AE18" s="748">
        <f>'Variante données'!B112</f>
        <v>1</v>
      </c>
      <c r="AF18" s="104">
        <f>'Variante données'!B111</f>
        <v>200</v>
      </c>
      <c r="AG18" s="105">
        <f>'Variante données'!$B$101*(1+'Page variable'!$C$35)</f>
        <v>0.42</v>
      </c>
      <c r="AH18" s="29">
        <f>AF18*AG18</f>
        <v>84</v>
      </c>
      <c r="AI18" s="733">
        <f>AH18/$AH$76</f>
        <v>2.6952709628544676E-3</v>
      </c>
      <c r="AJ18" s="38"/>
      <c r="AK18" s="28" t="str">
        <f>'Variante données'!B100</f>
        <v>Nitrate d'ammoniaque</v>
      </c>
      <c r="AL18" s="748">
        <f>'Variante données'!B112</f>
        <v>1</v>
      </c>
      <c r="AM18" s="104">
        <f>'Variante données'!B111</f>
        <v>200</v>
      </c>
      <c r="AN18" s="105">
        <f>'Variante données'!$B$101*(1+'Page variable'!$C$35)</f>
        <v>0.42</v>
      </c>
      <c r="AO18" s="29">
        <f>AM18*AN18</f>
        <v>84</v>
      </c>
      <c r="AP18" s="733">
        <f>AO18/$AO$76</f>
        <v>2.4916437769481178E-3</v>
      </c>
      <c r="AQ18" s="38"/>
      <c r="AR18" s="28" t="str">
        <f>'Variante données'!B100</f>
        <v>Nitrate d'ammoniaque</v>
      </c>
      <c r="AS18" s="748">
        <f>'Variante données'!B112</f>
        <v>1</v>
      </c>
      <c r="AT18" s="104">
        <f>'Variante données'!B111</f>
        <v>200</v>
      </c>
      <c r="AU18" s="105">
        <f>'Variante données'!$B$101*(1+'Page variable'!$C$35)</f>
        <v>0.42</v>
      </c>
      <c r="AV18" s="29">
        <f>AT18*AU18</f>
        <v>84</v>
      </c>
      <c r="AW18" s="733">
        <f>AV18/$AV$76</f>
        <v>2.5002679194772201E-3</v>
      </c>
      <c r="AX18" s="38"/>
      <c r="AY18" s="28" t="str">
        <f>'Variante données'!B100</f>
        <v>Nitrate d'ammoniaque</v>
      </c>
      <c r="AZ18" s="748">
        <f>'Variante données'!B112</f>
        <v>1</v>
      </c>
      <c r="BA18" s="104">
        <f>'Variante données'!B111</f>
        <v>200</v>
      </c>
      <c r="BB18" s="105">
        <f>'Variante données'!$B$101*(1+'Page variable'!$C$35)</f>
        <v>0.42</v>
      </c>
      <c r="BC18" s="29">
        <f>BA18*BB18</f>
        <v>84</v>
      </c>
      <c r="BD18" s="733">
        <f>BC18/$BC$76</f>
        <v>2.5090826895644556E-3</v>
      </c>
      <c r="BE18" s="38"/>
      <c r="BF18" s="28" t="str">
        <f>'Variante données'!B100</f>
        <v>Nitrate d'ammoniaque</v>
      </c>
      <c r="BG18" s="748">
        <f>'Variante données'!B112</f>
        <v>1</v>
      </c>
      <c r="BH18" s="104">
        <f>'Variante données'!B111</f>
        <v>200</v>
      </c>
      <c r="BI18" s="105">
        <f>'Variante données'!$B$101*(1+'Page variable'!$C$35)</f>
        <v>0.42</v>
      </c>
      <c r="BJ18" s="29">
        <f>BH18*BI18</f>
        <v>84</v>
      </c>
      <c r="BK18" s="733">
        <f>BJ18/$BJ$76</f>
        <v>2.5180934683818696E-3</v>
      </c>
      <c r="BL18" s="38"/>
      <c r="BM18" s="28" t="str">
        <f>'Variante données'!B100</f>
        <v>Nitrate d'ammoniaque</v>
      </c>
      <c r="BN18" s="748">
        <f>'Variante données'!B112</f>
        <v>1</v>
      </c>
      <c r="BO18" s="104">
        <f>'Variante données'!B111</f>
        <v>200</v>
      </c>
      <c r="BP18" s="105">
        <f>'Variante données'!$B$101*(1+'Page variable'!$C$35)</f>
        <v>0.42</v>
      </c>
      <c r="BQ18" s="29">
        <f>BO18*BP18</f>
        <v>84</v>
      </c>
      <c r="BR18" s="733">
        <f>BQ18/$BQ$76</f>
        <v>2.5273058346719601E-3</v>
      </c>
      <c r="BS18" s="38"/>
      <c r="BT18" s="28" t="str">
        <f>'Variante données'!B100</f>
        <v>Nitrate d'ammoniaque</v>
      </c>
      <c r="BU18" s="748">
        <f>'Variante données'!B112</f>
        <v>1</v>
      </c>
      <c r="BV18" s="104">
        <f>'Variante données'!B111</f>
        <v>200</v>
      </c>
      <c r="BW18" s="105">
        <f>'Variante données'!$B$101*(1+'Page variable'!$C$35)</f>
        <v>0.42</v>
      </c>
      <c r="BX18" s="29">
        <f>BV18*BW18</f>
        <v>84</v>
      </c>
      <c r="BY18" s="733">
        <f>BX18/$BX$76</f>
        <v>2.5349944833011066E-3</v>
      </c>
      <c r="BZ18" s="38"/>
      <c r="CA18" s="28" t="str">
        <f>'Variante données'!B100</f>
        <v>Nitrate d'ammoniaque</v>
      </c>
      <c r="CB18" s="748">
        <f>'Variante données'!B112</f>
        <v>1</v>
      </c>
      <c r="CC18" s="104">
        <f>'Variante données'!B111</f>
        <v>200</v>
      </c>
      <c r="CD18" s="105">
        <f>'Variante données'!$B$101*(1+'Page variable'!$C$35)</f>
        <v>0.42</v>
      </c>
      <c r="CE18" s="29">
        <f>CC18*CD18</f>
        <v>84</v>
      </c>
      <c r="CF18" s="733">
        <f>CE18/$CE$76</f>
        <v>2.5428464489733044E-3</v>
      </c>
      <c r="CG18" s="38"/>
      <c r="CH18" s="28" t="str">
        <f>'Variante données'!B100</f>
        <v>Nitrate d'ammoniaque</v>
      </c>
      <c r="CI18" s="748">
        <f>'Variante données'!B112</f>
        <v>1</v>
      </c>
      <c r="CJ18" s="104">
        <f>'Variante données'!B111</f>
        <v>200</v>
      </c>
      <c r="CK18" s="105">
        <f>'Variante données'!$B$101*(1+'Page variable'!$C$35)</f>
        <v>0.42</v>
      </c>
      <c r="CL18" s="29">
        <f>CJ18*CK18</f>
        <v>84</v>
      </c>
      <c r="CM18" s="733">
        <f>CL18/$CL$76</f>
        <v>2.5508660927332214E-3</v>
      </c>
      <c r="CN18" s="38"/>
      <c r="CO18" s="28" t="str">
        <f>'Variante données'!B100</f>
        <v>Nitrate d'ammoniaque</v>
      </c>
      <c r="CP18" s="748">
        <f>'Variante données'!B112</f>
        <v>1</v>
      </c>
      <c r="CQ18" s="104">
        <f>'Variante données'!B111</f>
        <v>200</v>
      </c>
      <c r="CR18" s="105">
        <f>'Variante données'!$B$101*(1+'Page variable'!$C$35)</f>
        <v>0.42</v>
      </c>
      <c r="CS18" s="29">
        <f>CQ18*CR18</f>
        <v>84</v>
      </c>
      <c r="CT18" s="733">
        <f>CS18/$CS$76</f>
        <v>2.5572962320225719E-3</v>
      </c>
      <c r="CU18" s="38"/>
      <c r="CV18" s="28" t="str">
        <f>'Variante données'!B100</f>
        <v>Nitrate d'ammoniaque</v>
      </c>
      <c r="CW18" s="748">
        <f>'Variante données'!B112</f>
        <v>1</v>
      </c>
      <c r="CX18" s="104">
        <f>'Variante données'!B111</f>
        <v>200</v>
      </c>
      <c r="CY18" s="105">
        <f>'Variante données'!$B$101*(1+'Page variable'!$C$35)</f>
        <v>0.42</v>
      </c>
      <c r="CZ18" s="29">
        <f>CX18*CY18</f>
        <v>84</v>
      </c>
      <c r="DA18" s="733">
        <f>CZ18/$CZ$76</f>
        <v>2.1394106316086586E-3</v>
      </c>
    </row>
    <row r="19" spans="1:105" s="1" customFormat="1" ht="13.5" thickBot="1" x14ac:dyDescent="0.35">
      <c r="A19" s="17"/>
      <c r="B19" s="28" t="str">
        <f>'Variante données'!$C$100</f>
        <v>Engrais mixte</v>
      </c>
      <c r="C19" s="736">
        <f>'Variante données'!C106</f>
        <v>0</v>
      </c>
      <c r="D19" s="104">
        <f>'Variante données'!C105</f>
        <v>50</v>
      </c>
      <c r="E19" s="105">
        <f>'Variante données'!$C$101*(1+'Page variable'!$C$35)</f>
        <v>0.85</v>
      </c>
      <c r="F19" s="758">
        <f>D19*E19*C19</f>
        <v>0</v>
      </c>
      <c r="G19" s="733">
        <f>F19/$F$76</f>
        <v>0</v>
      </c>
      <c r="H19" s="17"/>
      <c r="I19" s="28" t="str">
        <f>'Variante données'!$C$100</f>
        <v>Engrais mixte</v>
      </c>
      <c r="J19" s="736">
        <f>'Variante données'!C108</f>
        <v>0</v>
      </c>
      <c r="K19" s="104">
        <f>'Variante données'!C107</f>
        <v>125</v>
      </c>
      <c r="L19" s="105">
        <f>'Variante données'!$C$101*(1+'Page variable'!$C$35)</f>
        <v>0.85</v>
      </c>
      <c r="M19" s="758">
        <f>K19*L19</f>
        <v>106.25</v>
      </c>
      <c r="N19" s="733">
        <f>M19/$M$76</f>
        <v>7.6406844539754042E-3</v>
      </c>
      <c r="O19" s="17"/>
      <c r="P19" s="28" t="str">
        <f>'Variante données'!C100</f>
        <v>Engrais mixte</v>
      </c>
      <c r="Q19" s="736">
        <f>'Variante données'!C110</f>
        <v>1</v>
      </c>
      <c r="R19" s="104">
        <f>'Variante données'!C109</f>
        <v>200</v>
      </c>
      <c r="S19" s="105">
        <f>'Variante données'!$C$101*(1+'Page variable'!$C$35)</f>
        <v>0.85</v>
      </c>
      <c r="T19" s="758">
        <f>R19*S19</f>
        <v>170</v>
      </c>
      <c r="U19" s="733">
        <f>T19/$T$76</f>
        <v>6.4795997141843019E-3</v>
      </c>
      <c r="V19" s="17"/>
      <c r="W19" s="28" t="str">
        <f>'Variante données'!C100</f>
        <v>Engrais mixte</v>
      </c>
      <c r="X19" s="736">
        <f>'Variante données'!C112</f>
        <v>1</v>
      </c>
      <c r="Y19" s="104">
        <f>'Variante données'!C111</f>
        <v>250</v>
      </c>
      <c r="Z19" s="105">
        <f>'Variante données'!$C$101*(1+'Page variable'!$C$35)</f>
        <v>0.85</v>
      </c>
      <c r="AA19" s="758">
        <f>Y19*Z19</f>
        <v>212.5</v>
      </c>
      <c r="AB19" s="733">
        <f>AA19/$AA$76</f>
        <v>7.449921705086497E-3</v>
      </c>
      <c r="AC19" s="17"/>
      <c r="AD19" s="28" t="str">
        <f>'Variante données'!C100</f>
        <v>Engrais mixte</v>
      </c>
      <c r="AE19" s="736">
        <f>'Variante données'!C112</f>
        <v>1</v>
      </c>
      <c r="AF19" s="104">
        <f>'Variante données'!C111</f>
        <v>250</v>
      </c>
      <c r="AG19" s="105">
        <f>'Variante données'!$C$101*(1+'Page variable'!$C$35)</f>
        <v>0.85</v>
      </c>
      <c r="AH19" s="758">
        <f>AF19*AG19</f>
        <v>212.5</v>
      </c>
      <c r="AI19" s="733">
        <f>AH19/$AH$76</f>
        <v>6.8183938048401709E-3</v>
      </c>
      <c r="AJ19" s="17"/>
      <c r="AK19" s="28" t="str">
        <f>'Variante données'!C100</f>
        <v>Engrais mixte</v>
      </c>
      <c r="AL19" s="736">
        <f>'Variante données'!C112</f>
        <v>1</v>
      </c>
      <c r="AM19" s="104">
        <f>'Variante données'!C111</f>
        <v>250</v>
      </c>
      <c r="AN19" s="105">
        <f>'Variante données'!$C$101*(1+'Page variable'!$C$35)</f>
        <v>0.85</v>
      </c>
      <c r="AO19" s="758">
        <f>AM19*AN19</f>
        <v>212.5</v>
      </c>
      <c r="AP19" s="733">
        <f>AO19/$AO$76</f>
        <v>6.3032655071604167E-3</v>
      </c>
      <c r="AQ19" s="17"/>
      <c r="AR19" s="28" t="str">
        <f>'Variante données'!C100</f>
        <v>Engrais mixte</v>
      </c>
      <c r="AS19" s="736">
        <f>'Variante données'!C112</f>
        <v>1</v>
      </c>
      <c r="AT19" s="104">
        <f>'Variante données'!C111</f>
        <v>250</v>
      </c>
      <c r="AU19" s="105">
        <f>'Variante données'!$C$101*(1+'Page variable'!$C$35)</f>
        <v>0.85</v>
      </c>
      <c r="AV19" s="758">
        <f>AT19*AU19</f>
        <v>212.5</v>
      </c>
      <c r="AW19" s="733">
        <f>AV19/$AV$76</f>
        <v>6.3250825343917775E-3</v>
      </c>
      <c r="AX19" s="17"/>
      <c r="AY19" s="28" t="str">
        <f>'Variante données'!C100</f>
        <v>Engrais mixte</v>
      </c>
      <c r="AZ19" s="736">
        <f>'Variante données'!C112</f>
        <v>1</v>
      </c>
      <c r="BA19" s="104">
        <f>'Variante données'!C111</f>
        <v>250</v>
      </c>
      <c r="BB19" s="105">
        <f>'Variante données'!$C$101*(1+'Page variable'!$C$35)</f>
        <v>0.85</v>
      </c>
      <c r="BC19" s="758">
        <f>BA19*BB19</f>
        <v>212.5</v>
      </c>
      <c r="BD19" s="733">
        <f>BC19/$BC$76</f>
        <v>6.3473818039576999E-3</v>
      </c>
      <c r="BE19" s="17"/>
      <c r="BF19" s="28" t="str">
        <f>'Variante données'!C100</f>
        <v>Engrais mixte</v>
      </c>
      <c r="BG19" s="736">
        <f>'Variante données'!C112</f>
        <v>1</v>
      </c>
      <c r="BH19" s="104">
        <f>'Variante données'!C111</f>
        <v>250</v>
      </c>
      <c r="BI19" s="105">
        <f>'Variante données'!$C$101*(1+'Page variable'!$C$35)</f>
        <v>0.85</v>
      </c>
      <c r="BJ19" s="758">
        <f>BH19*BI19</f>
        <v>212.5</v>
      </c>
      <c r="BK19" s="733">
        <f>BJ19/$BJ$76</f>
        <v>6.3701769289422295E-3</v>
      </c>
      <c r="BL19" s="17"/>
      <c r="BM19" s="28" t="str">
        <f>'Variante données'!C100</f>
        <v>Engrais mixte</v>
      </c>
      <c r="BN19" s="736">
        <f>'Variante données'!C112</f>
        <v>1</v>
      </c>
      <c r="BO19" s="104">
        <f>'Variante données'!C111</f>
        <v>250</v>
      </c>
      <c r="BP19" s="105">
        <f>'Variante données'!$C$101*(1+'Page variable'!$C$35)</f>
        <v>0.85</v>
      </c>
      <c r="BQ19" s="758">
        <f>BO19*BP19</f>
        <v>212.5</v>
      </c>
      <c r="BR19" s="733">
        <f>BQ19/$BQ$76</f>
        <v>6.3934820222356133E-3</v>
      </c>
      <c r="BS19" s="17"/>
      <c r="BT19" s="28" t="str">
        <f>'Variante données'!C100</f>
        <v>Engrais mixte</v>
      </c>
      <c r="BU19" s="736">
        <f>'Variante données'!C112</f>
        <v>1</v>
      </c>
      <c r="BV19" s="104">
        <f>'Variante données'!C111</f>
        <v>250</v>
      </c>
      <c r="BW19" s="105">
        <f>'Variante données'!$C$101*(1+'Page variable'!$C$35)</f>
        <v>0.85</v>
      </c>
      <c r="BX19" s="758">
        <f>BV19*BW19</f>
        <v>212.5</v>
      </c>
      <c r="BY19" s="733">
        <f>BX19/$BX$76</f>
        <v>6.412932472636728E-3</v>
      </c>
      <c r="BZ19" s="17"/>
      <c r="CA19" s="28" t="str">
        <f>'Variante données'!C100</f>
        <v>Engrais mixte</v>
      </c>
      <c r="CB19" s="736">
        <f>'Variante données'!C112</f>
        <v>1</v>
      </c>
      <c r="CC19" s="104">
        <f>'Variante données'!C111</f>
        <v>250</v>
      </c>
      <c r="CD19" s="105">
        <f>'Variante données'!$C$101*(1+'Page variable'!$C$35)</f>
        <v>0.85</v>
      </c>
      <c r="CE19" s="758">
        <f>CC19*CD19</f>
        <v>212.5</v>
      </c>
      <c r="CF19" s="733">
        <f>CE19/$CE$76</f>
        <v>6.4327960762717521E-3</v>
      </c>
      <c r="CG19" s="17"/>
      <c r="CH19" s="28" t="str">
        <f>'Variante données'!C100</f>
        <v>Engrais mixte</v>
      </c>
      <c r="CI19" s="736">
        <f>'Variante données'!C112</f>
        <v>1</v>
      </c>
      <c r="CJ19" s="104">
        <f>'Variante données'!C111</f>
        <v>250</v>
      </c>
      <c r="CK19" s="105">
        <f>'Variante données'!$C$101*(1+'Page variable'!$C$35)</f>
        <v>0.85</v>
      </c>
      <c r="CL19" s="758">
        <f>CJ19*CK19</f>
        <v>212.5</v>
      </c>
      <c r="CM19" s="733">
        <f>CL19/$CL$76</f>
        <v>6.4530838655453525E-3</v>
      </c>
      <c r="CN19" s="17"/>
      <c r="CO19" s="28" t="str">
        <f>'Variante données'!C100</f>
        <v>Engrais mixte</v>
      </c>
      <c r="CP19" s="736">
        <f>'Variante données'!C112</f>
        <v>1</v>
      </c>
      <c r="CQ19" s="104">
        <f>'Variante données'!C111</f>
        <v>250</v>
      </c>
      <c r="CR19" s="105">
        <f>'Variante données'!$C$101*(1+'Page variable'!$C$35)</f>
        <v>0.85</v>
      </c>
      <c r="CS19" s="758">
        <f>CQ19*CR19</f>
        <v>212.5</v>
      </c>
      <c r="CT19" s="733">
        <f>CS19/$CS$76</f>
        <v>6.4693505869618632E-3</v>
      </c>
      <c r="CU19" s="17"/>
      <c r="CV19" s="28" t="str">
        <f>'Variante données'!C100</f>
        <v>Engrais mixte</v>
      </c>
      <c r="CW19" s="736">
        <f>'Variante données'!C112</f>
        <v>1</v>
      </c>
      <c r="CX19" s="104">
        <f>'Variante données'!C111</f>
        <v>250</v>
      </c>
      <c r="CY19" s="105">
        <f>'Variante données'!$C$101*(1+'Page variable'!$C$35)</f>
        <v>0.85</v>
      </c>
      <c r="CZ19" s="758">
        <f>CX19*CY19</f>
        <v>212.5</v>
      </c>
      <c r="DA19" s="733">
        <f>CZ19/$CZ$76</f>
        <v>5.4121995144861892E-3</v>
      </c>
    </row>
    <row r="20" spans="1:105" s="1" customFormat="1" ht="13" x14ac:dyDescent="0.3">
      <c r="A20" s="38"/>
      <c r="B20" s="39"/>
      <c r="C20" s="41">
        <f>SUM(C18:C19)</f>
        <v>0</v>
      </c>
      <c r="D20" s="41"/>
      <c r="E20" s="42"/>
      <c r="F20" s="80">
        <f>SUM(F18:F19)</f>
        <v>0</v>
      </c>
      <c r="G20" s="730">
        <f>F20/$F$76</f>
        <v>0</v>
      </c>
      <c r="H20" s="38"/>
      <c r="I20" s="39"/>
      <c r="J20" s="41">
        <f>SUM(J18:J19)</f>
        <v>1</v>
      </c>
      <c r="K20" s="41"/>
      <c r="L20" s="42"/>
      <c r="M20" s="80">
        <f>SUM(M18:M19)</f>
        <v>148.25</v>
      </c>
      <c r="N20" s="730">
        <f>M20/$M$76</f>
        <v>1.0661002073429212E-2</v>
      </c>
      <c r="O20" s="38"/>
      <c r="P20" s="39"/>
      <c r="Q20" s="41">
        <f>SUM(Q18:Q19)</f>
        <v>2</v>
      </c>
      <c r="R20" s="41"/>
      <c r="S20" s="42"/>
      <c r="T20" s="80">
        <f>SUM(T18:T19)</f>
        <v>233</v>
      </c>
      <c r="U20" s="730">
        <f>T20/$T$76</f>
        <v>8.8808631376761302E-3</v>
      </c>
      <c r="V20" s="38"/>
      <c r="W20" s="39"/>
      <c r="X20" s="41">
        <f>SUM(X18:X19)</f>
        <v>2</v>
      </c>
      <c r="Y20" s="41"/>
      <c r="Z20" s="42"/>
      <c r="AA20" s="80">
        <f>SUM(AA18:AA19)</f>
        <v>296.5</v>
      </c>
      <c r="AB20" s="730">
        <f>AA20/$AA$76</f>
        <v>1.0394831932038336E-2</v>
      </c>
      <c r="AC20" s="38"/>
      <c r="AD20" s="39"/>
      <c r="AE20" s="41">
        <f>SUM(AE18:AE19)</f>
        <v>2</v>
      </c>
      <c r="AF20" s="41"/>
      <c r="AG20" s="42"/>
      <c r="AH20" s="80">
        <f>SUM(AH18:AH19)</f>
        <v>296.5</v>
      </c>
      <c r="AI20" s="730">
        <f>AH20/$AH$76</f>
        <v>9.5136647676946386E-3</v>
      </c>
      <c r="AJ20" s="38"/>
      <c r="AK20" s="39"/>
      <c r="AL20" s="41">
        <f>SUM(AL18:AL19)</f>
        <v>2</v>
      </c>
      <c r="AM20" s="41"/>
      <c r="AN20" s="42"/>
      <c r="AO20" s="80">
        <f>SUM(AO18:AO19)</f>
        <v>296.5</v>
      </c>
      <c r="AP20" s="730">
        <f>AO20/$AO$76</f>
        <v>8.7949092841085336E-3</v>
      </c>
      <c r="AQ20" s="38"/>
      <c r="AR20" s="39"/>
      <c r="AS20" s="41">
        <f>SUM(AS18:AS19)</f>
        <v>2</v>
      </c>
      <c r="AT20" s="41"/>
      <c r="AU20" s="42"/>
      <c r="AV20" s="80">
        <f>SUM(AV18:AV19)</f>
        <v>296.5</v>
      </c>
      <c r="AW20" s="730">
        <f>AV20/$AV$76</f>
        <v>8.8253504538689971E-3</v>
      </c>
      <c r="AX20" s="38"/>
      <c r="AY20" s="39"/>
      <c r="AZ20" s="41">
        <f>SUM(AZ18:AZ19)</f>
        <v>2</v>
      </c>
      <c r="BA20" s="41"/>
      <c r="BB20" s="42"/>
      <c r="BC20" s="80">
        <f>SUM(BC18:BC19)</f>
        <v>296.5</v>
      </c>
      <c r="BD20" s="730">
        <f>BC20/$BC$76</f>
        <v>8.8564644935221551E-3</v>
      </c>
      <c r="BE20" s="38"/>
      <c r="BF20" s="39"/>
      <c r="BG20" s="41">
        <f>SUM(BG18:BG19)</f>
        <v>2</v>
      </c>
      <c r="BH20" s="41"/>
      <c r="BI20" s="42"/>
      <c r="BJ20" s="80">
        <f>SUM(BJ18:BJ19)</f>
        <v>296.5</v>
      </c>
      <c r="BK20" s="730">
        <f>BJ20/$BJ$76</f>
        <v>8.8882703973240992E-3</v>
      </c>
      <c r="BL20" s="38"/>
      <c r="BM20" s="39"/>
      <c r="BN20" s="41">
        <f>SUM(BN18:BN19)</f>
        <v>2</v>
      </c>
      <c r="BO20" s="41"/>
      <c r="BP20" s="42"/>
      <c r="BQ20" s="80">
        <f>SUM(BQ18:BQ19)</f>
        <v>296.5</v>
      </c>
      <c r="BR20" s="730">
        <f>BQ20/$BQ$76</f>
        <v>8.9207878569075721E-3</v>
      </c>
      <c r="BS20" s="38"/>
      <c r="BT20" s="39"/>
      <c r="BU20" s="41">
        <f>SUM(BU18:BU19)</f>
        <v>2</v>
      </c>
      <c r="BV20" s="41"/>
      <c r="BW20" s="42"/>
      <c r="BX20" s="80">
        <f>SUM(BX18:BX19)</f>
        <v>296.5</v>
      </c>
      <c r="BY20" s="730">
        <f>BX20/$BX$76</f>
        <v>8.9479269559378342E-3</v>
      </c>
      <c r="BZ20" s="38"/>
      <c r="CA20" s="39"/>
      <c r="CB20" s="41">
        <f>SUM(CB18:CB19)</f>
        <v>2</v>
      </c>
      <c r="CC20" s="41"/>
      <c r="CD20" s="42"/>
      <c r="CE20" s="80">
        <f>SUM(CE18:CE19)</f>
        <v>296.5</v>
      </c>
      <c r="CF20" s="730">
        <f>CE20/$CE$76</f>
        <v>8.9756425252450565E-3</v>
      </c>
      <c r="CG20" s="38"/>
      <c r="CH20" s="39"/>
      <c r="CI20" s="41">
        <f>SUM(CI18:CI19)</f>
        <v>2</v>
      </c>
      <c r="CJ20" s="41"/>
      <c r="CK20" s="42"/>
      <c r="CL20" s="80">
        <f>SUM(CL18:CL19)</f>
        <v>296.5</v>
      </c>
      <c r="CM20" s="730">
        <f>CL20/$CL$76</f>
        <v>9.0039499582785735E-3</v>
      </c>
      <c r="CN20" s="38"/>
      <c r="CO20" s="39"/>
      <c r="CP20" s="41">
        <f>SUM(CP18:CP19)</f>
        <v>2</v>
      </c>
      <c r="CQ20" s="41"/>
      <c r="CR20" s="42"/>
      <c r="CS20" s="80">
        <f>SUM(CS18:CS19)</f>
        <v>296.5</v>
      </c>
      <c r="CT20" s="730">
        <f>CS20/$CS$76</f>
        <v>9.0266468189844351E-3</v>
      </c>
      <c r="CU20" s="38"/>
      <c r="CV20" s="39"/>
      <c r="CW20" s="41">
        <f>SUM(CW18:CW19)</f>
        <v>2</v>
      </c>
      <c r="CX20" s="41"/>
      <c r="CY20" s="42"/>
      <c r="CZ20" s="80">
        <f>SUM(CZ18:CZ19)</f>
        <v>296.5</v>
      </c>
      <c r="DA20" s="730">
        <f>CZ20/$CZ$76</f>
        <v>7.5516101460948483E-3</v>
      </c>
    </row>
    <row r="21" spans="1:105" ht="13" x14ac:dyDescent="0.3">
      <c r="A21" s="17"/>
      <c r="B21" s="28"/>
      <c r="C21" s="11"/>
      <c r="D21" s="11"/>
      <c r="E21" s="105"/>
      <c r="F21" s="109"/>
      <c r="G21" s="733"/>
      <c r="H21" s="17"/>
      <c r="I21" s="28"/>
      <c r="J21" s="11"/>
      <c r="K21" s="11"/>
      <c r="L21" s="105"/>
      <c r="M21" s="109"/>
      <c r="N21" s="733"/>
      <c r="O21" s="17"/>
      <c r="P21" s="28"/>
      <c r="Q21" s="11"/>
      <c r="R21" s="11"/>
      <c r="S21" s="105"/>
      <c r="T21" s="109"/>
      <c r="U21" s="733"/>
      <c r="V21" s="17"/>
      <c r="W21" s="28"/>
      <c r="X21" s="11"/>
      <c r="Y21" s="11"/>
      <c r="Z21" s="105"/>
      <c r="AA21" s="109"/>
      <c r="AB21" s="733"/>
      <c r="AC21" s="17"/>
      <c r="AD21" s="28"/>
      <c r="AE21" s="11"/>
      <c r="AF21" s="11"/>
      <c r="AG21" s="105"/>
      <c r="AH21" s="109"/>
      <c r="AI21" s="733"/>
      <c r="AJ21" s="17"/>
      <c r="AK21" s="28"/>
      <c r="AL21" s="11"/>
      <c r="AM21" s="11"/>
      <c r="AN21" s="105"/>
      <c r="AO21" s="109"/>
      <c r="AP21" s="733"/>
      <c r="AQ21" s="17"/>
      <c r="AR21" s="28"/>
      <c r="AS21" s="11"/>
      <c r="AT21" s="11"/>
      <c r="AU21" s="105"/>
      <c r="AV21" s="109"/>
      <c r="AW21" s="733"/>
      <c r="AX21" s="17"/>
      <c r="AY21" s="28"/>
      <c r="AZ21" s="11"/>
      <c r="BA21" s="11"/>
      <c r="BB21" s="105"/>
      <c r="BC21" s="109"/>
      <c r="BD21" s="733"/>
      <c r="BE21" s="17"/>
      <c r="BF21" s="28"/>
      <c r="BG21" s="11"/>
      <c r="BH21" s="11"/>
      <c r="BI21" s="105"/>
      <c r="BJ21" s="109"/>
      <c r="BK21" s="733"/>
      <c r="BL21" s="17"/>
      <c r="BM21" s="28"/>
      <c r="BN21" s="11"/>
      <c r="BO21" s="11"/>
      <c r="BP21" s="105"/>
      <c r="BQ21" s="109"/>
      <c r="BR21" s="733"/>
      <c r="BS21" s="17"/>
      <c r="BT21" s="28"/>
      <c r="BU21" s="11"/>
      <c r="BV21" s="11"/>
      <c r="BW21" s="105"/>
      <c r="BX21" s="109"/>
      <c r="BY21" s="733"/>
      <c r="BZ21" s="17"/>
      <c r="CA21" s="28"/>
      <c r="CB21" s="11"/>
      <c r="CC21" s="11"/>
      <c r="CD21" s="105"/>
      <c r="CE21" s="109"/>
      <c r="CF21" s="733"/>
      <c r="CG21" s="17"/>
      <c r="CH21" s="28"/>
      <c r="CI21" s="11"/>
      <c r="CJ21" s="11"/>
      <c r="CK21" s="105"/>
      <c r="CL21" s="109"/>
      <c r="CM21" s="733"/>
      <c r="CN21" s="17"/>
      <c r="CO21" s="28"/>
      <c r="CP21" s="11"/>
      <c r="CQ21" s="11"/>
      <c r="CR21" s="105"/>
      <c r="CS21" s="109"/>
      <c r="CT21" s="733"/>
      <c r="CU21" s="17"/>
      <c r="CV21" s="28"/>
      <c r="CW21" s="11"/>
      <c r="CX21" s="11"/>
      <c r="CY21" s="105"/>
      <c r="CZ21" s="109"/>
      <c r="DA21" s="733"/>
    </row>
    <row r="22" spans="1:105" ht="13" x14ac:dyDescent="0.3">
      <c r="A22" s="17" t="s">
        <v>471</v>
      </c>
      <c r="B22" s="28"/>
      <c r="C22" s="11"/>
      <c r="D22" s="11"/>
      <c r="E22" s="105"/>
      <c r="F22" s="109"/>
      <c r="G22" s="734"/>
      <c r="H22" s="17" t="s">
        <v>471</v>
      </c>
      <c r="I22" s="28"/>
      <c r="J22" s="11"/>
      <c r="K22" s="11"/>
      <c r="L22" s="105"/>
      <c r="M22" s="109"/>
      <c r="N22" s="734"/>
      <c r="O22" s="17" t="s">
        <v>471</v>
      </c>
      <c r="P22" s="28"/>
      <c r="Q22" s="11"/>
      <c r="R22" s="11"/>
      <c r="S22" s="105"/>
      <c r="T22" s="109"/>
      <c r="U22" s="734"/>
      <c r="V22" s="17" t="s">
        <v>471</v>
      </c>
      <c r="W22" s="28"/>
      <c r="X22" s="11"/>
      <c r="Y22" s="11"/>
      <c r="Z22" s="105"/>
      <c r="AA22" s="109"/>
      <c r="AB22" s="734"/>
      <c r="AC22" s="17" t="s">
        <v>471</v>
      </c>
      <c r="AD22" s="28"/>
      <c r="AE22" s="11"/>
      <c r="AF22" s="11"/>
      <c r="AG22" s="105"/>
      <c r="AH22" s="109"/>
      <c r="AI22" s="734"/>
      <c r="AJ22" s="17" t="s">
        <v>471</v>
      </c>
      <c r="AK22" s="28"/>
      <c r="AL22" s="11"/>
      <c r="AM22" s="11"/>
      <c r="AN22" s="105"/>
      <c r="AO22" s="109"/>
      <c r="AP22" s="734"/>
      <c r="AQ22" s="17" t="s">
        <v>471</v>
      </c>
      <c r="AR22" s="28"/>
      <c r="AS22" s="11"/>
      <c r="AT22" s="11"/>
      <c r="AU22" s="105"/>
      <c r="AV22" s="109"/>
      <c r="AW22" s="734"/>
      <c r="AX22" s="17" t="s">
        <v>471</v>
      </c>
      <c r="AY22" s="28"/>
      <c r="AZ22" s="11"/>
      <c r="BA22" s="11"/>
      <c r="BB22" s="105"/>
      <c r="BC22" s="109"/>
      <c r="BD22" s="734"/>
      <c r="BE22" s="17" t="s">
        <v>471</v>
      </c>
      <c r="BF22" s="28"/>
      <c r="BG22" s="11"/>
      <c r="BH22" s="11"/>
      <c r="BI22" s="105"/>
      <c r="BJ22" s="109"/>
      <c r="BK22" s="734"/>
      <c r="BL22" s="17" t="s">
        <v>471</v>
      </c>
      <c r="BM22" s="28"/>
      <c r="BN22" s="11"/>
      <c r="BO22" s="11"/>
      <c r="BP22" s="105"/>
      <c r="BQ22" s="109"/>
      <c r="BR22" s="734"/>
      <c r="BS22" s="17" t="s">
        <v>471</v>
      </c>
      <c r="BT22" s="28"/>
      <c r="BU22" s="11"/>
      <c r="BV22" s="11"/>
      <c r="BW22" s="105"/>
      <c r="BX22" s="109"/>
      <c r="BY22" s="734"/>
      <c r="BZ22" s="17" t="s">
        <v>471</v>
      </c>
      <c r="CA22" s="28"/>
      <c r="CB22" s="11"/>
      <c r="CC22" s="11"/>
      <c r="CD22" s="105"/>
      <c r="CE22" s="109"/>
      <c r="CF22" s="734"/>
      <c r="CG22" s="17" t="s">
        <v>471</v>
      </c>
      <c r="CH22" s="28"/>
      <c r="CI22" s="11"/>
      <c r="CJ22" s="11"/>
      <c r="CK22" s="105"/>
      <c r="CL22" s="109"/>
      <c r="CM22" s="734"/>
      <c r="CN22" s="17" t="s">
        <v>471</v>
      </c>
      <c r="CO22" s="28"/>
      <c r="CP22" s="11"/>
      <c r="CQ22" s="11"/>
      <c r="CR22" s="105"/>
      <c r="CS22" s="109"/>
      <c r="CT22" s="734"/>
      <c r="CU22" s="17" t="s">
        <v>471</v>
      </c>
      <c r="CV22" s="28"/>
      <c r="CW22" s="11"/>
      <c r="CX22" s="11"/>
      <c r="CY22" s="105"/>
      <c r="CZ22" s="109"/>
      <c r="DA22" s="734"/>
    </row>
    <row r="23" spans="1:105" ht="21.15" customHeight="1" x14ac:dyDescent="0.25">
      <c r="A23" s="198" t="str">
        <f>'Variante données'!$A$118</f>
        <v>Fongicides</v>
      </c>
      <c r="F23" s="29">
        <f>'Variante données'!B118*(1+'Page variable'!$C$34)</f>
        <v>1209</v>
      </c>
      <c r="G23" s="734"/>
      <c r="H23" s="198" t="str">
        <f>'Variante données'!$A$118</f>
        <v>Fongicides</v>
      </c>
      <c r="M23" s="29">
        <f>'Variante données'!C118*(1+'Page variable'!$C$34)</f>
        <v>1209</v>
      </c>
      <c r="N23" s="734"/>
      <c r="O23" s="198" t="str">
        <f>'Variante données'!$A$118</f>
        <v>Fongicides</v>
      </c>
      <c r="P23" s="13"/>
      <c r="Q23" s="11"/>
      <c r="R23" s="291"/>
      <c r="S23" s="105"/>
      <c r="T23" s="29">
        <f>'Variante données'!$D$118*(1+'Page variable'!$C$34)</f>
        <v>2844</v>
      </c>
      <c r="U23" s="734">
        <f t="shared" ref="U23:U28" si="0">T23/$T$76</f>
        <v>0.10839989168905972</v>
      </c>
      <c r="V23" s="198" t="str">
        <f>'Variante données'!$A$118</f>
        <v>Fongicides</v>
      </c>
      <c r="W23" s="13"/>
      <c r="X23" s="11"/>
      <c r="Y23" s="291"/>
      <c r="Z23" s="105"/>
      <c r="AA23" s="29">
        <f>'Variante données'!$D$118*(1+'Page variable'!$C$34)</f>
        <v>2844</v>
      </c>
      <c r="AB23" s="734">
        <f t="shared" ref="AB23:AB28" si="1">AA23/$AA$76</f>
        <v>9.9706246255369405E-2</v>
      </c>
      <c r="AC23" s="198" t="str">
        <f>'Variante données'!$A$118</f>
        <v>Fongicides</v>
      </c>
      <c r="AD23" s="13"/>
      <c r="AE23" s="11"/>
      <c r="AF23" s="291"/>
      <c r="AG23" s="105"/>
      <c r="AH23" s="29">
        <f>'Variante données'!$D$118*(1+'Page variable'!$C$34)</f>
        <v>2844</v>
      </c>
      <c r="AI23" s="734">
        <f t="shared" ref="AI23:AI28" si="2">AH23/$AH$76</f>
        <v>9.125417402807269E-2</v>
      </c>
      <c r="AJ23" s="198" t="str">
        <f>'Variante données'!$A$118</f>
        <v>Fongicides</v>
      </c>
      <c r="AK23" s="13"/>
      <c r="AL23" s="11"/>
      <c r="AM23" s="291"/>
      <c r="AN23" s="105"/>
      <c r="AO23" s="29">
        <f>'Variante données'!$D$118*(1+'Page variable'!$C$34)</f>
        <v>2844</v>
      </c>
      <c r="AP23" s="734">
        <f t="shared" ref="AP23:AP28" si="3">AO23/$AO$76</f>
        <v>8.4359939305243409E-2</v>
      </c>
      <c r="AQ23" s="198" t="str">
        <f>'Variante données'!$A$118</f>
        <v>Fongicides</v>
      </c>
      <c r="AR23" s="13"/>
      <c r="AS23" s="11"/>
      <c r="AT23" s="291"/>
      <c r="AU23" s="105"/>
      <c r="AV23" s="29">
        <f>'Variante données'!$D$118*(1+'Page variable'!$C$34)</f>
        <v>2844</v>
      </c>
      <c r="AW23" s="734">
        <f t="shared" ref="AW23:AW28" si="4">AV23/$AV$76</f>
        <v>8.4651928130871593E-2</v>
      </c>
      <c r="AX23" s="198" t="str">
        <f>'Variante données'!$A$118</f>
        <v>Fongicides</v>
      </c>
      <c r="AY23" s="13"/>
      <c r="AZ23" s="11"/>
      <c r="BA23" s="291"/>
      <c r="BB23" s="105"/>
      <c r="BC23" s="29">
        <f>'Variante données'!$D$118*(1+'Page variable'!$C$34)</f>
        <v>2844</v>
      </c>
      <c r="BD23" s="734">
        <f t="shared" ref="BD23:BD28" si="5">BC23/$BC$76</f>
        <v>8.4950371060967991E-2</v>
      </c>
      <c r="BE23" s="198" t="str">
        <f>'Variante données'!$A$118</f>
        <v>Fongicides</v>
      </c>
      <c r="BF23" s="13"/>
      <c r="BG23" s="11"/>
      <c r="BH23" s="291"/>
      <c r="BI23" s="105"/>
      <c r="BJ23" s="29">
        <f>'Variante données'!$D$118*(1+'Page variable'!$C$34)</f>
        <v>2844</v>
      </c>
      <c r="BK23" s="734">
        <f t="shared" ref="BK23:BK28" si="6">BJ23/$BJ$76</f>
        <v>8.5255450286643303E-2</v>
      </c>
      <c r="BL23" s="198" t="str">
        <f>'Variante données'!$A$118</f>
        <v>Fongicides</v>
      </c>
      <c r="BM23" s="13"/>
      <c r="BN23" s="11"/>
      <c r="BO23" s="291"/>
      <c r="BP23" s="105"/>
      <c r="BQ23" s="29">
        <f>'Variante données'!$D$118*(1+'Page variable'!$C$34)</f>
        <v>2844</v>
      </c>
      <c r="BR23" s="734">
        <f t="shared" ref="BR23:BR28" si="7">BQ23/$BQ$76</f>
        <v>8.556735468817922E-2</v>
      </c>
      <c r="BS23" s="198" t="str">
        <f>'Variante données'!$A$118</f>
        <v>Fongicides</v>
      </c>
      <c r="BT23" s="13"/>
      <c r="BU23" s="11"/>
      <c r="BV23" s="291"/>
      <c r="BW23" s="105"/>
      <c r="BX23" s="29">
        <f>'Variante données'!$D$118*(1+'Page variable'!$C$34)</f>
        <v>2844</v>
      </c>
      <c r="BY23" s="734">
        <f t="shared" ref="BY23:BY28" si="8">BX23/$BX$76</f>
        <v>8.5827670363194608E-2</v>
      </c>
      <c r="BZ23" s="198" t="str">
        <f>'Variante données'!$A$118</f>
        <v>Fongicides</v>
      </c>
      <c r="CA23" s="13"/>
      <c r="CB23" s="11"/>
      <c r="CC23" s="291"/>
      <c r="CD23" s="105"/>
      <c r="CE23" s="29">
        <f>'Variante données'!$D$118*(1+'Page variable'!$C$34)</f>
        <v>2844</v>
      </c>
      <c r="CF23" s="734">
        <f t="shared" ref="CF23:CF28" si="9">CE23/$CE$76</f>
        <v>8.6093515486667591E-2</v>
      </c>
      <c r="CG23" s="198" t="str">
        <f>'Variante données'!$A$118</f>
        <v>Fongicides</v>
      </c>
      <c r="CH23" s="13"/>
      <c r="CI23" s="11"/>
      <c r="CJ23" s="291"/>
      <c r="CK23" s="105"/>
      <c r="CL23" s="29">
        <f>'Variante données'!$D$118*(1+'Page variable'!$C$34)</f>
        <v>2844</v>
      </c>
      <c r="CM23" s="734">
        <f t="shared" ref="CM23:CM28" si="10">CL23/$CL$76</f>
        <v>8.6365037711110509E-2</v>
      </c>
      <c r="CN23" s="198" t="str">
        <f>'Variante données'!$A$118</f>
        <v>Fongicides</v>
      </c>
      <c r="CO23" s="13"/>
      <c r="CP23" s="11"/>
      <c r="CQ23" s="291"/>
      <c r="CR23" s="105"/>
      <c r="CS23" s="29">
        <f>'Variante données'!$D$118*(1+'Page variable'!$C$34)</f>
        <v>2844</v>
      </c>
      <c r="CT23" s="734">
        <f t="shared" ref="CT23:CT28" si="11">CS23/$CS$76</f>
        <v>8.6582743855621355E-2</v>
      </c>
      <c r="CU23" s="198" t="str">
        <f>'Variante données'!$A$118</f>
        <v>Fongicides</v>
      </c>
      <c r="CV23" s="13"/>
      <c r="CW23" s="11"/>
      <c r="CX23" s="291"/>
      <c r="CY23" s="105"/>
      <c r="CZ23" s="29">
        <f>'Variante données'!$D$118*(1+'Page variable'!$C$34)</f>
        <v>2844</v>
      </c>
      <c r="DA23" s="734">
        <f t="shared" ref="DA23:DA28" si="12">CZ23/$CZ$76</f>
        <v>7.2434331384464576E-2</v>
      </c>
    </row>
    <row r="24" spans="1:105" ht="12.5" x14ac:dyDescent="0.25">
      <c r="A24" s="198" t="str">
        <f>'Variante données'!$A$119</f>
        <v>Lutte contre le feu bactérien</v>
      </c>
      <c r="B24" s="13"/>
      <c r="C24" s="11"/>
      <c r="D24" s="291"/>
      <c r="E24" s="105"/>
      <c r="F24" s="29">
        <f>'Variante données'!B119*(1+'Page variable'!$C$34)</f>
        <v>0</v>
      </c>
      <c r="G24" s="734">
        <f>F24/$F$76</f>
        <v>0</v>
      </c>
      <c r="H24" s="198" t="str">
        <f>'Variante données'!$A$119</f>
        <v>Lutte contre le feu bactérien</v>
      </c>
      <c r="I24" s="13"/>
      <c r="J24" s="11"/>
      <c r="K24" s="291"/>
      <c r="L24" s="105"/>
      <c r="M24" s="29">
        <f>'Variante données'!C119*(1+'Page variable'!$C$34)</f>
        <v>0</v>
      </c>
      <c r="N24" s="734">
        <f>M24/$M$76</f>
        <v>0</v>
      </c>
      <c r="O24" s="198" t="str">
        <f>'Variante données'!$A$119</f>
        <v>Lutte contre le feu bactérien</v>
      </c>
      <c r="P24" s="13"/>
      <c r="Q24" s="11"/>
      <c r="R24" s="291"/>
      <c r="S24" s="105"/>
      <c r="T24" s="29">
        <f>'Variante données'!$D$119*(1+'Page variable'!$C$34)</f>
        <v>1057</v>
      </c>
      <c r="U24" s="734">
        <f t="shared" si="0"/>
        <v>4.0287864105251807E-2</v>
      </c>
      <c r="V24" s="198" t="str">
        <f>'Variante données'!$A$119</f>
        <v>Lutte contre le feu bactérien</v>
      </c>
      <c r="W24" s="13"/>
      <c r="X24" s="11"/>
      <c r="Y24" s="291"/>
      <c r="Z24" s="105"/>
      <c r="AA24" s="29">
        <f>'Variante données'!$D$119*(1+'Page variable'!$C$34)</f>
        <v>1057</v>
      </c>
      <c r="AB24" s="734">
        <f t="shared" si="1"/>
        <v>3.7056787022477305E-2</v>
      </c>
      <c r="AC24" s="198" t="str">
        <f>'Variante données'!$A$119</f>
        <v>Lutte contre le feu bactérien</v>
      </c>
      <c r="AD24" s="13"/>
      <c r="AE24" s="11"/>
      <c r="AF24" s="291"/>
      <c r="AG24" s="105"/>
      <c r="AH24" s="29">
        <f>'Variante données'!$D$119*(1+'Page variable'!$C$34)</f>
        <v>1057</v>
      </c>
      <c r="AI24" s="734">
        <f t="shared" si="2"/>
        <v>3.391549294925205E-2</v>
      </c>
      <c r="AJ24" s="198" t="str">
        <f>'Variante données'!$A$119</f>
        <v>Lutte contre le feu bactérien</v>
      </c>
      <c r="AK24" s="13"/>
      <c r="AL24" s="11"/>
      <c r="AM24" s="291"/>
      <c r="AN24" s="105"/>
      <c r="AO24" s="29">
        <f>'Variante données'!$D$119*(1+'Page variable'!$C$34)</f>
        <v>1057</v>
      </c>
      <c r="AP24" s="734">
        <f t="shared" si="3"/>
        <v>3.1353184193263814E-2</v>
      </c>
      <c r="AQ24" s="198" t="str">
        <f>'Variante données'!$A$119</f>
        <v>Lutte contre le feu bactérien</v>
      </c>
      <c r="AR24" s="13"/>
      <c r="AS24" s="11"/>
      <c r="AT24" s="291"/>
      <c r="AU24" s="105"/>
      <c r="AV24" s="29">
        <f>'Variante données'!$D$119*(1+'Page variable'!$C$34)</f>
        <v>1057</v>
      </c>
      <c r="AW24" s="734">
        <f t="shared" si="4"/>
        <v>3.1461704653421685E-2</v>
      </c>
      <c r="AX24" s="198" t="str">
        <f>'Variante données'!$A$119</f>
        <v>Lutte contre le feu bactérien</v>
      </c>
      <c r="AY24" s="13"/>
      <c r="AZ24" s="11"/>
      <c r="BA24" s="291"/>
      <c r="BB24" s="105"/>
      <c r="BC24" s="29">
        <f>'Variante données'!$D$119*(1+'Page variable'!$C$34)</f>
        <v>1057</v>
      </c>
      <c r="BD24" s="734">
        <f t="shared" si="5"/>
        <v>3.1572623843686067E-2</v>
      </c>
      <c r="BE24" s="198" t="str">
        <f>'Variante données'!$A$119</f>
        <v>Lutte contre le feu bactérien</v>
      </c>
      <c r="BF24" s="13"/>
      <c r="BG24" s="11"/>
      <c r="BH24" s="291"/>
      <c r="BI24" s="105"/>
      <c r="BJ24" s="29">
        <f>'Variante données'!$D$119*(1+'Page variable'!$C$34)</f>
        <v>1057</v>
      </c>
      <c r="BK24" s="734">
        <f t="shared" si="6"/>
        <v>3.1686009477138524E-2</v>
      </c>
      <c r="BL24" s="198" t="str">
        <f>'Variante données'!$A$119</f>
        <v>Lutte contre le feu bactérien</v>
      </c>
      <c r="BM24" s="13"/>
      <c r="BN24" s="11"/>
      <c r="BO24" s="291"/>
      <c r="BP24" s="105"/>
      <c r="BQ24" s="29">
        <f>'Variante données'!$D$119*(1+'Page variable'!$C$34)</f>
        <v>1057</v>
      </c>
      <c r="BR24" s="734">
        <f t="shared" si="7"/>
        <v>3.1801931752955495E-2</v>
      </c>
      <c r="BS24" s="198" t="str">
        <f>'Variante données'!$A$119</f>
        <v>Lutte contre le feu bactérien</v>
      </c>
      <c r="BT24" s="13"/>
      <c r="BU24" s="11"/>
      <c r="BV24" s="291"/>
      <c r="BW24" s="105"/>
      <c r="BX24" s="29">
        <f>'Variante données'!$D$119*(1+'Page variable'!$C$34)</f>
        <v>1057</v>
      </c>
      <c r="BY24" s="734">
        <f t="shared" si="8"/>
        <v>3.1898680581538927E-2</v>
      </c>
      <c r="BZ24" s="198" t="str">
        <f>'Variante données'!$A$119</f>
        <v>Lutte contre le feu bactérien</v>
      </c>
      <c r="CA24" s="13"/>
      <c r="CB24" s="11"/>
      <c r="CC24" s="291"/>
      <c r="CD24" s="105"/>
      <c r="CE24" s="29">
        <f>'Variante données'!$D$119*(1+'Page variable'!$C$34)</f>
        <v>1057</v>
      </c>
      <c r="CF24" s="734">
        <f t="shared" si="9"/>
        <v>3.1997484482914076E-2</v>
      </c>
      <c r="CG24" s="198" t="str">
        <f>'Variante données'!$A$119</f>
        <v>Lutte contre le feu bactérien</v>
      </c>
      <c r="CH24" s="13"/>
      <c r="CI24" s="11"/>
      <c r="CJ24" s="291"/>
      <c r="CK24" s="105"/>
      <c r="CL24" s="29">
        <f>'Variante données'!$D$119*(1+'Page variable'!$C$34)</f>
        <v>1057</v>
      </c>
      <c r="CM24" s="734">
        <f t="shared" si="10"/>
        <v>3.2098398333559708E-2</v>
      </c>
      <c r="CN24" s="198" t="str">
        <f>'Variante données'!$A$119</f>
        <v>Lutte contre le feu bactérien</v>
      </c>
      <c r="CO24" s="13"/>
      <c r="CP24" s="11"/>
      <c r="CQ24" s="291"/>
      <c r="CR24" s="105"/>
      <c r="CS24" s="29">
        <f>'Variante données'!$D$119*(1+'Page variable'!$C$34)</f>
        <v>1057</v>
      </c>
      <c r="CT24" s="734">
        <f t="shared" si="11"/>
        <v>3.2179310919617357E-2</v>
      </c>
      <c r="CU24" s="198" t="str">
        <f>'Variante données'!$A$119</f>
        <v>Lutte contre le feu bactérien</v>
      </c>
      <c r="CV24" s="13"/>
      <c r="CW24" s="11"/>
      <c r="CX24" s="291"/>
      <c r="CY24" s="105"/>
      <c r="CZ24" s="29">
        <f>'Variante données'!$D$119*(1+'Page variable'!$C$34)</f>
        <v>1057</v>
      </c>
      <c r="DA24" s="734">
        <f t="shared" si="12"/>
        <v>2.6920917114408954E-2</v>
      </c>
    </row>
    <row r="25" spans="1:105" ht="12.5" x14ac:dyDescent="0.25">
      <c r="A25" s="198" t="str">
        <f>'Variante données'!$A$120</f>
        <v>Insecticides</v>
      </c>
      <c r="B25" s="13"/>
      <c r="C25" s="11"/>
      <c r="D25" s="291"/>
      <c r="E25" s="105"/>
      <c r="F25" s="29">
        <f>'Variante données'!B120*(1+'Page variable'!$C$34)</f>
        <v>491</v>
      </c>
      <c r="G25" s="734">
        <f>F25/$F$76</f>
        <v>4.1889587777584177E-2</v>
      </c>
      <c r="H25" s="198" t="str">
        <f>'Variante données'!$A$120</f>
        <v>Insecticides</v>
      </c>
      <c r="I25" s="13"/>
      <c r="J25" s="11"/>
      <c r="K25" s="291"/>
      <c r="L25" s="105"/>
      <c r="M25" s="29">
        <f>'Variante données'!C120*(1+'Page variable'!$C$34)</f>
        <v>491</v>
      </c>
      <c r="N25" s="734">
        <f>M25/$M$76</f>
        <v>3.530895121790046E-2</v>
      </c>
      <c r="O25" s="198" t="str">
        <f>'Variante données'!$A$120</f>
        <v>Insecticides</v>
      </c>
      <c r="P25" s="13"/>
      <c r="Q25" s="11"/>
      <c r="R25" s="291"/>
      <c r="S25" s="105"/>
      <c r="T25" s="29">
        <f>'Variante données'!$D$120*(1+'Page variable'!$C$34)</f>
        <v>1241</v>
      </c>
      <c r="U25" s="734">
        <f t="shared" si="0"/>
        <v>4.7301077913545403E-2</v>
      </c>
      <c r="V25" s="198" t="str">
        <f>'Variante données'!$A$120</f>
        <v>Insecticides</v>
      </c>
      <c r="W25" s="13"/>
      <c r="X25" s="11"/>
      <c r="Y25" s="291"/>
      <c r="Z25" s="105"/>
      <c r="AA25" s="29">
        <f>'Variante données'!$D$120*(1+'Page variable'!$C$34)</f>
        <v>1241</v>
      </c>
      <c r="AB25" s="734">
        <f t="shared" si="1"/>
        <v>4.3507542757705145E-2</v>
      </c>
      <c r="AC25" s="198" t="str">
        <f>'Variante données'!$A$120</f>
        <v>Insecticides</v>
      </c>
      <c r="AD25" s="13"/>
      <c r="AE25" s="11"/>
      <c r="AF25" s="291"/>
      <c r="AG25" s="105"/>
      <c r="AH25" s="29">
        <f>'Variante données'!$D$120*(1+'Page variable'!$C$34)</f>
        <v>1241</v>
      </c>
      <c r="AI25" s="734">
        <f t="shared" si="2"/>
        <v>3.9819419820266599E-2</v>
      </c>
      <c r="AJ25" s="198" t="str">
        <f>'Variante données'!$A$120</f>
        <v>Insecticides</v>
      </c>
      <c r="AK25" s="13"/>
      <c r="AL25" s="11"/>
      <c r="AM25" s="291"/>
      <c r="AN25" s="105"/>
      <c r="AO25" s="29">
        <f>'Variante données'!$D$120*(1+'Page variable'!$C$34)</f>
        <v>1241</v>
      </c>
      <c r="AP25" s="734">
        <f t="shared" si="3"/>
        <v>3.681107056181683E-2</v>
      </c>
      <c r="AQ25" s="198" t="str">
        <f>'Variante données'!$A$120</f>
        <v>Insecticides</v>
      </c>
      <c r="AR25" s="13"/>
      <c r="AS25" s="11"/>
      <c r="AT25" s="291"/>
      <c r="AU25" s="105"/>
      <c r="AV25" s="29">
        <f>'Variante données'!$D$120*(1+'Page variable'!$C$34)</f>
        <v>1241</v>
      </c>
      <c r="AW25" s="734">
        <f t="shared" si="4"/>
        <v>3.6938482000847976E-2</v>
      </c>
      <c r="AX25" s="198" t="str">
        <f>'Variante données'!$A$120</f>
        <v>Insecticides</v>
      </c>
      <c r="AY25" s="13"/>
      <c r="AZ25" s="11"/>
      <c r="BA25" s="291"/>
      <c r="BB25" s="105"/>
      <c r="BC25" s="29">
        <f>'Variante données'!$D$120*(1+'Page variable'!$C$34)</f>
        <v>1241</v>
      </c>
      <c r="BD25" s="734">
        <f t="shared" si="5"/>
        <v>3.7068709735112969E-2</v>
      </c>
      <c r="BE25" s="198" t="str">
        <f>'Variante données'!$A$120</f>
        <v>Insecticides</v>
      </c>
      <c r="BF25" s="13"/>
      <c r="BG25" s="11"/>
      <c r="BH25" s="291"/>
      <c r="BI25" s="105"/>
      <c r="BJ25" s="29">
        <f>'Variante données'!$D$120*(1+'Page variable'!$C$34)</f>
        <v>1241</v>
      </c>
      <c r="BK25" s="734">
        <f t="shared" si="6"/>
        <v>3.7201833265022625E-2</v>
      </c>
      <c r="BL25" s="198" t="str">
        <f>'Variante données'!$A$120</f>
        <v>Insecticides</v>
      </c>
      <c r="BM25" s="13"/>
      <c r="BN25" s="11"/>
      <c r="BO25" s="291"/>
      <c r="BP25" s="105"/>
      <c r="BQ25" s="29">
        <f>'Variante données'!$D$120*(1+'Page variable'!$C$34)</f>
        <v>1241</v>
      </c>
      <c r="BR25" s="734">
        <f t="shared" si="7"/>
        <v>3.733793500985598E-2</v>
      </c>
      <c r="BS25" s="198" t="str">
        <f>'Variante données'!$A$120</f>
        <v>Insecticides</v>
      </c>
      <c r="BT25" s="13"/>
      <c r="BU25" s="11"/>
      <c r="BV25" s="291"/>
      <c r="BW25" s="105"/>
      <c r="BX25" s="29">
        <f>'Variante données'!$D$120*(1+'Page variable'!$C$34)</f>
        <v>1241</v>
      </c>
      <c r="BY25" s="734">
        <f t="shared" si="8"/>
        <v>3.7451525640198491E-2</v>
      </c>
      <c r="BZ25" s="198" t="str">
        <f>'Variante données'!$A$120</f>
        <v>Insecticides</v>
      </c>
      <c r="CA25" s="13"/>
      <c r="CB25" s="11"/>
      <c r="CC25" s="291"/>
      <c r="CD25" s="105"/>
      <c r="CE25" s="29">
        <f>'Variante données'!$D$120*(1+'Page variable'!$C$34)</f>
        <v>1241</v>
      </c>
      <c r="CF25" s="734">
        <f t="shared" si="9"/>
        <v>3.7567529085427029E-2</v>
      </c>
      <c r="CG25" s="198" t="str">
        <f>'Variante données'!$A$120</f>
        <v>Insecticides</v>
      </c>
      <c r="CH25" s="13"/>
      <c r="CI25" s="11"/>
      <c r="CJ25" s="291"/>
      <c r="CK25" s="105"/>
      <c r="CL25" s="29">
        <f>'Variante données'!$D$120*(1+'Page variable'!$C$34)</f>
        <v>1241</v>
      </c>
      <c r="CM25" s="734">
        <f t="shared" si="10"/>
        <v>3.7686009774784861E-2</v>
      </c>
      <c r="CN25" s="198" t="str">
        <f>'Variante données'!$A$120</f>
        <v>Insecticides</v>
      </c>
      <c r="CO25" s="13"/>
      <c r="CP25" s="11"/>
      <c r="CQ25" s="291"/>
      <c r="CR25" s="105"/>
      <c r="CS25" s="29">
        <f>'Variante données'!$D$120*(1+'Page variable'!$C$34)</f>
        <v>1241</v>
      </c>
      <c r="CT25" s="734">
        <f t="shared" si="11"/>
        <v>3.7781007427857283E-2</v>
      </c>
      <c r="CU25" s="198" t="str">
        <f>'Variante données'!$A$120</f>
        <v>Insecticides</v>
      </c>
      <c r="CV25" s="13"/>
      <c r="CW25" s="11"/>
      <c r="CX25" s="291"/>
      <c r="CY25" s="105"/>
      <c r="CZ25" s="29">
        <f>'Variante données'!$D$120*(1+'Page variable'!$C$34)</f>
        <v>1241</v>
      </c>
      <c r="DA25" s="734">
        <f t="shared" si="12"/>
        <v>3.1607245164599347E-2</v>
      </c>
    </row>
    <row r="26" spans="1:105" ht="12.5" x14ac:dyDescent="0.25">
      <c r="A26" s="198" t="str">
        <f>'Variante données'!$A$121</f>
        <v>Herbicides</v>
      </c>
      <c r="B26" s="13"/>
      <c r="C26" s="11"/>
      <c r="D26" s="291"/>
      <c r="E26" s="105"/>
      <c r="F26" s="29">
        <f>'Variante données'!B121*(1+'Page variable'!$C$34)</f>
        <v>0</v>
      </c>
      <c r="G26" s="734"/>
      <c r="H26" s="198" t="str">
        <f>'Variante données'!$A$121</f>
        <v>Herbicides</v>
      </c>
      <c r="I26" s="13"/>
      <c r="J26" s="11"/>
      <c r="K26" s="291"/>
      <c r="L26" s="105"/>
      <c r="M26" s="29">
        <f>'Variante données'!C121*(1+'Page variable'!$C$34)</f>
        <v>0</v>
      </c>
      <c r="N26" s="734"/>
      <c r="O26" s="198" t="str">
        <f>'Variante données'!$A$121</f>
        <v>Herbicides</v>
      </c>
      <c r="P26" s="13"/>
      <c r="Q26" s="11"/>
      <c r="R26" s="291"/>
      <c r="S26" s="105"/>
      <c r="T26" s="29">
        <f>'Variante données'!$D$121*(1+'Page variable'!$C$34)</f>
        <v>430</v>
      </c>
      <c r="U26" s="734">
        <f t="shared" si="0"/>
        <v>1.6389575747642646E-2</v>
      </c>
      <c r="V26" s="198" t="str">
        <f>'Variante données'!$A$121</f>
        <v>Herbicides</v>
      </c>
      <c r="W26" s="13"/>
      <c r="X26" s="11"/>
      <c r="Y26" s="291"/>
      <c r="Z26" s="105"/>
      <c r="AA26" s="29">
        <f>'Variante données'!$D$121*(1+'Page variable'!$C$34)</f>
        <v>430</v>
      </c>
      <c r="AB26" s="734">
        <f t="shared" si="1"/>
        <v>1.5075135685586794E-2</v>
      </c>
      <c r="AC26" s="198" t="str">
        <f>'Variante données'!$A$121</f>
        <v>Herbicides</v>
      </c>
      <c r="AD26" s="13"/>
      <c r="AE26" s="11"/>
      <c r="AF26" s="291"/>
      <c r="AG26" s="105"/>
      <c r="AH26" s="29">
        <f>'Variante données'!$D$121*(1+'Page variable'!$C$34)</f>
        <v>430</v>
      </c>
      <c r="AI26" s="734">
        <f t="shared" si="2"/>
        <v>1.3797220405088345E-2</v>
      </c>
      <c r="AJ26" s="198" t="str">
        <f>'Variante données'!$A$121</f>
        <v>Herbicides</v>
      </c>
      <c r="AK26" s="13"/>
      <c r="AL26" s="11"/>
      <c r="AM26" s="291"/>
      <c r="AN26" s="105"/>
      <c r="AO26" s="29">
        <f>'Variante données'!$D$121*(1+'Page variable'!$C$34)</f>
        <v>430</v>
      </c>
      <c r="AP26" s="734">
        <f t="shared" si="3"/>
        <v>1.2754843143901079E-2</v>
      </c>
      <c r="AQ26" s="198" t="str">
        <f>'Variante données'!$A$121</f>
        <v>Herbicides</v>
      </c>
      <c r="AR26" s="13"/>
      <c r="AS26" s="11"/>
      <c r="AT26" s="291"/>
      <c r="AU26" s="105"/>
      <c r="AV26" s="29">
        <f>'Variante données'!$D$121*(1+'Page variable'!$C$34)</f>
        <v>430</v>
      </c>
      <c r="AW26" s="734">
        <f t="shared" si="4"/>
        <v>1.2798990540181007E-2</v>
      </c>
      <c r="AX26" s="198" t="str">
        <f>'Variante données'!$A$121</f>
        <v>Herbicides</v>
      </c>
      <c r="AY26" s="13"/>
      <c r="AZ26" s="11"/>
      <c r="BA26" s="291"/>
      <c r="BB26" s="105"/>
      <c r="BC26" s="29">
        <f>'Variante données'!$D$121*(1+'Page variable'!$C$34)</f>
        <v>430</v>
      </c>
      <c r="BD26" s="734">
        <f t="shared" si="5"/>
        <v>1.2844113768008522E-2</v>
      </c>
      <c r="BE26" s="198" t="str">
        <f>'Variante données'!$A$121</f>
        <v>Herbicides</v>
      </c>
      <c r="BF26" s="13"/>
      <c r="BG26" s="11"/>
      <c r="BH26" s="291"/>
      <c r="BI26" s="105"/>
      <c r="BJ26" s="29">
        <f>'Variante données'!$D$121*(1+'Page variable'!$C$34)</f>
        <v>430</v>
      </c>
      <c r="BK26" s="734">
        <f t="shared" si="6"/>
        <v>1.2890240373859571E-2</v>
      </c>
      <c r="BL26" s="198" t="str">
        <f>'Variante données'!$A$121</f>
        <v>Herbicides</v>
      </c>
      <c r="BM26" s="13"/>
      <c r="BN26" s="11"/>
      <c r="BO26" s="291"/>
      <c r="BP26" s="105"/>
      <c r="BQ26" s="29">
        <f>'Variante données'!$D$121*(1+'Page variable'!$C$34)</f>
        <v>430</v>
      </c>
      <c r="BR26" s="734">
        <f t="shared" si="7"/>
        <v>1.2937398915582652E-2</v>
      </c>
      <c r="BS26" s="198" t="str">
        <f>'Variante données'!$A$121</f>
        <v>Herbicides</v>
      </c>
      <c r="BT26" s="13"/>
      <c r="BU26" s="11"/>
      <c r="BV26" s="291"/>
      <c r="BW26" s="105"/>
      <c r="BX26" s="29">
        <f>'Variante données'!$D$121*(1+'Page variable'!$C$34)</f>
        <v>430</v>
      </c>
      <c r="BY26" s="734">
        <f t="shared" si="8"/>
        <v>1.2976757474041379E-2</v>
      </c>
      <c r="BZ26" s="198" t="str">
        <f>'Variante données'!$A$121</f>
        <v>Herbicides</v>
      </c>
      <c r="CA26" s="13"/>
      <c r="CB26" s="11"/>
      <c r="CC26" s="291"/>
      <c r="CD26" s="105"/>
      <c r="CE26" s="29">
        <f>'Variante données'!$D$121*(1+'Page variable'!$C$34)</f>
        <v>430</v>
      </c>
      <c r="CF26" s="734">
        <f t="shared" si="9"/>
        <v>1.3016952060220487E-2</v>
      </c>
      <c r="CG26" s="198" t="str">
        <f>'Variante données'!$A$121</f>
        <v>Herbicides</v>
      </c>
      <c r="CH26" s="13"/>
      <c r="CI26" s="11"/>
      <c r="CJ26" s="291"/>
      <c r="CK26" s="105"/>
      <c r="CL26" s="29">
        <f>'Variante données'!$D$121*(1+'Page variable'!$C$34)</f>
        <v>430</v>
      </c>
      <c r="CM26" s="734">
        <f t="shared" si="10"/>
        <v>1.3058004998515301E-2</v>
      </c>
      <c r="CN26" s="198" t="str">
        <f>'Variante données'!$A$121</f>
        <v>Herbicides</v>
      </c>
      <c r="CO26" s="13"/>
      <c r="CP26" s="11"/>
      <c r="CQ26" s="291"/>
      <c r="CR26" s="105"/>
      <c r="CS26" s="29">
        <f>'Variante données'!$D$121*(1+'Page variable'!$C$34)</f>
        <v>430</v>
      </c>
      <c r="CT26" s="734">
        <f t="shared" si="11"/>
        <v>1.3090921187734594E-2</v>
      </c>
      <c r="CU26" s="198" t="str">
        <f>'Variante données'!$A$121</f>
        <v>Herbicides</v>
      </c>
      <c r="CV26" s="13"/>
      <c r="CW26" s="11"/>
      <c r="CX26" s="291"/>
      <c r="CY26" s="105"/>
      <c r="CZ26" s="29">
        <f>'Variante données'!$D$121*(1+'Page variable'!$C$34)</f>
        <v>430</v>
      </c>
      <c r="DA26" s="734">
        <f t="shared" si="12"/>
        <v>1.0951744899901465E-2</v>
      </c>
    </row>
    <row r="27" spans="1:105" ht="12.5" x14ac:dyDescent="0.25">
      <c r="A27" s="198" t="str">
        <f>'Variante données'!$A$122</f>
        <v>Régulation de la végétation</v>
      </c>
      <c r="B27" s="13"/>
      <c r="C27" s="11"/>
      <c r="D27" s="291"/>
      <c r="E27" s="105"/>
      <c r="F27" s="29">
        <f>'Variante données'!B122*(1+'Page variable'!$C$34)</f>
        <v>0</v>
      </c>
      <c r="G27" s="734">
        <f>F27/$F$76</f>
        <v>0</v>
      </c>
      <c r="H27" s="198" t="str">
        <f>'Variante données'!$A$122</f>
        <v>Régulation de la végétation</v>
      </c>
      <c r="I27" s="13"/>
      <c r="J27" s="11"/>
      <c r="K27" s="291"/>
      <c r="L27" s="105"/>
      <c r="M27" s="29">
        <f>'Variante données'!C122*(1+'Page variable'!$C$34)</f>
        <v>0</v>
      </c>
      <c r="N27" s="734">
        <f>M27/$M$76</f>
        <v>0</v>
      </c>
      <c r="O27" s="198" t="str">
        <f>'Variante données'!$A$122</f>
        <v>Régulation de la végétation</v>
      </c>
      <c r="P27" s="13"/>
      <c r="Q27" s="11"/>
      <c r="R27" s="291"/>
      <c r="S27" s="105"/>
      <c r="T27" s="29">
        <f>'Variante données'!$D$122*(1+'Page variable'!$C$34)</f>
        <v>10</v>
      </c>
      <c r="U27" s="734">
        <f t="shared" si="0"/>
        <v>3.8115292436378246E-4</v>
      </c>
      <c r="V27" s="198" t="str">
        <f>'Variante données'!$A$122</f>
        <v>Régulation de la végétation</v>
      </c>
      <c r="W27" s="13"/>
      <c r="X27" s="11"/>
      <c r="Y27" s="291"/>
      <c r="Z27" s="105"/>
      <c r="AA27" s="29">
        <f>'Variante données'!$D$122*(1+'Page variable'!$C$34)</f>
        <v>10</v>
      </c>
      <c r="AB27" s="734">
        <f t="shared" si="1"/>
        <v>3.5058455082759987E-4</v>
      </c>
      <c r="AC27" s="198" t="str">
        <f>'Variante données'!$A$122</f>
        <v>Régulation de la végétation</v>
      </c>
      <c r="AD27" s="13"/>
      <c r="AE27" s="11"/>
      <c r="AF27" s="291"/>
      <c r="AG27" s="105"/>
      <c r="AH27" s="29">
        <f>'Variante données'!$D$122*(1+'Page variable'!$C$34)</f>
        <v>10</v>
      </c>
      <c r="AI27" s="734">
        <f t="shared" si="2"/>
        <v>3.2086559081600803E-4</v>
      </c>
      <c r="AJ27" s="198" t="str">
        <f>'Variante données'!$A$122</f>
        <v>Régulation de la végétation</v>
      </c>
      <c r="AK27" s="13"/>
      <c r="AL27" s="11"/>
      <c r="AM27" s="291"/>
      <c r="AN27" s="105"/>
      <c r="AO27" s="29">
        <f>'Variante données'!$D$122*(1+'Page variable'!$C$34)</f>
        <v>10</v>
      </c>
      <c r="AP27" s="734">
        <f t="shared" si="3"/>
        <v>2.9662425916049021E-4</v>
      </c>
      <c r="AQ27" s="198" t="str">
        <f>'Variante données'!$A$122</f>
        <v>Régulation de la végétation</v>
      </c>
      <c r="AR27" s="13"/>
      <c r="AS27" s="11"/>
      <c r="AT27" s="291"/>
      <c r="AU27" s="105"/>
      <c r="AV27" s="29">
        <f>'Variante données'!$D$122*(1+'Page variable'!$C$34)</f>
        <v>10</v>
      </c>
      <c r="AW27" s="734">
        <f t="shared" si="4"/>
        <v>2.9765094279490714E-4</v>
      </c>
      <c r="AX27" s="198" t="str">
        <f>'Variante données'!$A$122</f>
        <v>Régulation de la végétation</v>
      </c>
      <c r="AY27" s="13"/>
      <c r="AZ27" s="11"/>
      <c r="BA27" s="291"/>
      <c r="BB27" s="105"/>
      <c r="BC27" s="29">
        <f>'Variante données'!$D$122*(1+'Page variable'!$C$34)</f>
        <v>10</v>
      </c>
      <c r="BD27" s="734">
        <f t="shared" si="5"/>
        <v>2.987003201862447E-4</v>
      </c>
      <c r="BE27" s="198" t="str">
        <f>'Variante données'!$A$122</f>
        <v>Régulation de la végétation</v>
      </c>
      <c r="BF27" s="13"/>
      <c r="BG27" s="11"/>
      <c r="BH27" s="291"/>
      <c r="BI27" s="105"/>
      <c r="BJ27" s="29">
        <f>'Variante données'!$D$122*(1+'Page variable'!$C$34)</f>
        <v>10</v>
      </c>
      <c r="BK27" s="734">
        <f t="shared" si="6"/>
        <v>2.9977303195022261E-4</v>
      </c>
      <c r="BL27" s="198" t="str">
        <f>'Variante données'!$A$122</f>
        <v>Régulation de la végétation</v>
      </c>
      <c r="BM27" s="13"/>
      <c r="BN27" s="11"/>
      <c r="BO27" s="291"/>
      <c r="BP27" s="105"/>
      <c r="BQ27" s="29">
        <f>'Variante données'!$D$122*(1+'Page variable'!$C$34)</f>
        <v>10</v>
      </c>
      <c r="BR27" s="734">
        <f t="shared" si="7"/>
        <v>3.008697422228524E-4</v>
      </c>
      <c r="BS27" s="198" t="str">
        <f>'Variante données'!$A$122</f>
        <v>Régulation de la végétation</v>
      </c>
      <c r="BT27" s="13"/>
      <c r="BU27" s="11"/>
      <c r="BV27" s="291"/>
      <c r="BW27" s="105"/>
      <c r="BX27" s="29">
        <f>'Variante données'!$D$122*(1+'Page variable'!$C$34)</f>
        <v>10</v>
      </c>
      <c r="BY27" s="734">
        <f t="shared" si="8"/>
        <v>3.0178505753584604E-4</v>
      </c>
      <c r="BZ27" s="198" t="str">
        <f>'Variante données'!$A$122</f>
        <v>Régulation de la végétation</v>
      </c>
      <c r="CA27" s="13"/>
      <c r="CB27" s="11"/>
      <c r="CC27" s="291"/>
      <c r="CD27" s="105"/>
      <c r="CE27" s="29">
        <f>'Variante données'!$D$122*(1+'Page variable'!$C$34)</f>
        <v>10</v>
      </c>
      <c r="CF27" s="734">
        <f t="shared" si="9"/>
        <v>3.0271981535396481E-4</v>
      </c>
      <c r="CG27" s="198" t="str">
        <f>'Variante données'!$A$122</f>
        <v>Régulation de la végétation</v>
      </c>
      <c r="CH27" s="13"/>
      <c r="CI27" s="11"/>
      <c r="CJ27" s="291"/>
      <c r="CK27" s="105"/>
      <c r="CL27" s="29">
        <f>'Variante données'!$D$122*(1+'Page variable'!$C$34)</f>
        <v>10</v>
      </c>
      <c r="CM27" s="734">
        <f t="shared" si="10"/>
        <v>3.0367453484919307E-4</v>
      </c>
      <c r="CN27" s="198" t="str">
        <f>'Variante données'!$A$122</f>
        <v>Régulation de la végétation</v>
      </c>
      <c r="CO27" s="13"/>
      <c r="CP27" s="11"/>
      <c r="CQ27" s="291"/>
      <c r="CR27" s="105"/>
      <c r="CS27" s="29">
        <f>'Variante données'!$D$122*(1+'Page variable'!$C$34)</f>
        <v>10</v>
      </c>
      <c r="CT27" s="734">
        <f t="shared" si="11"/>
        <v>3.0444002762173471E-4</v>
      </c>
      <c r="CU27" s="198" t="str">
        <f>'Variante données'!$A$122</f>
        <v>Régulation de la végétation</v>
      </c>
      <c r="CV27" s="13"/>
      <c r="CW27" s="11"/>
      <c r="CX27" s="291"/>
      <c r="CY27" s="105"/>
      <c r="CZ27" s="29">
        <f>'Variante données'!$D$122*(1+'Page variable'!$C$34)</f>
        <v>10</v>
      </c>
      <c r="DA27" s="734">
        <f t="shared" si="12"/>
        <v>2.5469174185817361E-4</v>
      </c>
    </row>
    <row r="28" spans="1:105" ht="13" thickBot="1" x14ac:dyDescent="0.3">
      <c r="A28" s="198" t="str">
        <f>'Variante données'!$A$123</f>
        <v>Fertilisation foliaire</v>
      </c>
      <c r="B28" s="13"/>
      <c r="C28" s="11"/>
      <c r="D28" s="291"/>
      <c r="E28" s="105"/>
      <c r="F28" s="758">
        <f>'Variante données'!B123*(1+'Page variable'!$C$35)</f>
        <v>0</v>
      </c>
      <c r="G28" s="734"/>
      <c r="H28" s="198" t="str">
        <f>'Variante données'!$A$123</f>
        <v>Fertilisation foliaire</v>
      </c>
      <c r="I28" s="13"/>
      <c r="J28" s="11"/>
      <c r="K28" s="291"/>
      <c r="L28" s="105"/>
      <c r="M28" s="758">
        <f>'Variante données'!C123*(1+'Page variable'!$C$34)</f>
        <v>0</v>
      </c>
      <c r="N28" s="734"/>
      <c r="O28" s="198" t="str">
        <f>'Variante données'!$A$123</f>
        <v>Fertilisation foliaire</v>
      </c>
      <c r="P28" s="13"/>
      <c r="Q28" s="11"/>
      <c r="R28" s="291"/>
      <c r="S28" s="105"/>
      <c r="T28" s="758">
        <f>'Variante données'!$D$123*(1+'Page variable'!$C$34)</f>
        <v>360</v>
      </c>
      <c r="U28" s="734">
        <f t="shared" si="0"/>
        <v>1.3721505277096167E-2</v>
      </c>
      <c r="V28" s="198" t="str">
        <f>'Variante données'!$A$123</f>
        <v>Fertilisation foliaire</v>
      </c>
      <c r="W28" s="13"/>
      <c r="X28" s="11"/>
      <c r="Y28" s="291"/>
      <c r="Z28" s="105"/>
      <c r="AA28" s="758">
        <f>'Variante données'!$D$123*(1+'Page variable'!$C$34)</f>
        <v>360</v>
      </c>
      <c r="AB28" s="734">
        <f t="shared" si="1"/>
        <v>1.2621043829793595E-2</v>
      </c>
      <c r="AC28" s="198" t="str">
        <f>'Variante données'!$A$123</f>
        <v>Fertilisation foliaire</v>
      </c>
      <c r="AD28" s="13"/>
      <c r="AE28" s="11"/>
      <c r="AF28" s="291"/>
      <c r="AG28" s="105"/>
      <c r="AH28" s="758">
        <f>'Variante données'!$D$123*(1+'Page variable'!$C$34)</f>
        <v>360</v>
      </c>
      <c r="AI28" s="734">
        <f t="shared" si="2"/>
        <v>1.1551161269376289E-2</v>
      </c>
      <c r="AJ28" s="198" t="str">
        <f>'Variante données'!$A$123</f>
        <v>Fertilisation foliaire</v>
      </c>
      <c r="AK28" s="13"/>
      <c r="AL28" s="11"/>
      <c r="AM28" s="291"/>
      <c r="AN28" s="105"/>
      <c r="AO28" s="758">
        <f>'Variante données'!$D$123*(1+'Page variable'!$C$34)</f>
        <v>360</v>
      </c>
      <c r="AP28" s="734">
        <f t="shared" si="3"/>
        <v>1.0678473329777647E-2</v>
      </c>
      <c r="AQ28" s="198" t="str">
        <f>'Variante données'!$A$123</f>
        <v>Fertilisation foliaire</v>
      </c>
      <c r="AR28" s="13"/>
      <c r="AS28" s="11"/>
      <c r="AT28" s="291"/>
      <c r="AU28" s="105"/>
      <c r="AV28" s="758">
        <f>'Variante données'!$D$123*(1+'Page variable'!$C$34)</f>
        <v>360</v>
      </c>
      <c r="AW28" s="734">
        <f t="shared" si="4"/>
        <v>1.0715433940616657E-2</v>
      </c>
      <c r="AX28" s="198" t="str">
        <f>'Variante données'!$A$123</f>
        <v>Fertilisation foliaire</v>
      </c>
      <c r="AY28" s="13"/>
      <c r="AZ28" s="11"/>
      <c r="BA28" s="291"/>
      <c r="BB28" s="105"/>
      <c r="BC28" s="758">
        <f>'Variante données'!$D$123*(1+'Page variable'!$C$34)</f>
        <v>360</v>
      </c>
      <c r="BD28" s="734">
        <f t="shared" si="5"/>
        <v>1.0753211526704809E-2</v>
      </c>
      <c r="BE28" s="198" t="str">
        <f>'Variante données'!$A$123</f>
        <v>Fertilisation foliaire</v>
      </c>
      <c r="BF28" s="13"/>
      <c r="BG28" s="11"/>
      <c r="BH28" s="291"/>
      <c r="BI28" s="105"/>
      <c r="BJ28" s="758">
        <f>'Variante données'!$D$123*(1+'Page variable'!$C$34)</f>
        <v>360</v>
      </c>
      <c r="BK28" s="734">
        <f t="shared" si="6"/>
        <v>1.0791829150208014E-2</v>
      </c>
      <c r="BL28" s="198" t="str">
        <f>'Variante données'!$A$123</f>
        <v>Fertilisation foliaire</v>
      </c>
      <c r="BM28" s="13"/>
      <c r="BN28" s="11"/>
      <c r="BO28" s="291"/>
      <c r="BP28" s="105"/>
      <c r="BQ28" s="758">
        <f>'Variante données'!$D$123*(1+'Page variable'!$C$34)</f>
        <v>360</v>
      </c>
      <c r="BR28" s="734">
        <f t="shared" si="7"/>
        <v>1.0831310720022686E-2</v>
      </c>
      <c r="BS28" s="198" t="str">
        <f>'Variante données'!$A$123</f>
        <v>Fertilisation foliaire</v>
      </c>
      <c r="BT28" s="13"/>
      <c r="BU28" s="11"/>
      <c r="BV28" s="291"/>
      <c r="BW28" s="105"/>
      <c r="BX28" s="758">
        <f>'Variante données'!$D$123*(1+'Page variable'!$C$34)</f>
        <v>360</v>
      </c>
      <c r="BY28" s="734">
        <f t="shared" si="8"/>
        <v>1.0864262071290457E-2</v>
      </c>
      <c r="BZ28" s="198" t="str">
        <f>'Variante données'!$A$123</f>
        <v>Fertilisation foliaire</v>
      </c>
      <c r="CA28" s="13"/>
      <c r="CB28" s="11"/>
      <c r="CC28" s="291"/>
      <c r="CD28" s="105"/>
      <c r="CE28" s="758">
        <f>'Variante données'!$D$123*(1+'Page variable'!$C$34)</f>
        <v>360</v>
      </c>
      <c r="CF28" s="734">
        <f t="shared" si="9"/>
        <v>1.0897913352742733E-2</v>
      </c>
      <c r="CG28" s="198" t="str">
        <f>'Variante données'!$A$123</f>
        <v>Fertilisation foliaire</v>
      </c>
      <c r="CH28" s="13"/>
      <c r="CI28" s="11"/>
      <c r="CJ28" s="291"/>
      <c r="CK28" s="105"/>
      <c r="CL28" s="758">
        <f>'Variante données'!$D$123*(1+'Page variable'!$C$34)</f>
        <v>360</v>
      </c>
      <c r="CM28" s="734">
        <f t="shared" si="10"/>
        <v>1.093228325457095E-2</v>
      </c>
      <c r="CN28" s="198" t="str">
        <f>'Variante données'!$A$123</f>
        <v>Fertilisation foliaire</v>
      </c>
      <c r="CO28" s="13"/>
      <c r="CP28" s="11"/>
      <c r="CQ28" s="291"/>
      <c r="CR28" s="105"/>
      <c r="CS28" s="758">
        <f>'Variante données'!$D$123*(1+'Page variable'!$C$34)</f>
        <v>360</v>
      </c>
      <c r="CT28" s="734">
        <f t="shared" si="11"/>
        <v>1.095984099438245E-2</v>
      </c>
      <c r="CU28" s="198" t="str">
        <f>'Variante données'!$A$123</f>
        <v>Fertilisation foliaire</v>
      </c>
      <c r="CV28" s="13"/>
      <c r="CW28" s="11"/>
      <c r="CX28" s="291"/>
      <c r="CY28" s="105"/>
      <c r="CZ28" s="758">
        <f>'Variante données'!$D$123*(1+'Page variable'!$C$34)</f>
        <v>360</v>
      </c>
      <c r="DA28" s="734">
        <f t="shared" si="12"/>
        <v>9.1689027068942511E-3</v>
      </c>
    </row>
    <row r="29" spans="1:105" s="1" customFormat="1" ht="16.5" customHeight="1" x14ac:dyDescent="0.3">
      <c r="A29" s="610"/>
      <c r="B29" s="296"/>
      <c r="C29" s="41"/>
      <c r="D29" s="41"/>
      <c r="E29" s="42"/>
      <c r="F29" s="80">
        <f>SUM(F23:F28)</f>
        <v>1700</v>
      </c>
      <c r="G29" s="730"/>
      <c r="H29" s="610"/>
      <c r="I29" s="296"/>
      <c r="J29" s="41"/>
      <c r="K29" s="41"/>
      <c r="L29" s="42"/>
      <c r="M29" s="80">
        <f>SUM(M23:M28)</f>
        <v>1700</v>
      </c>
      <c r="N29" s="730">
        <f>M29/$M$76</f>
        <v>0.12225095126360647</v>
      </c>
      <c r="O29" s="610"/>
      <c r="P29" s="296"/>
      <c r="Q29" s="41"/>
      <c r="R29" s="41"/>
      <c r="S29" s="42"/>
      <c r="T29" s="80">
        <f>SUM(T23:T28)</f>
        <v>5942</v>
      </c>
      <c r="U29" s="730">
        <f>T29/T$76</f>
        <v>0.22648106765695952</v>
      </c>
      <c r="V29" s="198"/>
      <c r="W29" s="1152"/>
      <c r="X29" s="41"/>
      <c r="Y29" s="41"/>
      <c r="Z29" s="42"/>
      <c r="AA29" s="80">
        <f>SUM(AA23:AA28)</f>
        <v>5942</v>
      </c>
      <c r="AB29" s="730">
        <f>AA29/AA$76</f>
        <v>0.20831734010175984</v>
      </c>
      <c r="AC29" s="610"/>
      <c r="AD29" s="296"/>
      <c r="AE29" s="41"/>
      <c r="AF29" s="41"/>
      <c r="AG29" s="42"/>
      <c r="AH29" s="80">
        <f>SUM(AH23:AH28)</f>
        <v>5942</v>
      </c>
      <c r="AI29" s="730">
        <f>AH29/AH$76</f>
        <v>0.19065833406287197</v>
      </c>
      <c r="AJ29" s="610"/>
      <c r="AK29" s="296"/>
      <c r="AL29" s="41"/>
      <c r="AM29" s="41"/>
      <c r="AN29" s="42"/>
      <c r="AO29" s="80">
        <f>SUM(AO23:AO28)</f>
        <v>5942</v>
      </c>
      <c r="AP29" s="730">
        <f>AO29/AO$76</f>
        <v>0.17625413479316326</v>
      </c>
      <c r="AQ29" s="610"/>
      <c r="AR29" s="296"/>
      <c r="AS29" s="41"/>
      <c r="AT29" s="41"/>
      <c r="AU29" s="42"/>
      <c r="AV29" s="80">
        <f>SUM(AV23:AV28)</f>
        <v>5942</v>
      </c>
      <c r="AW29" s="730">
        <f>AV29/AV$76</f>
        <v>0.17686419020873384</v>
      </c>
      <c r="AX29" s="610"/>
      <c r="AY29" s="296"/>
      <c r="AZ29" s="41"/>
      <c r="BA29" s="41"/>
      <c r="BB29" s="42"/>
      <c r="BC29" s="80">
        <f>SUM(BC23:BC28)</f>
        <v>5942</v>
      </c>
      <c r="BD29" s="730">
        <f>BC29/BC$76</f>
        <v>0.1774877302546666</v>
      </c>
      <c r="BE29" s="610"/>
      <c r="BF29" s="296"/>
      <c r="BG29" s="41"/>
      <c r="BH29" s="41"/>
      <c r="BI29" s="42"/>
      <c r="BJ29" s="80">
        <f>SUM(BJ23:BJ28)</f>
        <v>5942</v>
      </c>
      <c r="BK29" s="730">
        <f>BJ29/BJ$76</f>
        <v>0.17812513558482226</v>
      </c>
      <c r="BL29" s="610"/>
      <c r="BM29" s="296"/>
      <c r="BN29" s="41"/>
      <c r="BO29" s="41"/>
      <c r="BP29" s="42"/>
      <c r="BQ29" s="80">
        <f>SUM(BQ23:BQ28)</f>
        <v>5942</v>
      </c>
      <c r="BR29" s="730">
        <f>BQ29/BQ$76</f>
        <v>0.17877680082881889</v>
      </c>
      <c r="BS29" s="610"/>
      <c r="BT29" s="296"/>
      <c r="BU29" s="41"/>
      <c r="BV29" s="41"/>
      <c r="BW29" s="42"/>
      <c r="BX29" s="80">
        <f>SUM(BX23:BX28)</f>
        <v>5942</v>
      </c>
      <c r="BY29" s="730">
        <f>BX29/BX$76</f>
        <v>0.1793206811877997</v>
      </c>
      <c r="BZ29" s="610"/>
      <c r="CA29" s="296"/>
      <c r="CB29" s="41"/>
      <c r="CC29" s="41"/>
      <c r="CD29" s="42"/>
      <c r="CE29" s="80">
        <f>SUM(CE23:CE28)</f>
        <v>5942</v>
      </c>
      <c r="CF29" s="730">
        <f>CE29/CE$76</f>
        <v>0.17987611428332587</v>
      </c>
      <c r="CG29" s="610"/>
      <c r="CH29" s="296"/>
      <c r="CI29" s="41"/>
      <c r="CJ29" s="41"/>
      <c r="CK29" s="42"/>
      <c r="CL29" s="80">
        <f>SUM(CL23:CL28)</f>
        <v>5942</v>
      </c>
      <c r="CM29" s="730">
        <f>CL29/CL$76</f>
        <v>0.1804434086073905</v>
      </c>
      <c r="CN29" s="610"/>
      <c r="CO29" s="296"/>
      <c r="CP29" s="41"/>
      <c r="CQ29" s="41"/>
      <c r="CR29" s="42"/>
      <c r="CS29" s="80">
        <f>SUM(CS23:CS28)</f>
        <v>5942</v>
      </c>
      <c r="CT29" s="730">
        <f>CS29/CS$76</f>
        <v>0.18089826441283477</v>
      </c>
      <c r="CU29" s="610"/>
      <c r="CV29" s="296"/>
      <c r="CW29" s="41"/>
      <c r="CX29" s="41"/>
      <c r="CY29" s="42"/>
      <c r="CZ29" s="80">
        <f>SUM(CZ23:CZ28)</f>
        <v>5942</v>
      </c>
      <c r="DA29" s="730">
        <f>CZ29/CZ$76</f>
        <v>0.15133783301212678</v>
      </c>
    </row>
    <row r="30" spans="1:105" ht="16.5" customHeight="1" x14ac:dyDescent="0.3">
      <c r="A30" s="69" t="s">
        <v>544</v>
      </c>
      <c r="B30" s="1152">
        <f>'Page variable'!$D$38</f>
        <v>0</v>
      </c>
      <c r="C30" s="1150">
        <f>'Variante grêle'!$D$80</f>
        <v>0.112</v>
      </c>
      <c r="D30" s="10">
        <f>'Variante grêle'!$C80*(1+'Page variable'!$C$39)</f>
        <v>0</v>
      </c>
      <c r="E30" s="404">
        <f>'Variante grêle'!$E80</f>
        <v>0.8</v>
      </c>
      <c r="F30" s="109">
        <f>B30*C30*D30*E30</f>
        <v>0</v>
      </c>
      <c r="G30" s="730">
        <f>F30/F77</f>
        <v>0</v>
      </c>
      <c r="H30" s="69" t="str">
        <f>A30</f>
        <v>Assurance grêle</v>
      </c>
      <c r="I30" s="1152">
        <f>'Page variable'!$D$38</f>
        <v>0</v>
      </c>
      <c r="J30" s="1150">
        <f>'Variante grêle'!$D$80</f>
        <v>0.112</v>
      </c>
      <c r="K30" s="10">
        <f>'Variante grêle'!$C81*(1+'Page variable'!$C$39)</f>
        <v>3920.0000000000005</v>
      </c>
      <c r="L30" s="404">
        <f>'Variante grêle'!$E81</f>
        <v>0.8</v>
      </c>
      <c r="M30" s="109">
        <f>I30*J30*K30*L30</f>
        <v>0</v>
      </c>
      <c r="N30" s="734"/>
      <c r="O30" s="69" t="str">
        <f>H30</f>
        <v>Assurance grêle</v>
      </c>
      <c r="P30" s="1152">
        <f>'Page variable'!$D$38</f>
        <v>0</v>
      </c>
      <c r="Q30" s="1150">
        <f>'Variante grêle'!$D$80</f>
        <v>0.112</v>
      </c>
      <c r="R30" s="10">
        <f>'Variante grêle'!$C82*(1+'Page variable'!$C$39)</f>
        <v>14112.000000000002</v>
      </c>
      <c r="S30" s="404">
        <f>'Variante grêle'!$E82</f>
        <v>0.8</v>
      </c>
      <c r="T30" s="109">
        <f>P30*Q30*R30*S30</f>
        <v>0</v>
      </c>
      <c r="U30" s="734"/>
      <c r="V30" s="69" t="str">
        <f>O30</f>
        <v>Assurance grêle</v>
      </c>
      <c r="W30" s="1152">
        <f>'Page variable'!$D$38</f>
        <v>0</v>
      </c>
      <c r="X30" s="1150">
        <f>'Variante grêle'!$D$80</f>
        <v>0.112</v>
      </c>
      <c r="Y30" s="10">
        <f>'Variante grêle'!$C83*(1+'Page variable'!$C$39)</f>
        <v>19600</v>
      </c>
      <c r="Z30" s="404">
        <f>'Variante grêle'!$E83</f>
        <v>0.8</v>
      </c>
      <c r="AA30" s="109">
        <f>W30*X30*Y30*Z30</f>
        <v>0</v>
      </c>
      <c r="AB30" s="734"/>
      <c r="AC30" s="69" t="str">
        <f>V30</f>
        <v>Assurance grêle</v>
      </c>
      <c r="AD30" s="1152">
        <f>'Page variable'!$D$38</f>
        <v>0</v>
      </c>
      <c r="AE30" s="1150">
        <f>'Variante grêle'!$D$80</f>
        <v>0.112</v>
      </c>
      <c r="AF30" s="10">
        <f>'Variante grêle'!$C84*(1+'Page variable'!$C$39)</f>
        <v>27440.000000000004</v>
      </c>
      <c r="AG30" s="404">
        <f>'Variante grêle'!$E84</f>
        <v>0.8</v>
      </c>
      <c r="AH30" s="109">
        <f>AD30*AE30*AF30*AG30</f>
        <v>0</v>
      </c>
      <c r="AI30" s="734"/>
      <c r="AJ30" s="69" t="str">
        <f>AC30</f>
        <v>Assurance grêle</v>
      </c>
      <c r="AK30" s="1152">
        <f>'Page variable'!$D$38</f>
        <v>0</v>
      </c>
      <c r="AL30" s="1150">
        <f>'Variante grêle'!$D$80</f>
        <v>0.112</v>
      </c>
      <c r="AM30" s="10">
        <f>'Variante grêle'!$C85*(1+'Page variable'!$C$39)</f>
        <v>35280</v>
      </c>
      <c r="AN30" s="404">
        <f>'Variante grêle'!$E85</f>
        <v>0.8</v>
      </c>
      <c r="AO30" s="109">
        <f>AK30*AL30*AM30*AN30</f>
        <v>0</v>
      </c>
      <c r="AP30" s="734"/>
      <c r="AQ30" s="69" t="str">
        <f>AJ30</f>
        <v>Assurance grêle</v>
      </c>
      <c r="AR30" s="1152">
        <f>'Page variable'!$D$38</f>
        <v>0</v>
      </c>
      <c r="AS30" s="1150">
        <f>'Variante grêle'!$D$80</f>
        <v>0.112</v>
      </c>
      <c r="AT30" s="10">
        <f>'Variante grêle'!$C86*(1+'Page variable'!$C$39)</f>
        <v>35280</v>
      </c>
      <c r="AU30" s="404">
        <f>'Variante grêle'!$E86</f>
        <v>0.8</v>
      </c>
      <c r="AV30" s="109">
        <f>AR30*AS30*AT30*AU30</f>
        <v>0</v>
      </c>
      <c r="AW30" s="734"/>
      <c r="AX30" s="69" t="str">
        <f>AQ30</f>
        <v>Assurance grêle</v>
      </c>
      <c r="AY30" s="1152">
        <f>'Page variable'!$D$38</f>
        <v>0</v>
      </c>
      <c r="AZ30" s="1150">
        <f>'Variante grêle'!$D$80</f>
        <v>0.112</v>
      </c>
      <c r="BA30" s="10">
        <f>'Variante grêle'!$C87*(1+'Page variable'!$C$39)</f>
        <v>35280</v>
      </c>
      <c r="BB30" s="404">
        <f>'Variante grêle'!$E87</f>
        <v>0.8</v>
      </c>
      <c r="BC30" s="109">
        <f>AY30*AZ30*BA30*BB30</f>
        <v>0</v>
      </c>
      <c r="BD30" s="734"/>
      <c r="BE30" s="69" t="str">
        <f>AX30</f>
        <v>Assurance grêle</v>
      </c>
      <c r="BF30" s="1152">
        <f>'Page variable'!$D$38</f>
        <v>0</v>
      </c>
      <c r="BG30" s="1150">
        <f>'Variante grêle'!$D$80</f>
        <v>0.112</v>
      </c>
      <c r="BH30" s="10">
        <f>'Variante grêle'!$C88*(1+'Page variable'!$C$39)</f>
        <v>35280</v>
      </c>
      <c r="BI30" s="404">
        <f>'Variante grêle'!$E80</f>
        <v>0.8</v>
      </c>
      <c r="BJ30" s="109">
        <f>BF30*BG30*BH30*BI30</f>
        <v>0</v>
      </c>
      <c r="BK30" s="734"/>
      <c r="BL30" s="69" t="str">
        <f>BE30</f>
        <v>Assurance grêle</v>
      </c>
      <c r="BM30" s="1152">
        <f>'Page variable'!$D$38</f>
        <v>0</v>
      </c>
      <c r="BN30" s="1150">
        <f>'Variante grêle'!$D$80</f>
        <v>0.112</v>
      </c>
      <c r="BO30" s="10">
        <f>'Variante grêle'!$C89*(1+'Page variable'!$C$39)</f>
        <v>32760.000000000007</v>
      </c>
      <c r="BP30" s="404">
        <f>'Variante grêle'!$E89</f>
        <v>0.8</v>
      </c>
      <c r="BQ30" s="109">
        <f>BM30*BN30*BO30*BP30</f>
        <v>0</v>
      </c>
      <c r="BR30" s="734"/>
      <c r="BS30" s="69" t="str">
        <f>BL30</f>
        <v>Assurance grêle</v>
      </c>
      <c r="BT30" s="1152">
        <f>'Page variable'!$D$38</f>
        <v>0</v>
      </c>
      <c r="BU30" s="1150">
        <f>'Variante grêle'!$D$80</f>
        <v>0.112</v>
      </c>
      <c r="BV30" s="10">
        <f>'Variante grêle'!$C90*(1+'Page variable'!$C$39)</f>
        <v>32760.000000000007</v>
      </c>
      <c r="BW30" s="404">
        <f>'Variante grêle'!$E90</f>
        <v>0.8</v>
      </c>
      <c r="BX30" s="109">
        <f>BT30*BU30*BV30*BW30</f>
        <v>0</v>
      </c>
      <c r="BY30" s="734"/>
      <c r="BZ30" s="69" t="str">
        <f>BS30</f>
        <v>Assurance grêle</v>
      </c>
      <c r="CA30" s="1152">
        <f>'Page variable'!$D$38</f>
        <v>0</v>
      </c>
      <c r="CB30" s="1150">
        <f>'Variante grêle'!$D$80</f>
        <v>0.112</v>
      </c>
      <c r="CC30" s="10">
        <f>'Variante grêle'!$C91*(1+'Page variable'!$C$39)</f>
        <v>32760.000000000007</v>
      </c>
      <c r="CD30" s="404">
        <f>'Variante grêle'!$E91</f>
        <v>0.8</v>
      </c>
      <c r="CE30" s="109">
        <f>CA30*CB30*CC30*CD30</f>
        <v>0</v>
      </c>
      <c r="CF30" s="734"/>
      <c r="CG30" s="69" t="str">
        <f>BZ30</f>
        <v>Assurance grêle</v>
      </c>
      <c r="CH30" s="1152">
        <f>'Page variable'!$D$38</f>
        <v>0</v>
      </c>
      <c r="CI30" s="1150">
        <f>'Variante grêle'!$D$80</f>
        <v>0.112</v>
      </c>
      <c r="CJ30" s="10">
        <f>'Variante grêle'!$C92*(1+'Page variable'!$C$39)</f>
        <v>30240.000000000004</v>
      </c>
      <c r="CK30" s="404">
        <f>'Variante grêle'!$E92</f>
        <v>0.8</v>
      </c>
      <c r="CL30" s="109">
        <f>CH30*CI30*CJ30*CK30</f>
        <v>0</v>
      </c>
      <c r="CM30" s="734"/>
      <c r="CN30" s="69" t="str">
        <f>CG30</f>
        <v>Assurance grêle</v>
      </c>
      <c r="CO30" s="1152">
        <f>'Page variable'!$D$38</f>
        <v>0</v>
      </c>
      <c r="CP30" s="1150">
        <f>'Variante grêle'!$D$80</f>
        <v>0.112</v>
      </c>
      <c r="CQ30" s="10">
        <f>'Variante grêle'!$C93*(1+'Page variable'!$C$39)</f>
        <v>30240.000000000004</v>
      </c>
      <c r="CR30" s="404">
        <f>'Variante grêle'!$E93</f>
        <v>0.8</v>
      </c>
      <c r="CS30" s="109">
        <f>CO30*CP30*CQ30*CR30</f>
        <v>0</v>
      </c>
      <c r="CT30" s="734"/>
      <c r="CU30" s="69" t="str">
        <f>CN30</f>
        <v>Assurance grêle</v>
      </c>
      <c r="CV30" s="1152">
        <f>'Page variable'!$D$38</f>
        <v>0</v>
      </c>
      <c r="CW30" s="1150">
        <f>'Variante grêle'!$D$80</f>
        <v>0.112</v>
      </c>
      <c r="CX30" s="10">
        <f>'Variante grêle'!$C94*(1+'Page variable'!$C$39)</f>
        <v>30240.000000000004</v>
      </c>
      <c r="CY30" s="404">
        <f>'Variante grêle'!$E94</f>
        <v>0.8</v>
      </c>
      <c r="CZ30" s="109">
        <f>CV30*CW30*CX30*CY30</f>
        <v>0</v>
      </c>
      <c r="DA30" s="734">
        <f>CV30*CW30</f>
        <v>0</v>
      </c>
    </row>
    <row r="31" spans="1:105" ht="16.5" customHeight="1" x14ac:dyDescent="0.3">
      <c r="A31" s="69" t="s">
        <v>521</v>
      </c>
      <c r="B31" s="1152"/>
      <c r="C31" s="1150"/>
      <c r="E31" s="404"/>
      <c r="F31" s="109">
        <f>'Variante irrigation'!$J$29+'Variante irrigation'!$H$84+'Variante irrigation'!$H$142</f>
        <v>442</v>
      </c>
      <c r="G31" s="730"/>
      <c r="H31" s="69" t="s">
        <v>521</v>
      </c>
      <c r="I31" s="1152"/>
      <c r="J31" s="1150"/>
      <c r="K31" s="10"/>
      <c r="L31" s="404"/>
      <c r="M31" s="109">
        <f>'Variante irrigation'!$J$29+'Variante irrigation'!$H$84+'Variante irrigation'!$H$142</f>
        <v>442</v>
      </c>
      <c r="N31" s="734"/>
      <c r="O31" s="69" t="s">
        <v>521</v>
      </c>
      <c r="P31" s="1152"/>
      <c r="Q31" s="1150"/>
      <c r="R31" s="10"/>
      <c r="S31" s="404"/>
      <c r="T31" s="109">
        <f>'Variante irrigation'!$J$29+'Variante irrigation'!$H$84+'Variante irrigation'!$H$142</f>
        <v>442</v>
      </c>
      <c r="U31" s="734"/>
      <c r="V31" s="69" t="s">
        <v>521</v>
      </c>
      <c r="W31" s="1152"/>
      <c r="X31" s="1150"/>
      <c r="Y31" s="10"/>
      <c r="Z31" s="404"/>
      <c r="AA31" s="109">
        <f>'Variante irrigation'!$J$29+'Variante irrigation'!$H$84+'Variante irrigation'!$H$142</f>
        <v>442</v>
      </c>
      <c r="AB31" s="734"/>
      <c r="AC31" s="69" t="s">
        <v>521</v>
      </c>
      <c r="AD31" s="1152"/>
      <c r="AE31" s="1150"/>
      <c r="AF31" s="10"/>
      <c r="AG31" s="404"/>
      <c r="AH31" s="109">
        <f>'Variante irrigation'!$J$29+'Variante irrigation'!$H$84+'Variante irrigation'!$H$142</f>
        <v>442</v>
      </c>
      <c r="AI31" s="734"/>
      <c r="AJ31" s="69" t="s">
        <v>521</v>
      </c>
      <c r="AK31" s="1152"/>
      <c r="AL31" s="1150"/>
      <c r="AM31" s="10"/>
      <c r="AN31" s="404"/>
      <c r="AO31" s="109">
        <f>'Variante irrigation'!$J$29+'Variante irrigation'!$H$84+'Variante irrigation'!$H$142</f>
        <v>442</v>
      </c>
      <c r="AP31" s="734"/>
      <c r="AQ31" s="69" t="s">
        <v>521</v>
      </c>
      <c r="AR31" s="1152"/>
      <c r="AS31" s="1150"/>
      <c r="AT31" s="10"/>
      <c r="AU31" s="404"/>
      <c r="AV31" s="109">
        <f>'Variante irrigation'!$J$29+'Variante irrigation'!$H$84+'Variante irrigation'!$H$142</f>
        <v>442</v>
      </c>
      <c r="AW31" s="734"/>
      <c r="AX31" s="69" t="s">
        <v>521</v>
      </c>
      <c r="AY31" s="1152"/>
      <c r="AZ31" s="1150"/>
      <c r="BA31" s="10"/>
      <c r="BB31" s="404"/>
      <c r="BC31" s="109">
        <f>'Variante irrigation'!$J$29+'Variante irrigation'!$H$84+'Variante irrigation'!$H$142</f>
        <v>442</v>
      </c>
      <c r="BD31" s="734"/>
      <c r="BE31" s="69" t="s">
        <v>521</v>
      </c>
      <c r="BF31" s="1152"/>
      <c r="BG31" s="1150"/>
      <c r="BH31" s="10"/>
      <c r="BI31" s="404"/>
      <c r="BJ31" s="109">
        <f>'Variante irrigation'!$J$29+'Variante irrigation'!$H$84+'Variante irrigation'!$H$142</f>
        <v>442</v>
      </c>
      <c r="BK31" s="734"/>
      <c r="BL31" s="69" t="s">
        <v>521</v>
      </c>
      <c r="BM31" s="1152"/>
      <c r="BN31" s="1150"/>
      <c r="BO31" s="10"/>
      <c r="BP31" s="404"/>
      <c r="BQ31" s="109">
        <f>'Variante irrigation'!$J$29+'Variante irrigation'!$H$84+'Variante irrigation'!$H$142</f>
        <v>442</v>
      </c>
      <c r="BR31" s="734"/>
      <c r="BS31" s="69" t="s">
        <v>521</v>
      </c>
      <c r="BT31" s="1152"/>
      <c r="BU31" s="1150"/>
      <c r="BV31" s="10"/>
      <c r="BW31" s="404"/>
      <c r="BX31" s="109">
        <f>'Variante irrigation'!$J$29+'Variante irrigation'!$H$84+'Variante irrigation'!$H$142</f>
        <v>442</v>
      </c>
      <c r="BY31" s="734"/>
      <c r="BZ31" s="69" t="s">
        <v>521</v>
      </c>
      <c r="CA31" s="1152"/>
      <c r="CB31" s="1150"/>
      <c r="CC31" s="10"/>
      <c r="CD31" s="404"/>
      <c r="CE31" s="109">
        <f>'Variante irrigation'!$J$29+'Variante irrigation'!$H$84+'Variante irrigation'!$H$142</f>
        <v>442</v>
      </c>
      <c r="CF31" s="734"/>
      <c r="CG31" s="69" t="s">
        <v>521</v>
      </c>
      <c r="CH31" s="1152"/>
      <c r="CI31" s="1150"/>
      <c r="CJ31" s="10"/>
      <c r="CK31" s="404"/>
      <c r="CL31" s="109">
        <f>'Variante irrigation'!$J$29+'Variante irrigation'!$H$84+'Variante irrigation'!$H$142</f>
        <v>442</v>
      </c>
      <c r="CM31" s="734"/>
      <c r="CN31" s="69" t="s">
        <v>521</v>
      </c>
      <c r="CO31" s="1152"/>
      <c r="CP31" s="1150"/>
      <c r="CQ31" s="10"/>
      <c r="CR31" s="404"/>
      <c r="CS31" s="109">
        <f>'Variante irrigation'!$J$29+'Variante irrigation'!$H$84+'Variante irrigation'!$H$142</f>
        <v>442</v>
      </c>
      <c r="CT31" s="734"/>
      <c r="CU31" s="69" t="s">
        <v>521</v>
      </c>
      <c r="CV31" s="1152"/>
      <c r="CW31" s="1150"/>
      <c r="CX31" s="10"/>
      <c r="CY31" s="404"/>
      <c r="CZ31" s="109">
        <f>'Variante irrigation'!$J$29+'Variante irrigation'!$H$84+'Variante irrigation'!$H$142</f>
        <v>442</v>
      </c>
      <c r="DA31" s="734"/>
    </row>
    <row r="32" spans="1:105" s="1" customFormat="1" ht="16.5" customHeight="1" x14ac:dyDescent="0.3">
      <c r="A32" s="69" t="s">
        <v>372</v>
      </c>
      <c r="B32" s="296"/>
      <c r="C32" s="11"/>
      <c r="D32" s="11"/>
      <c r="E32" s="105"/>
      <c r="F32" s="109"/>
      <c r="G32" s="734"/>
      <c r="H32" s="69" t="s">
        <v>372</v>
      </c>
      <c r="I32" s="296"/>
      <c r="J32" s="11"/>
      <c r="K32" s="11"/>
      <c r="L32" s="105"/>
      <c r="M32" s="109"/>
      <c r="N32" s="734"/>
      <c r="O32" s="69" t="s">
        <v>372</v>
      </c>
      <c r="P32" s="296"/>
      <c r="Q32" s="11"/>
      <c r="R32" s="11"/>
      <c r="S32" s="105"/>
      <c r="T32" s="109"/>
      <c r="U32" s="734"/>
      <c r="V32" s="69" t="s">
        <v>372</v>
      </c>
      <c r="W32" s="296"/>
      <c r="X32" s="11"/>
      <c r="Y32" s="11"/>
      <c r="Z32" s="105"/>
      <c r="AA32" s="109"/>
      <c r="AB32" s="734"/>
      <c r="AC32" s="69" t="s">
        <v>372</v>
      </c>
      <c r="AD32" s="296"/>
      <c r="AE32" s="11"/>
      <c r="AF32" s="11"/>
      <c r="AG32" s="105"/>
      <c r="AH32" s="109"/>
      <c r="AI32" s="734"/>
      <c r="AJ32" s="69" t="s">
        <v>372</v>
      </c>
      <c r="AK32" s="296"/>
      <c r="AL32" s="11"/>
      <c r="AM32" s="11"/>
      <c r="AN32" s="105"/>
      <c r="AO32" s="109"/>
      <c r="AP32" s="734"/>
      <c r="AQ32" s="69" t="s">
        <v>372</v>
      </c>
      <c r="AR32" s="296"/>
      <c r="AS32" s="11"/>
      <c r="AT32" s="11"/>
      <c r="AU32" s="105"/>
      <c r="AV32" s="109"/>
      <c r="AW32" s="734"/>
      <c r="AX32" s="69" t="s">
        <v>372</v>
      </c>
      <c r="AY32" s="296"/>
      <c r="AZ32" s="11"/>
      <c r="BA32" s="11"/>
      <c r="BB32" s="105"/>
      <c r="BC32" s="109"/>
      <c r="BD32" s="734"/>
      <c r="BE32" s="69" t="s">
        <v>372</v>
      </c>
      <c r="BF32" s="296"/>
      <c r="BG32" s="11"/>
      <c r="BH32" s="11"/>
      <c r="BI32" s="105"/>
      <c r="BJ32" s="109"/>
      <c r="BK32" s="734"/>
      <c r="BL32" s="69" t="s">
        <v>372</v>
      </c>
      <c r="BM32" s="296"/>
      <c r="BN32" s="11"/>
      <c r="BO32" s="11"/>
      <c r="BP32" s="105"/>
      <c r="BQ32" s="109"/>
      <c r="BR32" s="734"/>
      <c r="BS32" s="69" t="s">
        <v>372</v>
      </c>
      <c r="BT32" s="296"/>
      <c r="BU32" s="11"/>
      <c r="BV32" s="11"/>
      <c r="BW32" s="105"/>
      <c r="BX32" s="109"/>
      <c r="BY32" s="734"/>
      <c r="BZ32" s="69" t="s">
        <v>372</v>
      </c>
      <c r="CA32" s="296"/>
      <c r="CB32" s="11"/>
      <c r="CC32" s="11"/>
      <c r="CD32" s="105"/>
      <c r="CE32" s="109"/>
      <c r="CF32" s="734"/>
      <c r="CG32" s="69" t="s">
        <v>372</v>
      </c>
      <c r="CH32" s="296"/>
      <c r="CI32" s="11"/>
      <c r="CJ32" s="11"/>
      <c r="CK32" s="105"/>
      <c r="CL32" s="109"/>
      <c r="CM32" s="734"/>
      <c r="CN32" s="69" t="s">
        <v>372</v>
      </c>
      <c r="CO32" s="296"/>
      <c r="CP32" s="11"/>
      <c r="CQ32" s="11"/>
      <c r="CR32" s="105"/>
      <c r="CS32" s="109"/>
      <c r="CT32" s="734"/>
      <c r="CU32" s="69" t="s">
        <v>372</v>
      </c>
      <c r="CV32" s="296"/>
      <c r="CW32" s="11"/>
      <c r="CX32" s="11"/>
      <c r="CY32" s="105"/>
      <c r="CZ32" s="109"/>
      <c r="DA32" s="734"/>
    </row>
    <row r="33" spans="1:105" s="1" customFormat="1" ht="18" customHeight="1" x14ac:dyDescent="0.25">
      <c r="A33" s="1503" t="s">
        <v>410</v>
      </c>
      <c r="B33" s="18" t="str">
        <f>'Variante données'!$F$38</f>
        <v>Catégorie I+II</v>
      </c>
      <c r="C33" s="18"/>
      <c r="D33" s="39" t="s">
        <v>245</v>
      </c>
      <c r="E33" s="42">
        <f>'Variante données'!$G$38</f>
        <v>300</v>
      </c>
      <c r="F33" s="1035">
        <f>'Variante données'!$G$38</f>
        <v>300</v>
      </c>
      <c r="G33" s="733">
        <f>F33/F76</f>
        <v>2.5594452817261207E-2</v>
      </c>
      <c r="H33" s="1503" t="s">
        <v>410</v>
      </c>
      <c r="I33" s="18" t="str">
        <f>'Variante données'!$F$38</f>
        <v>Catégorie I+II</v>
      </c>
      <c r="J33" s="18"/>
      <c r="K33" s="39" t="str">
        <f>R33</f>
        <v>par ha</v>
      </c>
      <c r="L33" s="42">
        <f>'Variante données'!$G$38</f>
        <v>300</v>
      </c>
      <c r="M33" s="1035">
        <f>'Variante données'!$G$38</f>
        <v>300</v>
      </c>
      <c r="N33" s="733">
        <f>M33/M76</f>
        <v>2.1573697281812906E-2</v>
      </c>
      <c r="O33" s="1503" t="s">
        <v>410</v>
      </c>
      <c r="P33" s="18" t="str">
        <f>'Variante données'!$F$38</f>
        <v>Catégorie I+II</v>
      </c>
      <c r="Q33" s="18"/>
      <c r="R33" s="39" t="str">
        <f>Y33</f>
        <v>par ha</v>
      </c>
      <c r="S33" s="42">
        <f>'Variante données'!$G$38</f>
        <v>300</v>
      </c>
      <c r="T33" s="1035">
        <f>'Variante données'!$G$38</f>
        <v>300</v>
      </c>
      <c r="U33" s="733">
        <f>T33/T76</f>
        <v>1.1434587730913473E-2</v>
      </c>
      <c r="V33" s="1503" t="s">
        <v>410</v>
      </c>
      <c r="W33" s="18" t="str">
        <f>'Variante données'!$F$38</f>
        <v>Catégorie I+II</v>
      </c>
      <c r="X33" s="18"/>
      <c r="Y33" s="39" t="str">
        <f>AF33</f>
        <v>par ha</v>
      </c>
      <c r="Z33" s="42">
        <f>'Variante données'!$G$38</f>
        <v>300</v>
      </c>
      <c r="AA33" s="1035">
        <f>'Variante données'!$G$38</f>
        <v>300</v>
      </c>
      <c r="AB33" s="733">
        <f>AA33/AA76</f>
        <v>1.0517536524827996E-2</v>
      </c>
      <c r="AC33" s="1503" t="s">
        <v>410</v>
      </c>
      <c r="AD33" s="18" t="str">
        <f>'Variante données'!$F$38</f>
        <v>Catégorie I+II</v>
      </c>
      <c r="AE33" s="18"/>
      <c r="AF33" s="39" t="str">
        <f>AM33</f>
        <v>par ha</v>
      </c>
      <c r="AG33" s="42">
        <f>'Variante données'!$G$38</f>
        <v>300</v>
      </c>
      <c r="AH33" s="1035">
        <f>'Variante données'!$G$38</f>
        <v>300</v>
      </c>
      <c r="AI33" s="733">
        <f>AH33/AH76</f>
        <v>9.6259677244802406E-3</v>
      </c>
      <c r="AJ33" s="1503" t="s">
        <v>410</v>
      </c>
      <c r="AK33" s="18" t="str">
        <f>'Variante données'!$F$38</f>
        <v>Catégorie I+II</v>
      </c>
      <c r="AL33" s="18"/>
      <c r="AM33" s="39" t="str">
        <f>AT33</f>
        <v>par ha</v>
      </c>
      <c r="AN33" s="42">
        <f>'Variante données'!$G$38</f>
        <v>300</v>
      </c>
      <c r="AO33" s="1035">
        <f>'Variante données'!$G$38</f>
        <v>300</v>
      </c>
      <c r="AP33" s="733">
        <f>AO33/AO76</f>
        <v>8.8987277748147058E-3</v>
      </c>
      <c r="AQ33" s="1503" t="s">
        <v>410</v>
      </c>
      <c r="AR33" s="18" t="str">
        <f>'Variante données'!$F$38</f>
        <v>Catégorie I+II</v>
      </c>
      <c r="AS33" s="18"/>
      <c r="AT33" s="39" t="str">
        <f>BA33</f>
        <v>par ha</v>
      </c>
      <c r="AU33" s="42">
        <f>'Variante données'!$G$38</f>
        <v>300</v>
      </c>
      <c r="AV33" s="1035">
        <f>'Variante données'!$G$38</f>
        <v>300</v>
      </c>
      <c r="AW33" s="733">
        <f>AV33/AV76</f>
        <v>8.9295282838472156E-3</v>
      </c>
      <c r="AX33" s="1503" t="s">
        <v>410</v>
      </c>
      <c r="AY33" s="18" t="str">
        <f>'Variante données'!$F$38</f>
        <v>Catégorie I+II</v>
      </c>
      <c r="AZ33" s="18"/>
      <c r="BA33" s="39" t="str">
        <f>BH33</f>
        <v>par ha</v>
      </c>
      <c r="BB33" s="42">
        <f>'Variante données'!$G$38</f>
        <v>300</v>
      </c>
      <c r="BC33" s="1035">
        <f>'Variante données'!$G$38</f>
        <v>300</v>
      </c>
      <c r="BD33" s="733">
        <f>BC33/BC76</f>
        <v>8.9610096055873414E-3</v>
      </c>
      <c r="BE33" s="1503" t="s">
        <v>410</v>
      </c>
      <c r="BF33" s="18" t="str">
        <f>'Variante données'!$F$38</f>
        <v>Catégorie I+II</v>
      </c>
      <c r="BG33" s="18"/>
      <c r="BH33" s="39" t="str">
        <f>BO33</f>
        <v>par ha</v>
      </c>
      <c r="BI33" s="42">
        <f>'Variante données'!$G$38</f>
        <v>300</v>
      </c>
      <c r="BJ33" s="1035">
        <f>'Variante données'!$G$38</f>
        <v>300</v>
      </c>
      <c r="BK33" s="733">
        <f>BJ33/BJ76</f>
        <v>8.9931909585066784E-3</v>
      </c>
      <c r="BL33" s="1503" t="s">
        <v>410</v>
      </c>
      <c r="BM33" s="18" t="str">
        <f>'Variante données'!$F$38</f>
        <v>Catégorie I+II</v>
      </c>
      <c r="BN33" s="18"/>
      <c r="BO33" s="39" t="str">
        <f>BV33</f>
        <v>par ha</v>
      </c>
      <c r="BP33" s="42">
        <f>'Variante données'!$G$38</f>
        <v>300</v>
      </c>
      <c r="BQ33" s="1035">
        <f>'Variante données'!$G$38</f>
        <v>300</v>
      </c>
      <c r="BR33" s="733">
        <f>BQ33/BQ76</f>
        <v>9.0260922666855706E-3</v>
      </c>
      <c r="BS33" s="1503" t="s">
        <v>410</v>
      </c>
      <c r="BT33" s="18" t="str">
        <f>'Variante données'!$F$38</f>
        <v>Catégorie I+II</v>
      </c>
      <c r="BU33" s="18"/>
      <c r="BV33" s="39" t="str">
        <f>CC33</f>
        <v>par ha</v>
      </c>
      <c r="BW33" s="42">
        <f>'Variante données'!$G$38</f>
        <v>300</v>
      </c>
      <c r="BX33" s="1035">
        <f>'Variante données'!$G$38</f>
        <v>300</v>
      </c>
      <c r="BY33" s="733">
        <f>BX33/BX76</f>
        <v>9.0535517260753803E-3</v>
      </c>
      <c r="BZ33" s="1503" t="s">
        <v>410</v>
      </c>
      <c r="CA33" s="18" t="str">
        <f>'Variante données'!$F$38</f>
        <v>Catégorie I+II</v>
      </c>
      <c r="CB33" s="18"/>
      <c r="CC33" s="39" t="str">
        <f>CJ33</f>
        <v>par ha</v>
      </c>
      <c r="CD33" s="42">
        <f>'Variante données'!$G$38</f>
        <v>300</v>
      </c>
      <c r="CE33" s="1035">
        <f>'Variante données'!$G$38</f>
        <v>300</v>
      </c>
      <c r="CF33" s="733">
        <f>CE33/CE76</f>
        <v>9.0815944606189442E-3</v>
      </c>
      <c r="CG33" s="1503" t="s">
        <v>410</v>
      </c>
      <c r="CH33" s="18" t="str">
        <f>'Variante données'!$F$38</f>
        <v>Catégorie I+II</v>
      </c>
      <c r="CI33" s="18"/>
      <c r="CJ33" s="39" t="str">
        <f>CQ33</f>
        <v>par ha</v>
      </c>
      <c r="CK33" s="42">
        <f>'Variante données'!$G$38</f>
        <v>300</v>
      </c>
      <c r="CL33" s="1035">
        <f>'Variante données'!$G$38</f>
        <v>300</v>
      </c>
      <c r="CM33" s="733">
        <f>CL33/CL76</f>
        <v>9.1102360454757923E-3</v>
      </c>
      <c r="CN33" s="1503" t="s">
        <v>410</v>
      </c>
      <c r="CO33" s="18" t="str">
        <f>'Variante données'!$F$38</f>
        <v>Catégorie I+II</v>
      </c>
      <c r="CP33" s="18"/>
      <c r="CQ33" s="39" t="str">
        <f>CX33</f>
        <v>par ha</v>
      </c>
      <c r="CR33" s="42">
        <f>'Variante données'!$G$38</f>
        <v>300</v>
      </c>
      <c r="CS33" s="1035">
        <f>'Variante données'!$G$38</f>
        <v>300</v>
      </c>
      <c r="CT33" s="733">
        <f>CS33/CS76</f>
        <v>9.1332008286520421E-3</v>
      </c>
      <c r="CU33" s="1503" t="s">
        <v>410</v>
      </c>
      <c r="CV33" s="18" t="str">
        <f>'Variante données'!$F$38</f>
        <v>Catégorie I+II</v>
      </c>
      <c r="CW33" s="18"/>
      <c r="CX33" s="39" t="s">
        <v>245</v>
      </c>
      <c r="CY33" s="42">
        <f>'Variante données'!$G$38</f>
        <v>300</v>
      </c>
      <c r="CZ33" s="1035">
        <f>'Variante données'!$G$38</f>
        <v>300</v>
      </c>
      <c r="DA33" s="733">
        <f>CZ33/CZ76</f>
        <v>7.6407522557452087E-3</v>
      </c>
    </row>
    <row r="34" spans="1:105" s="1" customFormat="1" ht="18" customHeight="1" x14ac:dyDescent="0.25">
      <c r="A34" s="1503"/>
      <c r="B34" s="18" t="str">
        <f>'Variante données'!$F$39</f>
        <v>Cidre</v>
      </c>
      <c r="C34" s="18"/>
      <c r="D34" s="39" t="s">
        <v>382</v>
      </c>
      <c r="E34" s="42">
        <f>'Variante données'!$G$39</f>
        <v>0.9</v>
      </c>
      <c r="F34" s="148">
        <f>E34*D11/100</f>
        <v>0</v>
      </c>
      <c r="G34" s="733">
        <f>F34/F76</f>
        <v>0</v>
      </c>
      <c r="H34" s="1503"/>
      <c r="I34" s="18" t="str">
        <f>'Variante données'!$F$39</f>
        <v>Cidre</v>
      </c>
      <c r="J34" s="18"/>
      <c r="K34" s="39" t="s">
        <v>382</v>
      </c>
      <c r="L34" s="42">
        <f>'Variante données'!$G$39</f>
        <v>0.9</v>
      </c>
      <c r="M34" s="148">
        <f>L34*K11/100</f>
        <v>4.5</v>
      </c>
      <c r="N34" s="733">
        <f>M34/M76</f>
        <v>3.2360545922719357E-4</v>
      </c>
      <c r="O34" s="1503"/>
      <c r="P34" s="18" t="str">
        <f>'Variante données'!$F$39</f>
        <v>Cidre</v>
      </c>
      <c r="Q34" s="18"/>
      <c r="R34" s="39" t="s">
        <v>382</v>
      </c>
      <c r="S34" s="42">
        <f>'Variante données'!$G$39</f>
        <v>0.9</v>
      </c>
      <c r="T34" s="148">
        <f>S34*R11/100</f>
        <v>16.2</v>
      </c>
      <c r="U34" s="733">
        <f>T34/T76</f>
        <v>6.1746773746932748E-4</v>
      </c>
      <c r="V34" s="1503"/>
      <c r="W34" s="18" t="str">
        <f>'Variante données'!$F$39</f>
        <v>Cidre</v>
      </c>
      <c r="X34" s="18"/>
      <c r="Y34" s="39" t="s">
        <v>382</v>
      </c>
      <c r="Z34" s="42">
        <f>'Variante données'!$G$39</f>
        <v>0.9</v>
      </c>
      <c r="AA34" s="148">
        <f>Z34*Y11/100</f>
        <v>22.5</v>
      </c>
      <c r="AB34" s="733">
        <f>AA34/AA76</f>
        <v>7.888152393620997E-4</v>
      </c>
      <c r="AC34" s="1503"/>
      <c r="AD34" s="18" t="str">
        <f>'Variante données'!$F$39</f>
        <v>Cidre</v>
      </c>
      <c r="AE34" s="18"/>
      <c r="AF34" s="39" t="s">
        <v>382</v>
      </c>
      <c r="AG34" s="42">
        <f>'Variante données'!$G$39</f>
        <v>0.9</v>
      </c>
      <c r="AH34" s="148">
        <f>AG34*AF11/100</f>
        <v>31.5</v>
      </c>
      <c r="AI34" s="733">
        <f>AH34/AH76</f>
        <v>1.0107266110704254E-3</v>
      </c>
      <c r="AJ34" s="1503"/>
      <c r="AK34" s="18" t="str">
        <f>'Variante données'!$F$39</f>
        <v>Cidre</v>
      </c>
      <c r="AL34" s="18"/>
      <c r="AM34" s="39" t="s">
        <v>382</v>
      </c>
      <c r="AN34" s="42">
        <f>'Variante données'!$G$39</f>
        <v>0.9</v>
      </c>
      <c r="AO34" s="148">
        <f>AN34*AM11/100</f>
        <v>40.5</v>
      </c>
      <c r="AP34" s="733">
        <f>AO34/AO76</f>
        <v>1.2013282495999852E-3</v>
      </c>
      <c r="AQ34" s="1503"/>
      <c r="AR34" s="18" t="str">
        <f>'Variante données'!$F$39</f>
        <v>Cidre</v>
      </c>
      <c r="AS34" s="18"/>
      <c r="AT34" s="39" t="s">
        <v>382</v>
      </c>
      <c r="AU34" s="42">
        <f>'Variante données'!$G$39</f>
        <v>0.9</v>
      </c>
      <c r="AV34" s="148">
        <f>AU34*AT11/100</f>
        <v>40.5</v>
      </c>
      <c r="AW34" s="733">
        <f>AV34/AV76</f>
        <v>1.2054863183193741E-3</v>
      </c>
      <c r="AX34" s="1503"/>
      <c r="AY34" s="18" t="str">
        <f>'Variante données'!$F$39</f>
        <v>Cidre</v>
      </c>
      <c r="AZ34" s="18"/>
      <c r="BA34" s="39" t="s">
        <v>382</v>
      </c>
      <c r="BB34" s="42">
        <f>'Variante données'!$G$39</f>
        <v>0.9</v>
      </c>
      <c r="BC34" s="148">
        <f>BB34*BA11/100</f>
        <v>40.5</v>
      </c>
      <c r="BD34" s="733">
        <f>BC34/BC76</f>
        <v>1.2097362967542912E-3</v>
      </c>
      <c r="BE34" s="1503"/>
      <c r="BF34" s="18" t="str">
        <f>'Variante données'!$F$39</f>
        <v>Cidre</v>
      </c>
      <c r="BG34" s="18"/>
      <c r="BH34" s="39" t="s">
        <v>382</v>
      </c>
      <c r="BI34" s="42">
        <f>'Variante données'!$G$39</f>
        <v>0.9</v>
      </c>
      <c r="BJ34" s="148">
        <f>BI34*BH11/100</f>
        <v>40.5</v>
      </c>
      <c r="BK34" s="733">
        <f>BJ34/BJ76</f>
        <v>1.2140807793984015E-3</v>
      </c>
      <c r="BL34" s="1503"/>
      <c r="BM34" s="18" t="str">
        <f>'Variante données'!$F$39</f>
        <v>Cidre</v>
      </c>
      <c r="BN34" s="18"/>
      <c r="BO34" s="39" t="s">
        <v>382</v>
      </c>
      <c r="BP34" s="42">
        <f>'Variante données'!$G$39</f>
        <v>0.9</v>
      </c>
      <c r="BQ34" s="148">
        <f>BP34*BO11/100</f>
        <v>40.5</v>
      </c>
      <c r="BR34" s="733">
        <f>BQ34/BQ76</f>
        <v>1.2185224560025522E-3</v>
      </c>
      <c r="BS34" s="1503"/>
      <c r="BT34" s="18" t="str">
        <f>'Variante données'!$F$39</f>
        <v>Cidre</v>
      </c>
      <c r="BU34" s="18"/>
      <c r="BV34" s="39" t="s">
        <v>382</v>
      </c>
      <c r="BW34" s="42">
        <f>'Variante données'!$G$39</f>
        <v>0.9</v>
      </c>
      <c r="BX34" s="148">
        <f>BW34*BV11/100</f>
        <v>40.5</v>
      </c>
      <c r="BY34" s="733">
        <f>BX34/BX76</f>
        <v>1.2222294830201764E-3</v>
      </c>
      <c r="BZ34" s="1503"/>
      <c r="CA34" s="18" t="str">
        <f>'Variante données'!$F$39</f>
        <v>Cidre</v>
      </c>
      <c r="CB34" s="18"/>
      <c r="CC34" s="39" t="s">
        <v>382</v>
      </c>
      <c r="CD34" s="42">
        <f>'Variante données'!$G$39</f>
        <v>0.9</v>
      </c>
      <c r="CE34" s="148">
        <f>CD34*CC11/100</f>
        <v>40.5</v>
      </c>
      <c r="CF34" s="733">
        <f>CE34/CE76</f>
        <v>1.2260152521835575E-3</v>
      </c>
      <c r="CG34" s="1503"/>
      <c r="CH34" s="18" t="str">
        <f>'Variante données'!$F$39</f>
        <v>Cidre</v>
      </c>
      <c r="CI34" s="18"/>
      <c r="CJ34" s="39" t="s">
        <v>382</v>
      </c>
      <c r="CK34" s="42">
        <f>'Variante données'!$G$39</f>
        <v>0.9</v>
      </c>
      <c r="CL34" s="148">
        <f>CK34*CJ11/100</f>
        <v>40.5</v>
      </c>
      <c r="CM34" s="733">
        <f>CL34/CL76</f>
        <v>1.2298818661392319E-3</v>
      </c>
      <c r="CN34" s="1503"/>
      <c r="CO34" s="18" t="str">
        <f>'Variante données'!$F$39</f>
        <v>Cidre</v>
      </c>
      <c r="CP34" s="18"/>
      <c r="CQ34" s="39" t="s">
        <v>382</v>
      </c>
      <c r="CR34" s="42">
        <f>'Variante données'!$G$39</f>
        <v>0.9</v>
      </c>
      <c r="CS34" s="148">
        <f>CR34*CQ11/100</f>
        <v>40.5</v>
      </c>
      <c r="CT34" s="733">
        <f>CS34/CS76</f>
        <v>1.2329821118680256E-3</v>
      </c>
      <c r="CU34" s="1503"/>
      <c r="CV34" s="18" t="str">
        <f>'Variante données'!$F$39</f>
        <v>Cidre</v>
      </c>
      <c r="CW34" s="18"/>
      <c r="CX34" s="39" t="s">
        <v>382</v>
      </c>
      <c r="CY34" s="42">
        <f>'Variante données'!$G$39</f>
        <v>0.9</v>
      </c>
      <c r="CZ34" s="148">
        <f>CY34*CX11/100</f>
        <v>40.5</v>
      </c>
      <c r="DA34" s="733">
        <f>CZ34/CZ76</f>
        <v>1.0315015545256032E-3</v>
      </c>
    </row>
    <row r="35" spans="1:105" s="18" customFormat="1" ht="12.5" x14ac:dyDescent="0.25">
      <c r="A35" s="751" t="str">
        <f>'Variante données'!$E$41</f>
        <v>Coûts d'emballage</v>
      </c>
      <c r="B35" s="149" t="str">
        <f>'Variante données'!$F$41</f>
        <v>Catégorie I+II</v>
      </c>
      <c r="D35" s="18" t="s">
        <v>382</v>
      </c>
      <c r="E35" s="611">
        <f>'Variante données'!$G$41</f>
        <v>0</v>
      </c>
      <c r="F35" s="148">
        <f>(D9+D10)/100*E35</f>
        <v>0</v>
      </c>
      <c r="G35" s="733">
        <f>F35/F76</f>
        <v>0</v>
      </c>
      <c r="H35" s="751" t="str">
        <f>'Variante données'!$E$41</f>
        <v>Coûts d'emballage</v>
      </c>
      <c r="I35" s="149" t="str">
        <f>'Variante données'!$F$41</f>
        <v>Catégorie I+II</v>
      </c>
      <c r="K35" s="18" t="s">
        <v>382</v>
      </c>
      <c r="L35" s="611">
        <f>'Variante données'!$G$41</f>
        <v>0</v>
      </c>
      <c r="M35" s="148">
        <f>(K9+K10)/100*L35</f>
        <v>0</v>
      </c>
      <c r="N35" s="733">
        <f>M35/M76</f>
        <v>0</v>
      </c>
      <c r="O35" s="751" t="str">
        <f>'Variante données'!$E$41</f>
        <v>Coûts d'emballage</v>
      </c>
      <c r="P35" s="149" t="str">
        <f>'Variante données'!$F$41</f>
        <v>Catégorie I+II</v>
      </c>
      <c r="R35" s="18" t="s">
        <v>382</v>
      </c>
      <c r="S35" s="611">
        <f>'Variante données'!$G$41</f>
        <v>0</v>
      </c>
      <c r="T35" s="148">
        <f>(R9+R10)/100*S35</f>
        <v>0</v>
      </c>
      <c r="U35" s="733">
        <f>T35/T76</f>
        <v>0</v>
      </c>
      <c r="V35" s="751" t="str">
        <f>'Variante données'!$E$41</f>
        <v>Coûts d'emballage</v>
      </c>
      <c r="W35" s="149" t="str">
        <f>'Variante données'!$F$41</f>
        <v>Catégorie I+II</v>
      </c>
      <c r="Y35" s="18" t="s">
        <v>382</v>
      </c>
      <c r="Z35" s="611">
        <f>'Variante données'!$G$41</f>
        <v>0</v>
      </c>
      <c r="AA35" s="148">
        <f>(Y9+Y10)/100*Z35</f>
        <v>0</v>
      </c>
      <c r="AB35" s="733">
        <f>AA35/AA76</f>
        <v>0</v>
      </c>
      <c r="AC35" s="751" t="str">
        <f>'Variante données'!$E$41</f>
        <v>Coûts d'emballage</v>
      </c>
      <c r="AD35" s="149" t="str">
        <f>'Variante données'!$F$41</f>
        <v>Catégorie I+II</v>
      </c>
      <c r="AF35" s="18" t="s">
        <v>382</v>
      </c>
      <c r="AG35" s="611">
        <f>'Variante données'!$G$41</f>
        <v>0</v>
      </c>
      <c r="AH35" s="148">
        <f>(AF9+AF10)/100*AG35</f>
        <v>0</v>
      </c>
      <c r="AI35" s="733">
        <f>AH35/AH76</f>
        <v>0</v>
      </c>
      <c r="AJ35" s="751" t="str">
        <f>'Variante données'!$E$41</f>
        <v>Coûts d'emballage</v>
      </c>
      <c r="AK35" s="149" t="str">
        <f>'Variante données'!$F$41</f>
        <v>Catégorie I+II</v>
      </c>
      <c r="AM35" s="18" t="s">
        <v>382</v>
      </c>
      <c r="AN35" s="611">
        <f>'Variante données'!$G$41</f>
        <v>0</v>
      </c>
      <c r="AO35" s="148">
        <f>(AM9+AM10)/100*AN35</f>
        <v>0</v>
      </c>
      <c r="AP35" s="733">
        <f>AO35/AO76</f>
        <v>0</v>
      </c>
      <c r="AQ35" s="751" t="str">
        <f>'Variante données'!$E$41</f>
        <v>Coûts d'emballage</v>
      </c>
      <c r="AR35" s="149" t="str">
        <f>'Variante données'!$F$41</f>
        <v>Catégorie I+II</v>
      </c>
      <c r="AT35" s="18" t="s">
        <v>382</v>
      </c>
      <c r="AU35" s="611">
        <f>'Variante données'!$G$41</f>
        <v>0</v>
      </c>
      <c r="AV35" s="148">
        <f>(AT9+AT10)/100*AU35</f>
        <v>0</v>
      </c>
      <c r="AW35" s="733">
        <f>AV35/AV76</f>
        <v>0</v>
      </c>
      <c r="AX35" s="751" t="str">
        <f>'Variante données'!$E$41</f>
        <v>Coûts d'emballage</v>
      </c>
      <c r="AY35" s="149" t="str">
        <f>'Variante données'!$F$41</f>
        <v>Catégorie I+II</v>
      </c>
      <c r="BA35" s="18" t="s">
        <v>382</v>
      </c>
      <c r="BB35" s="611">
        <f>'Variante données'!$G$41</f>
        <v>0</v>
      </c>
      <c r="BC35" s="148">
        <f>(BA9+BA10)/100*BB35</f>
        <v>0</v>
      </c>
      <c r="BD35" s="733">
        <f>BC35/BC76</f>
        <v>0</v>
      </c>
      <c r="BE35" s="751" t="str">
        <f>'Variante données'!$E$41</f>
        <v>Coûts d'emballage</v>
      </c>
      <c r="BF35" s="149" t="str">
        <f>'Variante données'!$F$41</f>
        <v>Catégorie I+II</v>
      </c>
      <c r="BH35" s="18" t="s">
        <v>382</v>
      </c>
      <c r="BI35" s="611">
        <f>'Variante données'!$G$41</f>
        <v>0</v>
      </c>
      <c r="BJ35" s="148">
        <f>(BH9+BH10)/100*BI35</f>
        <v>0</v>
      </c>
      <c r="BK35" s="733">
        <f>BJ35/BJ76</f>
        <v>0</v>
      </c>
      <c r="BL35" s="751" t="str">
        <f>'Variante données'!$E$41</f>
        <v>Coûts d'emballage</v>
      </c>
      <c r="BM35" s="149" t="str">
        <f>'Variante données'!$F$41</f>
        <v>Catégorie I+II</v>
      </c>
      <c r="BO35" s="18" t="s">
        <v>382</v>
      </c>
      <c r="BP35" s="611">
        <f>'Variante données'!$G$41</f>
        <v>0</v>
      </c>
      <c r="BQ35" s="148">
        <f>(BO9+BO10)/100*BP35</f>
        <v>0</v>
      </c>
      <c r="BR35" s="733">
        <f>BQ35/BQ76</f>
        <v>0</v>
      </c>
      <c r="BS35" s="751" t="str">
        <f>'Variante données'!$E$41</f>
        <v>Coûts d'emballage</v>
      </c>
      <c r="BT35" s="149" t="str">
        <f>'Variante données'!$F$41</f>
        <v>Catégorie I+II</v>
      </c>
      <c r="BV35" s="18" t="s">
        <v>382</v>
      </c>
      <c r="BW35" s="611">
        <f>'Variante données'!$G$41</f>
        <v>0</v>
      </c>
      <c r="BX35" s="148">
        <f>(BV9+BV10)/100*BW35</f>
        <v>0</v>
      </c>
      <c r="BY35" s="733">
        <f>BX35/BX76</f>
        <v>0</v>
      </c>
      <c r="BZ35" s="751" t="str">
        <f>'Variante données'!$E$41</f>
        <v>Coûts d'emballage</v>
      </c>
      <c r="CA35" s="149" t="str">
        <f>'Variante données'!$F$41</f>
        <v>Catégorie I+II</v>
      </c>
      <c r="CC35" s="18" t="s">
        <v>382</v>
      </c>
      <c r="CD35" s="611">
        <f>'Variante données'!$G$41</f>
        <v>0</v>
      </c>
      <c r="CE35" s="148">
        <f>(CC9+CC10)/100*CD35</f>
        <v>0</v>
      </c>
      <c r="CF35" s="733">
        <f>CE35/CE76</f>
        <v>0</v>
      </c>
      <c r="CG35" s="751" t="str">
        <f>'Variante données'!$E$41</f>
        <v>Coûts d'emballage</v>
      </c>
      <c r="CH35" s="149" t="str">
        <f>'Variante données'!$F$41</f>
        <v>Catégorie I+II</v>
      </c>
      <c r="CJ35" s="18" t="s">
        <v>382</v>
      </c>
      <c r="CK35" s="611">
        <f>'Variante données'!$G$41</f>
        <v>0</v>
      </c>
      <c r="CL35" s="148">
        <f>(CJ9+CJ10)/100*CK35</f>
        <v>0</v>
      </c>
      <c r="CM35" s="733">
        <f>CL35/CL76</f>
        <v>0</v>
      </c>
      <c r="CN35" s="751" t="str">
        <f>'Variante données'!$E$41</f>
        <v>Coûts d'emballage</v>
      </c>
      <c r="CO35" s="149" t="str">
        <f>'Variante données'!$F$41</f>
        <v>Catégorie I+II</v>
      </c>
      <c r="CQ35" s="18" t="s">
        <v>382</v>
      </c>
      <c r="CR35" s="611">
        <f>'Variante données'!$G$41</f>
        <v>0</v>
      </c>
      <c r="CS35" s="148">
        <f>(CQ9+CQ10)/100*CR35</f>
        <v>0</v>
      </c>
      <c r="CT35" s="733">
        <f>CS35/CS76</f>
        <v>0</v>
      </c>
      <c r="CU35" s="751" t="str">
        <f>'Variante données'!$E$41</f>
        <v>Coûts d'emballage</v>
      </c>
      <c r="CV35" s="149" t="str">
        <f>'Variante données'!$F$41</f>
        <v>Catégorie I+II</v>
      </c>
      <c r="CX35" s="18" t="s">
        <v>382</v>
      </c>
      <c r="CY35" s="611">
        <f>'Variante données'!$G$41</f>
        <v>0</v>
      </c>
      <c r="CZ35" s="148">
        <f>(CX9+CX10)/100*CY35</f>
        <v>0</v>
      </c>
      <c r="DA35" s="733">
        <f>CZ35/CZ76</f>
        <v>0</v>
      </c>
    </row>
    <row r="36" spans="1:105" s="18" customFormat="1" ht="12.5" x14ac:dyDescent="0.25">
      <c r="A36" s="751" t="str">
        <f>'Variante données'!$E$42</f>
        <v>Coûts de triage</v>
      </c>
      <c r="B36" s="18" t="str">
        <f>'Variante données'!$F$42</f>
        <v>Catégorie I+II</v>
      </c>
      <c r="D36" s="18" t="s">
        <v>382</v>
      </c>
      <c r="E36" s="42">
        <f>'Variante données'!$G$42</f>
        <v>0</v>
      </c>
      <c r="F36" s="148">
        <f>(D9+D10)/100*E36</f>
        <v>0</v>
      </c>
      <c r="G36" s="733">
        <f>F36/F76</f>
        <v>0</v>
      </c>
      <c r="H36" s="751" t="str">
        <f>'Variante données'!$E$42</f>
        <v>Coûts de triage</v>
      </c>
      <c r="I36" s="18" t="str">
        <f>'Variante données'!$F$42</f>
        <v>Catégorie I+II</v>
      </c>
      <c r="K36" s="18" t="s">
        <v>382</v>
      </c>
      <c r="L36" s="42">
        <f>'Variante données'!$G$42</f>
        <v>0</v>
      </c>
      <c r="M36" s="148">
        <f>(K9+K10)/100*L36</f>
        <v>0</v>
      </c>
      <c r="N36" s="733">
        <f>M36/M76</f>
        <v>0</v>
      </c>
      <c r="O36" s="751" t="str">
        <f>'Variante données'!$E$42</f>
        <v>Coûts de triage</v>
      </c>
      <c r="P36" s="18" t="str">
        <f>'Variante données'!$F$42</f>
        <v>Catégorie I+II</v>
      </c>
      <c r="R36" s="18" t="s">
        <v>382</v>
      </c>
      <c r="S36" s="42">
        <f>'Variante données'!$G$42</f>
        <v>0</v>
      </c>
      <c r="T36" s="148">
        <f>(R9+R10)/100*S36</f>
        <v>0</v>
      </c>
      <c r="U36" s="733">
        <f>T36/T76</f>
        <v>0</v>
      </c>
      <c r="V36" s="751" t="str">
        <f>'Variante données'!$E$42</f>
        <v>Coûts de triage</v>
      </c>
      <c r="W36" s="18" t="str">
        <f>'Variante données'!$F$42</f>
        <v>Catégorie I+II</v>
      </c>
      <c r="Y36" s="18" t="s">
        <v>382</v>
      </c>
      <c r="Z36" s="42">
        <f>'Variante données'!$G$42</f>
        <v>0</v>
      </c>
      <c r="AA36" s="148">
        <f>(Y9+Y10)/100*Z36</f>
        <v>0</v>
      </c>
      <c r="AB36" s="733">
        <f>AA36/AA76</f>
        <v>0</v>
      </c>
      <c r="AC36" s="751" t="str">
        <f>'Variante données'!$E$42</f>
        <v>Coûts de triage</v>
      </c>
      <c r="AD36" s="18" t="str">
        <f>'Variante données'!$F$42</f>
        <v>Catégorie I+II</v>
      </c>
      <c r="AF36" s="18" t="s">
        <v>382</v>
      </c>
      <c r="AG36" s="42">
        <f>'Variante données'!$G$42</f>
        <v>0</v>
      </c>
      <c r="AH36" s="148">
        <f>(AF9+AF10)/100*AG36</f>
        <v>0</v>
      </c>
      <c r="AI36" s="733">
        <f>AH36/AH76</f>
        <v>0</v>
      </c>
      <c r="AJ36" s="751" t="str">
        <f>'Variante données'!$E$42</f>
        <v>Coûts de triage</v>
      </c>
      <c r="AK36" s="18" t="str">
        <f>'Variante données'!$F$42</f>
        <v>Catégorie I+II</v>
      </c>
      <c r="AM36" s="18" t="s">
        <v>382</v>
      </c>
      <c r="AN36" s="42">
        <f>'Variante données'!$G$42</f>
        <v>0</v>
      </c>
      <c r="AO36" s="148">
        <f>(AM9+AM10)/100*AN36</f>
        <v>0</v>
      </c>
      <c r="AP36" s="733">
        <f>AO36/AO76</f>
        <v>0</v>
      </c>
      <c r="AQ36" s="751" t="str">
        <f>'Variante données'!$E$42</f>
        <v>Coûts de triage</v>
      </c>
      <c r="AR36" s="18" t="str">
        <f>'Variante données'!$F$42</f>
        <v>Catégorie I+II</v>
      </c>
      <c r="AT36" s="18" t="s">
        <v>382</v>
      </c>
      <c r="AU36" s="42">
        <f>'Variante données'!$G$42</f>
        <v>0</v>
      </c>
      <c r="AV36" s="148">
        <f>(AT9+AT10)/100*AU36</f>
        <v>0</v>
      </c>
      <c r="AW36" s="733">
        <f>AV36/AV76</f>
        <v>0</v>
      </c>
      <c r="AX36" s="751" t="str">
        <f>'Variante données'!$E$42</f>
        <v>Coûts de triage</v>
      </c>
      <c r="AY36" s="18" t="str">
        <f>'Variante données'!$F$42</f>
        <v>Catégorie I+II</v>
      </c>
      <c r="BA36" s="18" t="s">
        <v>382</v>
      </c>
      <c r="BB36" s="42">
        <f>'Variante données'!$G$42</f>
        <v>0</v>
      </c>
      <c r="BC36" s="148">
        <f>(BA9+BA10)/100*BB36</f>
        <v>0</v>
      </c>
      <c r="BD36" s="733">
        <f>BC36/BC76</f>
        <v>0</v>
      </c>
      <c r="BE36" s="751" t="str">
        <f>'Variante données'!$E$42</f>
        <v>Coûts de triage</v>
      </c>
      <c r="BF36" s="18" t="str">
        <f>'Variante données'!$F$42</f>
        <v>Catégorie I+II</v>
      </c>
      <c r="BH36" s="18" t="s">
        <v>382</v>
      </c>
      <c r="BI36" s="42">
        <f>'Variante données'!$G$42</f>
        <v>0</v>
      </c>
      <c r="BJ36" s="148">
        <f>(BH9+BH10)/100*BI36</f>
        <v>0</v>
      </c>
      <c r="BK36" s="733">
        <f>BJ36/BJ76</f>
        <v>0</v>
      </c>
      <c r="BL36" s="751" t="str">
        <f>'Variante données'!$E$42</f>
        <v>Coûts de triage</v>
      </c>
      <c r="BM36" s="18" t="str">
        <f>'Variante données'!$F$42</f>
        <v>Catégorie I+II</v>
      </c>
      <c r="BO36" s="18" t="s">
        <v>382</v>
      </c>
      <c r="BP36" s="42">
        <f>'Variante données'!$G$42</f>
        <v>0</v>
      </c>
      <c r="BQ36" s="148">
        <f>(BO9+BO10)/100*BP36</f>
        <v>0</v>
      </c>
      <c r="BR36" s="733">
        <f>BQ36/BQ76</f>
        <v>0</v>
      </c>
      <c r="BS36" s="751" t="str">
        <f>'Variante données'!$E$42</f>
        <v>Coûts de triage</v>
      </c>
      <c r="BT36" s="18" t="str">
        <f>'Variante données'!$F$42</f>
        <v>Catégorie I+II</v>
      </c>
      <c r="BV36" s="18" t="s">
        <v>382</v>
      </c>
      <c r="BW36" s="42">
        <f>'Variante données'!$G$42</f>
        <v>0</v>
      </c>
      <c r="BX36" s="148">
        <f>(BV9+BV10)/100*BW36</f>
        <v>0</v>
      </c>
      <c r="BY36" s="733">
        <f>BX36/BX76</f>
        <v>0</v>
      </c>
      <c r="BZ36" s="751" t="str">
        <f>'Variante données'!$E$42</f>
        <v>Coûts de triage</v>
      </c>
      <c r="CA36" s="18" t="str">
        <f>'Variante données'!$F$42</f>
        <v>Catégorie I+II</v>
      </c>
      <c r="CC36" s="18" t="s">
        <v>382</v>
      </c>
      <c r="CD36" s="42">
        <f>'Variante données'!$G$42</f>
        <v>0</v>
      </c>
      <c r="CE36" s="148">
        <f>(CC9+CC10)/100*CD36</f>
        <v>0</v>
      </c>
      <c r="CF36" s="733">
        <f>CE36/CE76</f>
        <v>0</v>
      </c>
      <c r="CG36" s="751" t="str">
        <f>'Variante données'!$E$42</f>
        <v>Coûts de triage</v>
      </c>
      <c r="CH36" s="18" t="str">
        <f>'Variante données'!$F$42</f>
        <v>Catégorie I+II</v>
      </c>
      <c r="CJ36" s="18" t="s">
        <v>382</v>
      </c>
      <c r="CK36" s="42">
        <f>'Variante données'!$G$42</f>
        <v>0</v>
      </c>
      <c r="CL36" s="148">
        <f>(CJ9+CJ10)/100*CK36</f>
        <v>0</v>
      </c>
      <c r="CM36" s="733">
        <f>CL36/CL76</f>
        <v>0</v>
      </c>
      <c r="CN36" s="751" t="str">
        <f>'Variante données'!$E$42</f>
        <v>Coûts de triage</v>
      </c>
      <c r="CO36" s="18" t="str">
        <f>'Variante données'!$F$42</f>
        <v>Catégorie I+II</v>
      </c>
      <c r="CQ36" s="18" t="s">
        <v>382</v>
      </c>
      <c r="CR36" s="42">
        <f>'Variante données'!$G$42</f>
        <v>0</v>
      </c>
      <c r="CS36" s="148">
        <f>(CQ9+CQ10)/100*CR36</f>
        <v>0</v>
      </c>
      <c r="CT36" s="733">
        <f>CS36/CS76</f>
        <v>0</v>
      </c>
      <c r="CU36" s="751" t="str">
        <f>'Variante données'!$E$42</f>
        <v>Coûts de triage</v>
      </c>
      <c r="CV36" s="18" t="str">
        <f>'Variante données'!$F$42</f>
        <v>Catégorie I+II</v>
      </c>
      <c r="CX36" s="18" t="s">
        <v>382</v>
      </c>
      <c r="CY36" s="42">
        <f>'Variante données'!$G$42</f>
        <v>0</v>
      </c>
      <c r="CZ36" s="148">
        <f>(CX9+CX10)/100*CY36</f>
        <v>0</v>
      </c>
      <c r="DA36" s="733">
        <f>CZ36/CZ76</f>
        <v>0</v>
      </c>
    </row>
    <row r="37" spans="1:105" s="1" customFormat="1" ht="13" thickBot="1" x14ac:dyDescent="0.3">
      <c r="A37" s="751"/>
      <c r="B37" s="18" t="str">
        <f>'Variante données'!F43</f>
        <v>Déchets</v>
      </c>
      <c r="C37" s="18"/>
      <c r="D37" s="18" t="s">
        <v>382</v>
      </c>
      <c r="E37" s="42">
        <f>'Variante données'!$G$43</f>
        <v>0</v>
      </c>
      <c r="F37" s="582">
        <f>(E37/100)*('Variante données'!$D$86*D12)</f>
        <v>0</v>
      </c>
      <c r="G37" s="733">
        <f>F37/F76</f>
        <v>0</v>
      </c>
      <c r="H37" s="751"/>
      <c r="I37" s="18" t="str">
        <f>'Variante données'!F43</f>
        <v>Déchets</v>
      </c>
      <c r="J37" s="18"/>
      <c r="K37" s="18" t="s">
        <v>382</v>
      </c>
      <c r="L37" s="42">
        <f>'Variante données'!$G$43</f>
        <v>0</v>
      </c>
      <c r="M37" s="582">
        <f>(L37/100)*('Variante données'!$D$86*K12)</f>
        <v>0</v>
      </c>
      <c r="N37" s="733">
        <f>M37/M76</f>
        <v>0</v>
      </c>
      <c r="O37" s="751"/>
      <c r="P37" s="18" t="str">
        <f>'Variante données'!F43</f>
        <v>Déchets</v>
      </c>
      <c r="Q37" s="18"/>
      <c r="R37" s="18" t="s">
        <v>382</v>
      </c>
      <c r="S37" s="42">
        <f>'Variante données'!$G$43</f>
        <v>0</v>
      </c>
      <c r="T37" s="582">
        <f>(S37/100)*('Variante données'!$D$86*R12)</f>
        <v>0</v>
      </c>
      <c r="U37" s="733">
        <f>T37/T76</f>
        <v>0</v>
      </c>
      <c r="V37" s="751"/>
      <c r="W37" s="18" t="str">
        <f>'Variante données'!F43</f>
        <v>Déchets</v>
      </c>
      <c r="X37" s="18"/>
      <c r="Y37" s="18" t="s">
        <v>382</v>
      </c>
      <c r="Z37" s="42">
        <f>'Variante données'!$G$43</f>
        <v>0</v>
      </c>
      <c r="AA37" s="582">
        <f>(Z37/100)*('Variante données'!$D$86*Y12)</f>
        <v>0</v>
      </c>
      <c r="AB37" s="733">
        <f>AA37/AA76</f>
        <v>0</v>
      </c>
      <c r="AC37" s="751"/>
      <c r="AD37" s="18" t="str">
        <f>'Variante données'!F43</f>
        <v>Déchets</v>
      </c>
      <c r="AE37" s="18"/>
      <c r="AF37" s="18" t="s">
        <v>382</v>
      </c>
      <c r="AG37" s="42">
        <f>'Variante données'!$G$43</f>
        <v>0</v>
      </c>
      <c r="AH37" s="582">
        <f>(AG37/100)*('Variante données'!$D$86*AF12)</f>
        <v>0</v>
      </c>
      <c r="AI37" s="733">
        <f>AH37/AH76</f>
        <v>0</v>
      </c>
      <c r="AJ37" s="751"/>
      <c r="AK37" s="18" t="str">
        <f>'Variante données'!F43</f>
        <v>Déchets</v>
      </c>
      <c r="AL37" s="18"/>
      <c r="AM37" s="18" t="s">
        <v>382</v>
      </c>
      <c r="AN37" s="42">
        <f>'Variante données'!$G$43</f>
        <v>0</v>
      </c>
      <c r="AO37" s="582">
        <f>(AN37/100)*('Variante données'!$D$86*AM12)</f>
        <v>0</v>
      </c>
      <c r="AP37" s="733">
        <f>AO37/AO76</f>
        <v>0</v>
      </c>
      <c r="AQ37" s="751"/>
      <c r="AR37" s="18" t="str">
        <f>'Variante données'!F43</f>
        <v>Déchets</v>
      </c>
      <c r="AS37" s="18"/>
      <c r="AT37" s="18" t="s">
        <v>382</v>
      </c>
      <c r="AU37" s="42">
        <f>'Variante données'!$G$43</f>
        <v>0</v>
      </c>
      <c r="AV37" s="582">
        <f>(AU37/100)*('Variante données'!$D$86*AT12)</f>
        <v>0</v>
      </c>
      <c r="AW37" s="733">
        <f>AV37/AV76</f>
        <v>0</v>
      </c>
      <c r="AX37" s="751"/>
      <c r="AY37" s="18" t="str">
        <f>'Variante données'!F43</f>
        <v>Déchets</v>
      </c>
      <c r="AZ37" s="18"/>
      <c r="BA37" s="18" t="s">
        <v>382</v>
      </c>
      <c r="BB37" s="42">
        <f>'Variante données'!$G$43</f>
        <v>0</v>
      </c>
      <c r="BC37" s="582">
        <f>(BB37/100)*('Variante données'!$D$86*BA12)</f>
        <v>0</v>
      </c>
      <c r="BD37" s="733">
        <f>BC37/BC76</f>
        <v>0</v>
      </c>
      <c r="BE37" s="751"/>
      <c r="BF37" s="18" t="str">
        <f>'Variante données'!F43</f>
        <v>Déchets</v>
      </c>
      <c r="BG37" s="18"/>
      <c r="BH37" s="18" t="s">
        <v>382</v>
      </c>
      <c r="BI37" s="42">
        <f>'Variante données'!$G$43</f>
        <v>0</v>
      </c>
      <c r="BJ37" s="582">
        <f>(BI37/100)*('Variante données'!$D$86*BH12)</f>
        <v>0</v>
      </c>
      <c r="BK37" s="733">
        <f>BJ37/BJ76</f>
        <v>0</v>
      </c>
      <c r="BL37" s="751"/>
      <c r="BM37" s="18" t="str">
        <f>'Variante données'!F43</f>
        <v>Déchets</v>
      </c>
      <c r="BN37" s="18"/>
      <c r="BO37" s="18" t="s">
        <v>382</v>
      </c>
      <c r="BP37" s="42">
        <f>'Variante données'!$G$43</f>
        <v>0</v>
      </c>
      <c r="BQ37" s="582">
        <f>(BP37/100)*('Variante données'!$D$86*BO12)</f>
        <v>0</v>
      </c>
      <c r="BR37" s="733">
        <f>BQ37/BQ76</f>
        <v>0</v>
      </c>
      <c r="BS37" s="751"/>
      <c r="BT37" s="18" t="str">
        <f>'Variante données'!F43</f>
        <v>Déchets</v>
      </c>
      <c r="BU37" s="18"/>
      <c r="BV37" s="18" t="s">
        <v>382</v>
      </c>
      <c r="BW37" s="42">
        <f>'Variante données'!$G$43</f>
        <v>0</v>
      </c>
      <c r="BX37" s="582">
        <f>(BW37/100)*('Variante données'!$D$86*BV12)</f>
        <v>0</v>
      </c>
      <c r="BY37" s="733">
        <f>BX37/BX76</f>
        <v>0</v>
      </c>
      <c r="BZ37" s="751"/>
      <c r="CA37" s="18" t="str">
        <f>'Variante données'!F43</f>
        <v>Déchets</v>
      </c>
      <c r="CB37" s="18"/>
      <c r="CC37" s="18" t="s">
        <v>382</v>
      </c>
      <c r="CD37" s="42">
        <f>'Variante données'!$G$43</f>
        <v>0</v>
      </c>
      <c r="CE37" s="582">
        <f>(CD37/100)*('Variante données'!$D$86*CC12)</f>
        <v>0</v>
      </c>
      <c r="CF37" s="733">
        <f>CE37/CE76</f>
        <v>0</v>
      </c>
      <c r="CG37" s="751"/>
      <c r="CH37" s="18" t="str">
        <f>'Variante données'!F43</f>
        <v>Déchets</v>
      </c>
      <c r="CI37" s="18"/>
      <c r="CJ37" s="18" t="s">
        <v>382</v>
      </c>
      <c r="CK37" s="42">
        <f>'Variante données'!$G$43</f>
        <v>0</v>
      </c>
      <c r="CL37" s="582">
        <f>(CK37/100)*('Variante données'!$D$86*CJ12)</f>
        <v>0</v>
      </c>
      <c r="CM37" s="733">
        <f>CL37/CL76</f>
        <v>0</v>
      </c>
      <c r="CN37" s="751"/>
      <c r="CO37" s="18" t="str">
        <f>'Variante données'!F43</f>
        <v>Déchets</v>
      </c>
      <c r="CP37" s="18"/>
      <c r="CQ37" s="18" t="s">
        <v>382</v>
      </c>
      <c r="CR37" s="42">
        <f>'Variante données'!$G$43</f>
        <v>0</v>
      </c>
      <c r="CS37" s="582">
        <f>(CR37/100)*('Variante données'!$D$86*CQ12)</f>
        <v>0</v>
      </c>
      <c r="CT37" s="733">
        <f>CS37/CS76</f>
        <v>0</v>
      </c>
      <c r="CU37" s="751"/>
      <c r="CV37" s="18" t="str">
        <f>'Variante données'!F43</f>
        <v>Déchets</v>
      </c>
      <c r="CW37" s="18"/>
      <c r="CX37" s="18" t="s">
        <v>382</v>
      </c>
      <c r="CY37" s="42">
        <f>'Variante données'!$G$43</f>
        <v>0</v>
      </c>
      <c r="CZ37" s="582">
        <f>(CY37/100)*('Variante données'!$D$86*CX12)</f>
        <v>0</v>
      </c>
      <c r="DA37" s="733">
        <f>CZ37/CZ76</f>
        <v>0</v>
      </c>
    </row>
    <row r="38" spans="1:105" s="1" customFormat="1" ht="13" x14ac:dyDescent="0.3">
      <c r="A38" s="612"/>
      <c r="B38" s="18"/>
      <c r="C38" s="18"/>
      <c r="D38" s="18"/>
      <c r="E38" s="42"/>
      <c r="F38" s="80">
        <f>SUM(F33:F37)</f>
        <v>300</v>
      </c>
      <c r="G38" s="730">
        <f>F38/F76</f>
        <v>2.5594452817261207E-2</v>
      </c>
      <c r="H38" s="612"/>
      <c r="I38" s="18"/>
      <c r="J38" s="18"/>
      <c r="K38" s="18"/>
      <c r="L38" s="42"/>
      <c r="M38" s="80">
        <f>SUM(M33:M37)</f>
        <v>304.5</v>
      </c>
      <c r="N38" s="730">
        <f>M38/M76</f>
        <v>2.1897302741040101E-2</v>
      </c>
      <c r="O38" s="612"/>
      <c r="P38" s="18"/>
      <c r="Q38" s="18"/>
      <c r="R38" s="18"/>
      <c r="S38" s="42"/>
      <c r="T38" s="80">
        <f>SUM(T33:T37)</f>
        <v>316.2</v>
      </c>
      <c r="U38" s="730">
        <f>T38/T76</f>
        <v>1.20520554683828E-2</v>
      </c>
      <c r="V38" s="612"/>
      <c r="W38" s="18"/>
      <c r="X38" s="18"/>
      <c r="Y38" s="18"/>
      <c r="Z38" s="42"/>
      <c r="AA38" s="80">
        <f>SUM(AA33:AA37)</f>
        <v>322.5</v>
      </c>
      <c r="AB38" s="730">
        <f>AA38/AA76</f>
        <v>1.1306351764190096E-2</v>
      </c>
      <c r="AC38" s="612"/>
      <c r="AD38" s="18"/>
      <c r="AE38" s="18"/>
      <c r="AF38" s="18"/>
      <c r="AG38" s="42"/>
      <c r="AH38" s="80">
        <f>SUM(AH33:AH37)</f>
        <v>331.5</v>
      </c>
      <c r="AI38" s="730">
        <f>AH38/AH76</f>
        <v>1.0636694335550667E-2</v>
      </c>
      <c r="AJ38" s="612"/>
      <c r="AK38" s="18"/>
      <c r="AL38" s="18"/>
      <c r="AM38" s="18"/>
      <c r="AN38" s="42"/>
      <c r="AO38" s="80">
        <f>SUM(AO33:AO37)</f>
        <v>340.5</v>
      </c>
      <c r="AP38" s="730">
        <f>AO38/AO76</f>
        <v>1.010005602441469E-2</v>
      </c>
      <c r="AQ38" s="612"/>
      <c r="AR38" s="18"/>
      <c r="AS38" s="18"/>
      <c r="AT38" s="18"/>
      <c r="AU38" s="42"/>
      <c r="AV38" s="80">
        <f>SUM(AV33:AV37)</f>
        <v>340.5</v>
      </c>
      <c r="AW38" s="730">
        <f>AV38/AV76</f>
        <v>1.0135014602166589E-2</v>
      </c>
      <c r="AX38" s="612"/>
      <c r="AY38" s="18"/>
      <c r="AZ38" s="18"/>
      <c r="BA38" s="18"/>
      <c r="BB38" s="42"/>
      <c r="BC38" s="80">
        <f>SUM(BC33:BC37)</f>
        <v>340.5</v>
      </c>
      <c r="BD38" s="730">
        <f>BC38/BC76</f>
        <v>1.0170745902341632E-2</v>
      </c>
      <c r="BE38" s="612"/>
      <c r="BF38" s="18"/>
      <c r="BG38" s="18"/>
      <c r="BH38" s="18"/>
      <c r="BI38" s="42"/>
      <c r="BJ38" s="80">
        <f>SUM(BJ33:BJ37)</f>
        <v>340.5</v>
      </c>
      <c r="BK38" s="730">
        <f>BJ38/BJ76</f>
        <v>1.0207271737905079E-2</v>
      </c>
      <c r="BL38" s="612"/>
      <c r="BM38" s="18"/>
      <c r="BN38" s="18"/>
      <c r="BO38" s="18"/>
      <c r="BP38" s="42"/>
      <c r="BQ38" s="80">
        <f>SUM(BQ33:BQ37)</f>
        <v>340.5</v>
      </c>
      <c r="BR38" s="730">
        <f>BQ38/BQ76</f>
        <v>1.0244614722688124E-2</v>
      </c>
      <c r="BS38" s="612"/>
      <c r="BT38" s="18"/>
      <c r="BU38" s="18"/>
      <c r="BV38" s="18"/>
      <c r="BW38" s="42"/>
      <c r="BX38" s="80">
        <f>SUM(BX33:BX37)</f>
        <v>340.5</v>
      </c>
      <c r="BY38" s="730">
        <f>BX38/BX76</f>
        <v>1.0275781209095556E-2</v>
      </c>
      <c r="BZ38" s="612"/>
      <c r="CA38" s="18"/>
      <c r="CB38" s="18"/>
      <c r="CC38" s="18"/>
      <c r="CD38" s="42"/>
      <c r="CE38" s="80">
        <f>SUM(CE33:CE37)</f>
        <v>340.5</v>
      </c>
      <c r="CF38" s="730">
        <f>CE38/CE76</f>
        <v>1.0307609712802502E-2</v>
      </c>
      <c r="CG38" s="612"/>
      <c r="CH38" s="18"/>
      <c r="CI38" s="18"/>
      <c r="CJ38" s="18"/>
      <c r="CK38" s="42"/>
      <c r="CL38" s="80">
        <f>SUM(CL33:CL37)</f>
        <v>340.5</v>
      </c>
      <c r="CM38" s="730">
        <f>CL38/CL76</f>
        <v>1.0340117911615024E-2</v>
      </c>
      <c r="CN38" s="612"/>
      <c r="CO38" s="18"/>
      <c r="CP38" s="18"/>
      <c r="CQ38" s="18"/>
      <c r="CR38" s="42"/>
      <c r="CS38" s="80">
        <f>SUM(CS33:CS37)</f>
        <v>340.5</v>
      </c>
      <c r="CT38" s="730">
        <f>CS38/CS76</f>
        <v>1.0366182940520068E-2</v>
      </c>
      <c r="CU38" s="612"/>
      <c r="CV38" s="18"/>
      <c r="CW38" s="18"/>
      <c r="CX38" s="18"/>
      <c r="CY38" s="42"/>
      <c r="CZ38" s="80">
        <f>SUM(CZ33:CZ37)</f>
        <v>340.5</v>
      </c>
      <c r="DA38" s="730">
        <f>CZ38/CZ76</f>
        <v>8.6722538102708118E-3</v>
      </c>
    </row>
    <row r="39" spans="1:105" s="1" customFormat="1" ht="6" customHeight="1" x14ac:dyDescent="0.25">
      <c r="A39" s="751"/>
      <c r="B39" s="752"/>
      <c r="C39" s="753"/>
      <c r="D39" s="41"/>
      <c r="E39" s="611"/>
      <c r="F39" s="148"/>
      <c r="G39" s="733"/>
      <c r="H39" s="751"/>
      <c r="I39" s="752"/>
      <c r="J39" s="753"/>
      <c r="K39" s="41"/>
      <c r="L39" s="611"/>
      <c r="M39" s="148"/>
      <c r="N39" s="733">
        <f>M39/$M$76</f>
        <v>0</v>
      </c>
      <c r="O39" s="751"/>
      <c r="P39" s="752"/>
      <c r="Q39" s="753"/>
      <c r="R39" s="41"/>
      <c r="S39" s="611"/>
      <c r="T39" s="148"/>
      <c r="U39" s="733">
        <f>T39/$T$76</f>
        <v>0</v>
      </c>
      <c r="V39" s="751"/>
      <c r="W39" s="752"/>
      <c r="X39" s="753"/>
      <c r="Y39" s="41"/>
      <c r="Z39" s="611"/>
      <c r="AA39" s="148"/>
      <c r="AB39" s="733">
        <f>AA39/$AA$76</f>
        <v>0</v>
      </c>
      <c r="AC39" s="751"/>
      <c r="AD39" s="752"/>
      <c r="AE39" s="753"/>
      <c r="AF39" s="41"/>
      <c r="AG39" s="611"/>
      <c r="AH39" s="148"/>
      <c r="AI39" s="733">
        <f>AH39/$AH$76</f>
        <v>0</v>
      </c>
      <c r="AJ39" s="751"/>
      <c r="AK39" s="752"/>
      <c r="AL39" s="753"/>
      <c r="AM39" s="41"/>
      <c r="AN39" s="611"/>
      <c r="AO39" s="148"/>
      <c r="AP39" s="733"/>
      <c r="AQ39" s="751"/>
      <c r="AR39" s="752"/>
      <c r="AS39" s="753"/>
      <c r="AT39" s="41"/>
      <c r="AU39" s="611"/>
      <c r="AV39" s="148"/>
      <c r="AW39" s="733"/>
      <c r="AX39" s="751"/>
      <c r="AY39" s="752"/>
      <c r="AZ39" s="753"/>
      <c r="BA39" s="41"/>
      <c r="BB39" s="611"/>
      <c r="BC39" s="148"/>
      <c r="BD39" s="733"/>
      <c r="BE39" s="751"/>
      <c r="BF39" s="752"/>
      <c r="BG39" s="753"/>
      <c r="BH39" s="41"/>
      <c r="BI39" s="611"/>
      <c r="BJ39" s="148"/>
      <c r="BK39" s="733"/>
      <c r="BL39" s="751"/>
      <c r="BM39" s="752"/>
      <c r="BN39" s="753"/>
      <c r="BO39" s="41"/>
      <c r="BP39" s="611"/>
      <c r="BQ39" s="148"/>
      <c r="BR39" s="733"/>
      <c r="BS39" s="751"/>
      <c r="BT39" s="752"/>
      <c r="BU39" s="753"/>
      <c r="BV39" s="41"/>
      <c r="BW39" s="611"/>
      <c r="BX39" s="148"/>
      <c r="BY39" s="733"/>
      <c r="BZ39" s="751"/>
      <c r="CA39" s="752"/>
      <c r="CB39" s="753"/>
      <c r="CC39" s="41"/>
      <c r="CD39" s="611"/>
      <c r="CE39" s="148"/>
      <c r="CF39" s="733"/>
      <c r="CG39" s="751"/>
      <c r="CH39" s="752"/>
      <c r="CI39" s="753"/>
      <c r="CJ39" s="41"/>
      <c r="CK39" s="611"/>
      <c r="CL39" s="148"/>
      <c r="CM39" s="733"/>
      <c r="CN39" s="751"/>
      <c r="CO39" s="752"/>
      <c r="CP39" s="753"/>
      <c r="CQ39" s="41"/>
      <c r="CR39" s="611"/>
      <c r="CS39" s="148"/>
      <c r="CT39" s="733"/>
      <c r="CU39" s="751"/>
      <c r="CV39" s="752"/>
      <c r="CW39" s="753"/>
      <c r="CX39" s="41"/>
      <c r="CY39" s="611"/>
      <c r="CZ39" s="148"/>
      <c r="DA39" s="733"/>
    </row>
    <row r="40" spans="1:105" s="66" customFormat="1" ht="15" customHeight="1" x14ac:dyDescent="0.3">
      <c r="A40" s="84" t="s">
        <v>154</v>
      </c>
      <c r="B40" s="754" t="s">
        <v>392</v>
      </c>
      <c r="C40" s="755"/>
      <c r="D40" s="751"/>
      <c r="E40" s="756"/>
      <c r="F40" s="82">
        <f>'Variante données'!E163</f>
        <v>600</v>
      </c>
      <c r="G40" s="730">
        <f>F40/$F$76</f>
        <v>5.1188905634522414E-2</v>
      </c>
      <c r="H40" s="84" t="s">
        <v>154</v>
      </c>
      <c r="I40" s="754" t="s">
        <v>392</v>
      </c>
      <c r="J40" s="755"/>
      <c r="K40" s="751"/>
      <c r="L40" s="756"/>
      <c r="M40" s="82">
        <f>'Variante données'!E163</f>
        <v>600</v>
      </c>
      <c r="N40" s="730">
        <f>M40/$M$76</f>
        <v>4.3147394563625811E-2</v>
      </c>
      <c r="O40" s="84" t="s">
        <v>154</v>
      </c>
      <c r="P40" s="754" t="s">
        <v>392</v>
      </c>
      <c r="Q40" s="755"/>
      <c r="R40" s="751"/>
      <c r="S40" s="756"/>
      <c r="T40" s="82">
        <f>'Variante données'!E163</f>
        <v>600</v>
      </c>
      <c r="U40" s="730">
        <f>T40/$T$76</f>
        <v>2.2869175461826947E-2</v>
      </c>
      <c r="V40" s="84" t="s">
        <v>154</v>
      </c>
      <c r="W40" s="754" t="s">
        <v>392</v>
      </c>
      <c r="X40" s="755"/>
      <c r="Y40" s="751"/>
      <c r="Z40" s="756"/>
      <c r="AA40" s="82">
        <f>'Variante données'!E163</f>
        <v>600</v>
      </c>
      <c r="AB40" s="730">
        <f>AA40/$AA$76</f>
        <v>2.1035073049655992E-2</v>
      </c>
      <c r="AC40" s="84" t="s">
        <v>154</v>
      </c>
      <c r="AD40" s="754" t="s">
        <v>392</v>
      </c>
      <c r="AE40" s="755"/>
      <c r="AF40" s="751"/>
      <c r="AG40" s="756"/>
      <c r="AH40" s="82">
        <f>'Variante données'!E163</f>
        <v>600</v>
      </c>
      <c r="AI40" s="730">
        <f>AH40/$AH$76</f>
        <v>1.9251935448960481E-2</v>
      </c>
      <c r="AJ40" s="84" t="s">
        <v>154</v>
      </c>
      <c r="AK40" s="754" t="s">
        <v>392</v>
      </c>
      <c r="AL40" s="755"/>
      <c r="AM40" s="751"/>
      <c r="AN40" s="756"/>
      <c r="AO40" s="82">
        <f>'Variante données'!E163</f>
        <v>600</v>
      </c>
      <c r="AP40" s="730">
        <f>AO40/$AO$76</f>
        <v>1.7797455549629412E-2</v>
      </c>
      <c r="AQ40" s="84" t="s">
        <v>154</v>
      </c>
      <c r="AR40" s="754" t="s">
        <v>392</v>
      </c>
      <c r="AS40" s="755"/>
      <c r="AT40" s="751"/>
      <c r="AU40" s="756"/>
      <c r="AV40" s="82">
        <f>'Variante données'!E163</f>
        <v>600</v>
      </c>
      <c r="AW40" s="730">
        <f>AV40/$AV$76</f>
        <v>1.7859056567694431E-2</v>
      </c>
      <c r="AX40" s="84" t="s">
        <v>154</v>
      </c>
      <c r="AY40" s="754" t="s">
        <v>392</v>
      </c>
      <c r="AZ40" s="755"/>
      <c r="BA40" s="751"/>
      <c r="BB40" s="756"/>
      <c r="BC40" s="82">
        <f>'Variante données'!E163</f>
        <v>600</v>
      </c>
      <c r="BD40" s="730">
        <f>BC40/$BC$76</f>
        <v>1.7922019211174683E-2</v>
      </c>
      <c r="BE40" s="84" t="s">
        <v>154</v>
      </c>
      <c r="BF40" s="754" t="s">
        <v>392</v>
      </c>
      <c r="BG40" s="755"/>
      <c r="BH40" s="751"/>
      <c r="BI40" s="756"/>
      <c r="BJ40" s="82">
        <f>'Variante données'!E163</f>
        <v>600</v>
      </c>
      <c r="BK40" s="730">
        <f>BJ40/$BJ$76</f>
        <v>1.7986381917013357E-2</v>
      </c>
      <c r="BL40" s="84" t="s">
        <v>154</v>
      </c>
      <c r="BM40" s="754" t="s">
        <v>392</v>
      </c>
      <c r="BN40" s="755"/>
      <c r="BO40" s="751"/>
      <c r="BP40" s="756"/>
      <c r="BQ40" s="82">
        <f>'Variante données'!E163</f>
        <v>600</v>
      </c>
      <c r="BR40" s="730">
        <f>BQ40/$BQ$76</f>
        <v>1.8052184533371141E-2</v>
      </c>
      <c r="BS40" s="84" t="s">
        <v>154</v>
      </c>
      <c r="BT40" s="754" t="s">
        <v>392</v>
      </c>
      <c r="BU40" s="755"/>
      <c r="BV40" s="751"/>
      <c r="BW40" s="756"/>
      <c r="BX40" s="82">
        <f>'Variante données'!E163</f>
        <v>600</v>
      </c>
      <c r="BY40" s="730">
        <f>BX40/$BX$76</f>
        <v>1.8107103452150761E-2</v>
      </c>
      <c r="BZ40" s="84" t="s">
        <v>154</v>
      </c>
      <c r="CA40" s="754" t="s">
        <v>392</v>
      </c>
      <c r="CB40" s="755"/>
      <c r="CC40" s="751"/>
      <c r="CD40" s="756"/>
      <c r="CE40" s="82">
        <f>'Variante données'!E163</f>
        <v>600</v>
      </c>
      <c r="CF40" s="730">
        <f>CE40/$CE$76</f>
        <v>1.8163188921237888E-2</v>
      </c>
      <c r="CG40" s="84" t="s">
        <v>154</v>
      </c>
      <c r="CH40" s="754" t="s">
        <v>392</v>
      </c>
      <c r="CI40" s="755"/>
      <c r="CJ40" s="751"/>
      <c r="CK40" s="756"/>
      <c r="CL40" s="82">
        <f>'Variante données'!E163</f>
        <v>600</v>
      </c>
      <c r="CM40" s="730">
        <f>CL40/$CL$76</f>
        <v>1.8220472090951585E-2</v>
      </c>
      <c r="CN40" s="84" t="s">
        <v>154</v>
      </c>
      <c r="CO40" s="754" t="s">
        <v>392</v>
      </c>
      <c r="CP40" s="755"/>
      <c r="CQ40" s="751"/>
      <c r="CR40" s="756"/>
      <c r="CS40" s="82">
        <f>'Variante données'!E163</f>
        <v>600</v>
      </c>
      <c r="CT40" s="730">
        <f>CS40/$CS$76</f>
        <v>1.8266401657304084E-2</v>
      </c>
      <c r="CU40" s="84" t="s">
        <v>154</v>
      </c>
      <c r="CV40" s="754" t="s">
        <v>392</v>
      </c>
      <c r="CW40" s="755"/>
      <c r="CX40" s="751"/>
      <c r="CY40" s="756"/>
      <c r="CZ40" s="82">
        <f>'Variante données'!E163</f>
        <v>600</v>
      </c>
      <c r="DA40" s="730">
        <f>CZ40/$CZ$76</f>
        <v>1.5281504511490417E-2</v>
      </c>
    </row>
    <row r="41" spans="1:105" s="287" customFormat="1" ht="18.75" customHeight="1" x14ac:dyDescent="0.4">
      <c r="A41" s="583" t="s">
        <v>157</v>
      </c>
      <c r="B41" s="584"/>
      <c r="C41" s="623"/>
      <c r="D41" s="623"/>
      <c r="E41" s="624"/>
      <c r="F41" s="587">
        <f>F40+F38+F29+F30+F20+F31</f>
        <v>3042</v>
      </c>
      <c r="G41" s="58">
        <f>F41/$F$76</f>
        <v>0.25952775156702867</v>
      </c>
      <c r="H41" s="583" t="s">
        <v>157</v>
      </c>
      <c r="I41" s="584"/>
      <c r="J41" s="623"/>
      <c r="K41" s="623"/>
      <c r="L41" s="624"/>
      <c r="M41" s="587">
        <f>M40+M38+M29+M30+M20+M31</f>
        <v>3194.75</v>
      </c>
      <c r="N41" s="58">
        <f>M41/$M$76</f>
        <v>0.22974189797023928</v>
      </c>
      <c r="O41" s="583" t="s">
        <v>157</v>
      </c>
      <c r="P41" s="584"/>
      <c r="Q41" s="623"/>
      <c r="R41" s="623"/>
      <c r="S41" s="624"/>
      <c r="T41" s="587">
        <f>T40+T38+T29+T30+T20+T31</f>
        <v>7533.2</v>
      </c>
      <c r="U41" s="58">
        <f>T41/$T$76</f>
        <v>0.28713012098172458</v>
      </c>
      <c r="V41" s="583" t="s">
        <v>157</v>
      </c>
      <c r="W41" s="584"/>
      <c r="X41" s="623"/>
      <c r="Y41" s="623"/>
      <c r="Z41" s="624"/>
      <c r="AA41" s="587">
        <f>AA40+AA38+AA29+AA30+AA20+AA31</f>
        <v>7603</v>
      </c>
      <c r="AB41" s="58">
        <f>AA41/$AA$76</f>
        <v>0.26654943399422415</v>
      </c>
      <c r="AC41" s="583" t="s">
        <v>157</v>
      </c>
      <c r="AD41" s="584"/>
      <c r="AE41" s="623"/>
      <c r="AF41" s="623"/>
      <c r="AG41" s="624"/>
      <c r="AH41" s="587">
        <f>AH40+AH38+AH29+AH30+AH20+AH31</f>
        <v>7612</v>
      </c>
      <c r="AI41" s="58">
        <f>AH41/$AH$76</f>
        <v>0.24424288772914532</v>
      </c>
      <c r="AJ41" s="583" t="s">
        <v>157</v>
      </c>
      <c r="AK41" s="584"/>
      <c r="AL41" s="623"/>
      <c r="AM41" s="623"/>
      <c r="AN41" s="624"/>
      <c r="AO41" s="587">
        <f>AO40+AO38+AO29+AO30+AO20+AO31</f>
        <v>7621</v>
      </c>
      <c r="AP41" s="58">
        <f>AO41/$AO$76</f>
        <v>0.22605734790620957</v>
      </c>
      <c r="AQ41" s="583" t="s">
        <v>157</v>
      </c>
      <c r="AR41" s="584"/>
      <c r="AS41" s="623"/>
      <c r="AT41" s="623"/>
      <c r="AU41" s="624"/>
      <c r="AV41" s="587">
        <f>AV40+AV38+AV29+AV30+AV20+AV31</f>
        <v>7621</v>
      </c>
      <c r="AW41" s="58">
        <f>AV41/$AV$76</f>
        <v>0.22683978350399875</v>
      </c>
      <c r="AX41" s="583" t="s">
        <v>157</v>
      </c>
      <c r="AY41" s="584"/>
      <c r="AZ41" s="623"/>
      <c r="BA41" s="623"/>
      <c r="BB41" s="624"/>
      <c r="BC41" s="587">
        <f>BC40+BC38+BC29+BC30+BC20+BC31</f>
        <v>7621</v>
      </c>
      <c r="BD41" s="58">
        <f>BC41/$BC$76</f>
        <v>0.22763951401393709</v>
      </c>
      <c r="BE41" s="583" t="s">
        <v>157</v>
      </c>
      <c r="BF41" s="584"/>
      <c r="BG41" s="623"/>
      <c r="BH41" s="623"/>
      <c r="BI41" s="624"/>
      <c r="BJ41" s="587">
        <f>BJ40+BJ38+BJ29+BJ30+BJ20+BJ31</f>
        <v>7621</v>
      </c>
      <c r="BK41" s="58">
        <f>BJ41/$BJ$76</f>
        <v>0.22845702764926462</v>
      </c>
      <c r="BL41" s="583" t="s">
        <v>157</v>
      </c>
      <c r="BM41" s="584"/>
      <c r="BN41" s="623"/>
      <c r="BO41" s="623"/>
      <c r="BP41" s="624"/>
      <c r="BQ41" s="587">
        <f>BQ40+BQ38+BQ29+BQ30+BQ20+BQ31</f>
        <v>7621</v>
      </c>
      <c r="BR41" s="58">
        <f>BQ41/$BQ$76</f>
        <v>0.22929283054803579</v>
      </c>
      <c r="BS41" s="583" t="s">
        <v>157</v>
      </c>
      <c r="BT41" s="584"/>
      <c r="BU41" s="623"/>
      <c r="BV41" s="623"/>
      <c r="BW41" s="624"/>
      <c r="BX41" s="587">
        <f>BX40+BX38+BX29+BX30+BX20+BX31</f>
        <v>7621</v>
      </c>
      <c r="BY41" s="58">
        <f>BX41/$BX$76</f>
        <v>0.22999039234806826</v>
      </c>
      <c r="BZ41" s="583" t="s">
        <v>157</v>
      </c>
      <c r="CA41" s="584"/>
      <c r="CB41" s="623"/>
      <c r="CC41" s="623"/>
      <c r="CD41" s="624"/>
      <c r="CE41" s="587">
        <f>CE40+CE38+CE29+CE30+CE20+CE31</f>
        <v>7621</v>
      </c>
      <c r="CF41" s="58">
        <f>CE41/$CE$76</f>
        <v>0.23070277128125657</v>
      </c>
      <c r="CG41" s="583" t="s">
        <v>157</v>
      </c>
      <c r="CH41" s="584"/>
      <c r="CI41" s="623"/>
      <c r="CJ41" s="623"/>
      <c r="CK41" s="624"/>
      <c r="CL41" s="587">
        <f>CL40+CL38+CL29+CL30+CL20+CL31</f>
        <v>7621</v>
      </c>
      <c r="CM41" s="58">
        <f>CL41/$CL$76</f>
        <v>0.23143036300857003</v>
      </c>
      <c r="CN41" s="583" t="s">
        <v>157</v>
      </c>
      <c r="CO41" s="584"/>
      <c r="CP41" s="623"/>
      <c r="CQ41" s="623"/>
      <c r="CR41" s="624"/>
      <c r="CS41" s="587">
        <f>CS40+CS38+CS29+CS30+CS20+CS31</f>
        <v>7621</v>
      </c>
      <c r="CT41" s="58">
        <f>CS41/$CS$76</f>
        <v>0.23201374505052402</v>
      </c>
      <c r="CU41" s="583" t="s">
        <v>157</v>
      </c>
      <c r="CV41" s="584"/>
      <c r="CW41" s="623"/>
      <c r="CX41" s="623"/>
      <c r="CY41" s="624"/>
      <c r="CZ41" s="587">
        <f>CZ40+CZ38+CZ29+CZ30+CZ20+CZ31</f>
        <v>7621</v>
      </c>
      <c r="DA41" s="58">
        <f>CZ41/$CZ$76</f>
        <v>0.19410057647011411</v>
      </c>
    </row>
    <row r="42" spans="1:105" s="38" customFormat="1" ht="18.75" customHeight="1" x14ac:dyDescent="0.3">
      <c r="A42" s="38" t="s">
        <v>277</v>
      </c>
      <c r="B42" s="18"/>
      <c r="C42" s="149" t="s">
        <v>191</v>
      </c>
      <c r="D42" s="757">
        <f>'Variante données'!$C$159</f>
        <v>10</v>
      </c>
      <c r="E42" s="42">
        <f>'Variante données'!$D$159</f>
        <v>15</v>
      </c>
      <c r="F42" s="80">
        <f>D42*E42</f>
        <v>150</v>
      </c>
      <c r="G42" s="730">
        <f>F42/$F$76</f>
        <v>1.2797226408630603E-2</v>
      </c>
      <c r="H42" s="38" t="s">
        <v>277</v>
      </c>
      <c r="I42" s="18"/>
      <c r="J42" s="149" t="s">
        <v>191</v>
      </c>
      <c r="K42" s="757">
        <f>'Variante données'!$C$159</f>
        <v>10</v>
      </c>
      <c r="L42" s="42">
        <f>'Variante données'!$D$159</f>
        <v>15</v>
      </c>
      <c r="M42" s="80">
        <f>K42*L42</f>
        <v>150</v>
      </c>
      <c r="N42" s="730">
        <f>M42/$M$76</f>
        <v>1.0786848640906453E-2</v>
      </c>
      <c r="O42" s="38" t="s">
        <v>277</v>
      </c>
      <c r="P42" s="18"/>
      <c r="Q42" s="149" t="s">
        <v>191</v>
      </c>
      <c r="R42" s="757">
        <f>'Variante données'!$C$159</f>
        <v>10</v>
      </c>
      <c r="S42" s="42">
        <f>'Variante données'!$D$159</f>
        <v>15</v>
      </c>
      <c r="T42" s="80">
        <f>R42*S42</f>
        <v>150</v>
      </c>
      <c r="U42" s="730">
        <f>T42/$T$76</f>
        <v>5.7172938654567367E-3</v>
      </c>
      <c r="V42" s="38" t="s">
        <v>277</v>
      </c>
      <c r="W42" s="18"/>
      <c r="X42" s="149" t="s">
        <v>191</v>
      </c>
      <c r="Y42" s="757">
        <f>'Variante données'!$C$159</f>
        <v>10</v>
      </c>
      <c r="Z42" s="42">
        <f>'Variante données'!$D$159</f>
        <v>15</v>
      </c>
      <c r="AA42" s="80">
        <f>Y42*Z42</f>
        <v>150</v>
      </c>
      <c r="AB42" s="730">
        <f>AA42/$AA$76</f>
        <v>5.2587682624139981E-3</v>
      </c>
      <c r="AC42" s="38" t="s">
        <v>277</v>
      </c>
      <c r="AD42" s="18"/>
      <c r="AE42" s="149" t="s">
        <v>191</v>
      </c>
      <c r="AF42" s="757">
        <f>'Variante données'!$C$159</f>
        <v>10</v>
      </c>
      <c r="AG42" s="42">
        <f>'Variante données'!$D$159</f>
        <v>15</v>
      </c>
      <c r="AH42" s="80">
        <f>AF42*AG42</f>
        <v>150</v>
      </c>
      <c r="AI42" s="730">
        <f>AH42/$AH$76</f>
        <v>4.8129838622401203E-3</v>
      </c>
      <c r="AJ42" s="38" t="s">
        <v>277</v>
      </c>
      <c r="AK42" s="18"/>
      <c r="AL42" s="149" t="s">
        <v>191</v>
      </c>
      <c r="AM42" s="757">
        <f>'Variante données'!$C$159</f>
        <v>10</v>
      </c>
      <c r="AN42" s="42">
        <f>'Variante données'!$D$159</f>
        <v>15</v>
      </c>
      <c r="AO42" s="80">
        <f>AM42*AN42</f>
        <v>150</v>
      </c>
      <c r="AP42" s="730">
        <f>AO42/$AO$76</f>
        <v>4.4493638874073529E-3</v>
      </c>
      <c r="AQ42" s="38" t="s">
        <v>277</v>
      </c>
      <c r="AR42" s="18"/>
      <c r="AS42" s="149" t="s">
        <v>191</v>
      </c>
      <c r="AT42" s="757">
        <f>'Variante données'!$C$159</f>
        <v>10</v>
      </c>
      <c r="AU42" s="42">
        <f>'Variante données'!$D$159</f>
        <v>15</v>
      </c>
      <c r="AV42" s="80">
        <f>AT42*AU42</f>
        <v>150</v>
      </c>
      <c r="AW42" s="730">
        <f>AV42/$AV$76</f>
        <v>4.4647641419236078E-3</v>
      </c>
      <c r="AX42" s="38" t="s">
        <v>277</v>
      </c>
      <c r="AY42" s="18"/>
      <c r="AZ42" s="149" t="s">
        <v>191</v>
      </c>
      <c r="BA42" s="757">
        <f>'Variante données'!$C$159</f>
        <v>10</v>
      </c>
      <c r="BB42" s="42">
        <f>'Variante données'!$D$159</f>
        <v>15</v>
      </c>
      <c r="BC42" s="80">
        <f>BA42*BB42</f>
        <v>150</v>
      </c>
      <c r="BD42" s="730">
        <f>BC42/$BC$76</f>
        <v>4.4805048027936707E-3</v>
      </c>
      <c r="BE42" s="38" t="s">
        <v>277</v>
      </c>
      <c r="BF42" s="18"/>
      <c r="BG42" s="149" t="s">
        <v>191</v>
      </c>
      <c r="BH42" s="757">
        <f>'Variante données'!$C$159</f>
        <v>10</v>
      </c>
      <c r="BI42" s="42">
        <f>'Variante données'!$D$159</f>
        <v>15</v>
      </c>
      <c r="BJ42" s="80">
        <f>BH42*BI42</f>
        <v>150</v>
      </c>
      <c r="BK42" s="730">
        <f>BJ42/$BJ$76</f>
        <v>4.4965954792533392E-3</v>
      </c>
      <c r="BL42" s="38" t="s">
        <v>277</v>
      </c>
      <c r="BM42" s="18"/>
      <c r="BN42" s="149" t="s">
        <v>191</v>
      </c>
      <c r="BO42" s="757">
        <f>'Variante données'!$C$159</f>
        <v>10</v>
      </c>
      <c r="BP42" s="42">
        <f>'Variante données'!$D$159</f>
        <v>15</v>
      </c>
      <c r="BQ42" s="80">
        <f>BO42*BP42</f>
        <v>150</v>
      </c>
      <c r="BR42" s="730">
        <f>BQ42/$BQ$76</f>
        <v>4.5130461333427853E-3</v>
      </c>
      <c r="BS42" s="38" t="s">
        <v>277</v>
      </c>
      <c r="BT42" s="18"/>
      <c r="BU42" s="149" t="s">
        <v>191</v>
      </c>
      <c r="BV42" s="757">
        <f>'Variante données'!$C$159</f>
        <v>10</v>
      </c>
      <c r="BW42" s="42">
        <f>'Variante données'!$D$159</f>
        <v>15</v>
      </c>
      <c r="BX42" s="80">
        <f>BV42*BW42</f>
        <v>150</v>
      </c>
      <c r="BY42" s="730">
        <f>BX42/$BX$76</f>
        <v>4.5267758630376902E-3</v>
      </c>
      <c r="BZ42" s="38" t="s">
        <v>277</v>
      </c>
      <c r="CA42" s="18"/>
      <c r="CB42" s="149" t="s">
        <v>191</v>
      </c>
      <c r="CC42" s="757">
        <f>'Variante données'!$C$159</f>
        <v>10</v>
      </c>
      <c r="CD42" s="42">
        <f>'Variante données'!$D$159</f>
        <v>15</v>
      </c>
      <c r="CE42" s="80">
        <f>CC42*CD42</f>
        <v>150</v>
      </c>
      <c r="CF42" s="730">
        <f>CE42/$CE$76</f>
        <v>4.5407972303094721E-3</v>
      </c>
      <c r="CG42" s="38" t="s">
        <v>277</v>
      </c>
      <c r="CH42" s="18"/>
      <c r="CI42" s="149" t="s">
        <v>191</v>
      </c>
      <c r="CJ42" s="757">
        <v>10</v>
      </c>
      <c r="CK42" s="42">
        <f>'Variante données'!$D$159</f>
        <v>15</v>
      </c>
      <c r="CL42" s="80">
        <f>CJ42*CK42</f>
        <v>150</v>
      </c>
      <c r="CM42" s="730">
        <f>CL42/$CL$76</f>
        <v>4.5551180227378961E-3</v>
      </c>
      <c r="CN42" s="38" t="s">
        <v>277</v>
      </c>
      <c r="CO42" s="18"/>
      <c r="CP42" s="149" t="s">
        <v>191</v>
      </c>
      <c r="CQ42" s="757">
        <f>'Variante données'!$C$159</f>
        <v>10</v>
      </c>
      <c r="CR42" s="42">
        <f>'Variante données'!$D$159</f>
        <v>15</v>
      </c>
      <c r="CS42" s="80">
        <f>CQ42*CR42</f>
        <v>150</v>
      </c>
      <c r="CT42" s="730">
        <f>CS42/$CS$76</f>
        <v>4.5666004143260211E-3</v>
      </c>
      <c r="CU42" s="38" t="s">
        <v>277</v>
      </c>
      <c r="CV42" s="18"/>
      <c r="CW42" s="149" t="s">
        <v>191</v>
      </c>
      <c r="CX42" s="757">
        <f>'Variante données'!$C$159</f>
        <v>10</v>
      </c>
      <c r="CY42" s="42">
        <f>'Variante données'!$D$159</f>
        <v>15</v>
      </c>
      <c r="CZ42" s="80">
        <f>CX42*CY42</f>
        <v>150</v>
      </c>
      <c r="DA42" s="730">
        <f>CZ42/$CZ$76</f>
        <v>3.8203761278726043E-3</v>
      </c>
    </row>
    <row r="43" spans="1:105" ht="17.399999999999999" customHeight="1" x14ac:dyDescent="0.25">
      <c r="A43"/>
      <c r="B43"/>
      <c r="C43" s="36" t="s">
        <v>244</v>
      </c>
      <c r="D43" s="117" t="s">
        <v>383</v>
      </c>
      <c r="E43" s="297" t="s">
        <v>57</v>
      </c>
      <c r="F43" s="298" t="s">
        <v>53</v>
      </c>
      <c r="G43" s="734"/>
      <c r="H43"/>
      <c r="I43"/>
      <c r="J43" s="36" t="s">
        <v>244</v>
      </c>
      <c r="K43" s="117" t="s">
        <v>51</v>
      </c>
      <c r="L43" s="297" t="s">
        <v>57</v>
      </c>
      <c r="M43" s="298" t="s">
        <v>53</v>
      </c>
      <c r="N43" s="734"/>
      <c r="O43"/>
      <c r="Q43" s="36" t="s">
        <v>244</v>
      </c>
      <c r="R43" s="117" t="s">
        <v>51</v>
      </c>
      <c r="S43" s="297" t="s">
        <v>57</v>
      </c>
      <c r="T43" s="298" t="s">
        <v>53</v>
      </c>
      <c r="U43" s="734"/>
      <c r="V43"/>
      <c r="X43" s="36" t="s">
        <v>244</v>
      </c>
      <c r="Y43" s="117" t="s">
        <v>51</v>
      </c>
      <c r="Z43" s="297" t="s">
        <v>57</v>
      </c>
      <c r="AA43" s="298" t="s">
        <v>53</v>
      </c>
      <c r="AB43" s="734"/>
      <c r="AC43"/>
      <c r="AE43" s="36" t="s">
        <v>244</v>
      </c>
      <c r="AF43" s="117" t="s">
        <v>51</v>
      </c>
      <c r="AG43" s="297" t="s">
        <v>57</v>
      </c>
      <c r="AH43" s="298" t="s">
        <v>53</v>
      </c>
      <c r="AI43" s="734"/>
      <c r="AJ43"/>
      <c r="AL43" s="36" t="s">
        <v>244</v>
      </c>
      <c r="AM43" s="117" t="s">
        <v>51</v>
      </c>
      <c r="AN43" s="297" t="s">
        <v>57</v>
      </c>
      <c r="AO43" s="298" t="s">
        <v>53</v>
      </c>
      <c r="AP43" s="734"/>
      <c r="AQ43"/>
      <c r="AS43" s="36" t="s">
        <v>244</v>
      </c>
      <c r="AT43" s="117" t="s">
        <v>51</v>
      </c>
      <c r="AU43" s="297" t="s">
        <v>57</v>
      </c>
      <c r="AV43" s="298" t="s">
        <v>53</v>
      </c>
      <c r="AW43" s="734"/>
      <c r="AX43"/>
      <c r="AZ43" s="36" t="s">
        <v>244</v>
      </c>
      <c r="BA43" s="117" t="s">
        <v>51</v>
      </c>
      <c r="BB43" s="297" t="s">
        <v>57</v>
      </c>
      <c r="BC43" s="298" t="s">
        <v>53</v>
      </c>
      <c r="BD43" s="734"/>
      <c r="BE43"/>
      <c r="BG43" s="36" t="s">
        <v>244</v>
      </c>
      <c r="BH43" s="117" t="s">
        <v>51</v>
      </c>
      <c r="BI43" s="297" t="s">
        <v>57</v>
      </c>
      <c r="BJ43" s="298" t="s">
        <v>53</v>
      </c>
      <c r="BK43" s="734"/>
      <c r="BL43"/>
      <c r="BN43" s="36" t="s">
        <v>244</v>
      </c>
      <c r="BO43" s="117" t="s">
        <v>51</v>
      </c>
      <c r="BP43" s="297" t="s">
        <v>57</v>
      </c>
      <c r="BQ43" s="298" t="s">
        <v>53</v>
      </c>
      <c r="BR43" s="734"/>
      <c r="BS43"/>
      <c r="BU43" s="36" t="s">
        <v>244</v>
      </c>
      <c r="BV43" s="117" t="s">
        <v>51</v>
      </c>
      <c r="BW43" s="297" t="s">
        <v>57</v>
      </c>
      <c r="BX43" s="298" t="s">
        <v>53</v>
      </c>
      <c r="BY43" s="734"/>
      <c r="BZ43"/>
      <c r="CB43" s="36" t="s">
        <v>244</v>
      </c>
      <c r="CC43" s="117" t="s">
        <v>51</v>
      </c>
      <c r="CD43" s="297" t="s">
        <v>57</v>
      </c>
      <c r="CE43" s="298" t="s">
        <v>53</v>
      </c>
      <c r="CF43" s="734"/>
      <c r="CG43"/>
      <c r="CI43" s="36" t="s">
        <v>244</v>
      </c>
      <c r="CJ43" s="117" t="s">
        <v>51</v>
      </c>
      <c r="CK43" s="297" t="s">
        <v>57</v>
      </c>
      <c r="CL43" s="298" t="s">
        <v>53</v>
      </c>
      <c r="CM43" s="734"/>
      <c r="CN43"/>
      <c r="CP43" s="36" t="s">
        <v>244</v>
      </c>
      <c r="CQ43" s="117" t="s">
        <v>51</v>
      </c>
      <c r="CR43" s="297" t="s">
        <v>57</v>
      </c>
      <c r="CS43" s="298" t="s">
        <v>53</v>
      </c>
      <c r="CT43" s="734"/>
      <c r="CU43"/>
      <c r="CW43" s="36" t="s">
        <v>244</v>
      </c>
      <c r="CX43" s="117" t="s">
        <v>51</v>
      </c>
      <c r="CY43" s="297" t="s">
        <v>57</v>
      </c>
      <c r="CZ43" s="298" t="s">
        <v>53</v>
      </c>
      <c r="DA43" s="734"/>
    </row>
    <row r="44" spans="1:105" s="1" customFormat="1" ht="13" x14ac:dyDescent="0.3">
      <c r="A44" s="38" t="s">
        <v>153</v>
      </c>
      <c r="B44" s="39" t="str">
        <f>'Variante données'!$B$135</f>
        <v>Pulvérisateur traîné avec ventilateur, 1000 l</v>
      </c>
      <c r="C44" s="814">
        <f>'Variante données'!B124</f>
        <v>6</v>
      </c>
      <c r="D44" s="37">
        <f>'Variante données'!$C$135</f>
        <v>1</v>
      </c>
      <c r="E44" s="42">
        <f>'Variante données'!$D$135*(1+'Page variable'!$C$33)</f>
        <v>50.3</v>
      </c>
      <c r="F44" s="43">
        <f>C44*D44*E44</f>
        <v>301.79999999999995</v>
      </c>
      <c r="G44" s="733">
        <f>F44/$F$76</f>
        <v>2.5748019534164772E-2</v>
      </c>
      <c r="H44" s="38" t="s">
        <v>153</v>
      </c>
      <c r="I44" s="39" t="str">
        <f>'Variante données'!$B$135</f>
        <v>Pulvérisateur traîné avec ventilateur, 1000 l</v>
      </c>
      <c r="J44" s="814">
        <f>'Variante données'!C124</f>
        <v>6</v>
      </c>
      <c r="K44" s="37">
        <f>'Variante données'!$C$135</f>
        <v>1</v>
      </c>
      <c r="L44" s="42">
        <f>'Variante données'!$D$135*(1+'Page variable'!$C$33)</f>
        <v>50.3</v>
      </c>
      <c r="M44" s="43">
        <f>J44*K44*L44</f>
        <v>301.79999999999995</v>
      </c>
      <c r="N44" s="733">
        <f>M44/$M$76</f>
        <v>2.1703139465503781E-2</v>
      </c>
      <c r="O44" s="38" t="s">
        <v>153</v>
      </c>
      <c r="P44" s="39" t="str">
        <f>'Variante données'!$B$135</f>
        <v>Pulvérisateur traîné avec ventilateur, 1000 l</v>
      </c>
      <c r="Q44" s="613">
        <f>'Variante données'!$D$124</f>
        <v>22</v>
      </c>
      <c r="R44" s="37">
        <f>'Variante données'!$C$135</f>
        <v>1</v>
      </c>
      <c r="S44" s="42">
        <f>'Variante données'!$D$135*(1+'Page variable'!$C$33)</f>
        <v>50.3</v>
      </c>
      <c r="T44" s="43">
        <f>Q44*R44*S44</f>
        <v>1106.5999999999999</v>
      </c>
      <c r="U44" s="733">
        <f>T44/$T$76</f>
        <v>4.2178382610096161E-2</v>
      </c>
      <c r="V44" s="38" t="s">
        <v>153</v>
      </c>
      <c r="W44" s="39" t="str">
        <f>'Variante données'!$B$135</f>
        <v>Pulvérisateur traîné avec ventilateur, 1000 l</v>
      </c>
      <c r="X44" s="613">
        <f>'Variante données'!$D$124</f>
        <v>22</v>
      </c>
      <c r="Y44" s="37">
        <f>'Variante données'!$C$135</f>
        <v>1</v>
      </c>
      <c r="Z44" s="42">
        <f>'Variante données'!$D$135*(1+'Page variable'!$C$33)</f>
        <v>50.3</v>
      </c>
      <c r="AA44" s="43">
        <f>X44*Y44*Z44</f>
        <v>1106.5999999999999</v>
      </c>
      <c r="AB44" s="733">
        <f>AA44/$AA$76</f>
        <v>3.8795686394582196E-2</v>
      </c>
      <c r="AC44" s="38" t="s">
        <v>153</v>
      </c>
      <c r="AD44" s="39" t="str">
        <f>'Variante données'!$B$135</f>
        <v>Pulvérisateur traîné avec ventilateur, 1000 l</v>
      </c>
      <c r="AE44" s="613">
        <f>'Variante données'!$D$124</f>
        <v>22</v>
      </c>
      <c r="AF44" s="37">
        <f>'Variante données'!$C$135</f>
        <v>1</v>
      </c>
      <c r="AG44" s="42">
        <f>'Variante données'!$D$135*(1+'Page variable'!$C$33)</f>
        <v>50.3</v>
      </c>
      <c r="AH44" s="43">
        <f>AE44*AF44*AG44</f>
        <v>1106.5999999999999</v>
      </c>
      <c r="AI44" s="733">
        <f>AH44/$AH$76</f>
        <v>3.5506986279699448E-2</v>
      </c>
      <c r="AJ44" s="38" t="s">
        <v>153</v>
      </c>
      <c r="AK44" s="39" t="str">
        <f>'Variante données'!$B$135</f>
        <v>Pulvérisateur traîné avec ventilateur, 1000 l</v>
      </c>
      <c r="AL44" s="613">
        <f>'Variante données'!$D$124</f>
        <v>22</v>
      </c>
      <c r="AM44" s="37">
        <f>'Variante données'!$C$135</f>
        <v>1</v>
      </c>
      <c r="AN44" s="42">
        <f>'Variante données'!$D$135*(1+'Page variable'!$C$33)</f>
        <v>50.3</v>
      </c>
      <c r="AO44" s="43">
        <f>AL44*AM44*AN44</f>
        <v>1106.5999999999999</v>
      </c>
      <c r="AP44" s="733">
        <f>AO44/$AO$76</f>
        <v>3.2824440518699843E-2</v>
      </c>
      <c r="AQ44" s="38" t="s">
        <v>153</v>
      </c>
      <c r="AR44" s="39" t="str">
        <f>'Variante données'!$B$135</f>
        <v>Pulvérisateur traîné avec ventilateur, 1000 l</v>
      </c>
      <c r="AS44" s="613">
        <f>'Variante données'!$D$124</f>
        <v>22</v>
      </c>
      <c r="AT44" s="37">
        <f>'Variante données'!$C$135</f>
        <v>1</v>
      </c>
      <c r="AU44" s="42">
        <f>'Variante données'!$D$135*(1+'Page variable'!$C$33)</f>
        <v>50.3</v>
      </c>
      <c r="AV44" s="43">
        <f>AS44*AT44*AU44</f>
        <v>1106.5999999999999</v>
      </c>
      <c r="AW44" s="733">
        <f>AV44/$AV$76</f>
        <v>3.2938053329684421E-2</v>
      </c>
      <c r="AX44" s="38" t="s">
        <v>153</v>
      </c>
      <c r="AY44" s="39" t="str">
        <f>'Variante données'!$B$135</f>
        <v>Pulvérisateur traîné avec ventilateur, 1000 l</v>
      </c>
      <c r="AZ44" s="613">
        <f>'Variante données'!$D$124</f>
        <v>22</v>
      </c>
      <c r="BA44" s="37">
        <f>'Variante données'!$C$135</f>
        <v>1</v>
      </c>
      <c r="BB44" s="42">
        <f>'Variante données'!$D$135*(1+'Page variable'!$C$33)</f>
        <v>50.3</v>
      </c>
      <c r="BC44" s="43">
        <f>AZ44*BA44*BB44</f>
        <v>1106.5999999999999</v>
      </c>
      <c r="BD44" s="733">
        <f>BC44/$BC$76</f>
        <v>3.3054177431809835E-2</v>
      </c>
      <c r="BE44" s="38" t="s">
        <v>153</v>
      </c>
      <c r="BF44" s="39" t="str">
        <f>'Variante données'!$B$135</f>
        <v>Pulvérisateur traîné avec ventilateur, 1000 l</v>
      </c>
      <c r="BG44" s="613">
        <f>'Variante données'!$D$124</f>
        <v>22</v>
      </c>
      <c r="BH44" s="37">
        <f>'Variante données'!$C$135</f>
        <v>1</v>
      </c>
      <c r="BI44" s="42">
        <f>'Variante données'!$D$135*(1+'Page variable'!$C$33)</f>
        <v>50.3</v>
      </c>
      <c r="BJ44" s="43">
        <f>BG44*BH44*BI44</f>
        <v>1106.5999999999999</v>
      </c>
      <c r="BK44" s="733">
        <f>BJ44/$BJ$76</f>
        <v>3.3172883715611626E-2</v>
      </c>
      <c r="BL44" s="38" t="s">
        <v>153</v>
      </c>
      <c r="BM44" s="39" t="str">
        <f>'Variante données'!$B$135</f>
        <v>Pulvérisateur traîné avec ventilateur, 1000 l</v>
      </c>
      <c r="BN44" s="613">
        <f>'Variante données'!$D$124</f>
        <v>22</v>
      </c>
      <c r="BO44" s="37">
        <f>'Variante données'!$C$135</f>
        <v>1</v>
      </c>
      <c r="BP44" s="42">
        <f>'Variante données'!$D$135*(1+'Page variable'!$C$33)</f>
        <v>50.3</v>
      </c>
      <c r="BQ44" s="43">
        <f>BN44*BO44*BP44</f>
        <v>1106.5999999999999</v>
      </c>
      <c r="BR44" s="733">
        <f>BQ44/$BQ$76</f>
        <v>3.3294245674380843E-2</v>
      </c>
      <c r="BS44" s="38" t="s">
        <v>153</v>
      </c>
      <c r="BT44" s="39" t="str">
        <f>'Variante données'!$B$135</f>
        <v>Pulvérisateur traîné avec ventilateur, 1000 l</v>
      </c>
      <c r="BU44" s="613">
        <f>'Variante données'!$D$124</f>
        <v>22</v>
      </c>
      <c r="BV44" s="37">
        <f>'Variante données'!$C$135</f>
        <v>1</v>
      </c>
      <c r="BW44" s="42">
        <f>'Variante données'!$D$135*(1+'Page variable'!$C$33)</f>
        <v>50.3</v>
      </c>
      <c r="BX44" s="43">
        <f>BU44*BV44*BW44</f>
        <v>1106.5999999999999</v>
      </c>
      <c r="BY44" s="733">
        <f>BX44/$BX$76</f>
        <v>3.3395534466916718E-2</v>
      </c>
      <c r="BZ44" s="38" t="s">
        <v>153</v>
      </c>
      <c r="CA44" s="39" t="str">
        <f>'Variante données'!$B$135</f>
        <v>Pulvérisateur traîné avec ventilateur, 1000 l</v>
      </c>
      <c r="CB44" s="613">
        <f>'Variante données'!$D$124</f>
        <v>22</v>
      </c>
      <c r="CC44" s="37">
        <f>'Variante données'!$C$135</f>
        <v>1</v>
      </c>
      <c r="CD44" s="42">
        <f>'Variante données'!$D$135*(1+'Page variable'!$C$33)</f>
        <v>50.3</v>
      </c>
      <c r="CE44" s="43">
        <f>CB44*CC44*CD44</f>
        <v>1106.5999999999999</v>
      </c>
      <c r="CF44" s="733">
        <f>CE44/$CE$76</f>
        <v>3.3498974767069742E-2</v>
      </c>
      <c r="CG44" s="38" t="s">
        <v>153</v>
      </c>
      <c r="CH44" s="39" t="str">
        <f>'Variante données'!$B$135</f>
        <v>Pulvérisateur traîné avec ventilateur, 1000 l</v>
      </c>
      <c r="CI44" s="613">
        <f>'Variante données'!$D$124</f>
        <v>22</v>
      </c>
      <c r="CJ44" s="37">
        <f>'Variante données'!$C$135</f>
        <v>1</v>
      </c>
      <c r="CK44" s="42">
        <f>'Variante données'!$D$135*(1+'Page variable'!$C$33)</f>
        <v>50.3</v>
      </c>
      <c r="CL44" s="43">
        <f>CI44*CJ44*CK44</f>
        <v>1106.5999999999999</v>
      </c>
      <c r="CM44" s="733">
        <f>CL44/$CL$76</f>
        <v>3.3604624026411699E-2</v>
      </c>
      <c r="CN44" s="38" t="s">
        <v>153</v>
      </c>
      <c r="CO44" s="39" t="str">
        <f>'Variante données'!$B$135</f>
        <v>Pulvérisateur traîné avec ventilateur, 1000 l</v>
      </c>
      <c r="CP44" s="613">
        <f>'Variante données'!$D$124</f>
        <v>22</v>
      </c>
      <c r="CQ44" s="37">
        <f>'Variante données'!$C$135</f>
        <v>1</v>
      </c>
      <c r="CR44" s="42">
        <f>'Variante données'!$D$135*(1+'Page variable'!$C$33)</f>
        <v>50.3</v>
      </c>
      <c r="CS44" s="43">
        <f>CP44*CQ44*CR44</f>
        <v>1106.5999999999999</v>
      </c>
      <c r="CT44" s="733">
        <f>CS44/$CS$76</f>
        <v>3.3689333456621159E-2</v>
      </c>
      <c r="CU44" s="38" t="s">
        <v>153</v>
      </c>
      <c r="CV44" s="39" t="str">
        <f>'Variante données'!$B$135</f>
        <v>Pulvérisateur traîné avec ventilateur, 1000 l</v>
      </c>
      <c r="CW44" s="613">
        <f>'Variante données'!$D$124</f>
        <v>22</v>
      </c>
      <c r="CX44" s="37">
        <f>'Variante données'!$C$135</f>
        <v>1</v>
      </c>
      <c r="CY44" s="42">
        <f>'Variante données'!$D$135*(1+'Page variable'!$C$33)</f>
        <v>50.3</v>
      </c>
      <c r="CZ44" s="43">
        <f>CW44*CX44*CY44</f>
        <v>1106.5999999999999</v>
      </c>
      <c r="DA44" s="733">
        <f>CZ44/$CZ$76</f>
        <v>2.8184188154025489E-2</v>
      </c>
    </row>
    <row r="45" spans="1:105" s="1" customFormat="1" ht="13" x14ac:dyDescent="0.3">
      <c r="A45" s="38"/>
      <c r="B45" s="39" t="str">
        <f>'Variante données'!$B$136</f>
        <v>Rampe de pulvérisation pour herbicides avec tank</v>
      </c>
      <c r="C45" s="814">
        <f>'Variante données'!B125</f>
        <v>2</v>
      </c>
      <c r="D45" s="37">
        <f>'Variante données'!$C$136</f>
        <v>1</v>
      </c>
      <c r="E45" s="42">
        <f>'Variante données'!$D$136*(1+'Page variable'!$C$33)</f>
        <v>69</v>
      </c>
      <c r="F45" s="43">
        <f>C45*D45*E45</f>
        <v>138</v>
      </c>
      <c r="G45" s="733">
        <f>F45/$F$76</f>
        <v>1.1773448295940155E-2</v>
      </c>
      <c r="H45" s="38"/>
      <c r="I45" s="39" t="str">
        <f>'Variante données'!$B$136</f>
        <v>Rampe de pulvérisation pour herbicides avec tank</v>
      </c>
      <c r="J45" s="814">
        <f>'Variante données'!C125</f>
        <v>2</v>
      </c>
      <c r="K45" s="37">
        <f>'Variante données'!$C$136</f>
        <v>1</v>
      </c>
      <c r="L45" s="42">
        <f>'Variante données'!$D$136*(1+'Page variable'!$C$33)</f>
        <v>69</v>
      </c>
      <c r="M45" s="43">
        <f>J45*K45*L45</f>
        <v>138</v>
      </c>
      <c r="N45" s="733">
        <f>M45/$M$76</f>
        <v>9.9239007496339376E-3</v>
      </c>
      <c r="O45" s="38"/>
      <c r="P45" s="39" t="str">
        <f>'Variante données'!$B$136</f>
        <v>Rampe de pulvérisation pour herbicides avec tank</v>
      </c>
      <c r="Q45" s="613">
        <f>'Variante données'!$D$125</f>
        <v>6</v>
      </c>
      <c r="R45" s="37">
        <f>'Variante données'!$C$136</f>
        <v>1</v>
      </c>
      <c r="S45" s="42">
        <f>'Variante données'!$D$136*(1+'Page variable'!$C$33)</f>
        <v>69</v>
      </c>
      <c r="T45" s="43">
        <f>Q45*R45*S45</f>
        <v>414</v>
      </c>
      <c r="U45" s="733">
        <f>T45/$T$76</f>
        <v>1.5779731068660593E-2</v>
      </c>
      <c r="V45" s="38"/>
      <c r="W45" s="39" t="str">
        <f>'Variante données'!$B$136</f>
        <v>Rampe de pulvérisation pour herbicides avec tank</v>
      </c>
      <c r="X45" s="613">
        <f>'Variante données'!$D$125</f>
        <v>6</v>
      </c>
      <c r="Y45" s="37">
        <f>'Variante données'!$C$136</f>
        <v>1</v>
      </c>
      <c r="Z45" s="42">
        <f>'Variante données'!$D$136*(1+'Page variable'!$C$33)</f>
        <v>69</v>
      </c>
      <c r="AA45" s="43">
        <f>X45*Y45*Z45</f>
        <v>414</v>
      </c>
      <c r="AB45" s="733">
        <f>AA45/$AA$76</f>
        <v>1.4514200404262633E-2</v>
      </c>
      <c r="AC45" s="38"/>
      <c r="AD45" s="39" t="str">
        <f>'Variante données'!$B$136</f>
        <v>Rampe de pulvérisation pour herbicides avec tank</v>
      </c>
      <c r="AE45" s="613">
        <f>'Variante données'!$D$125</f>
        <v>6</v>
      </c>
      <c r="AF45" s="37">
        <f>'Variante données'!$C$136</f>
        <v>1</v>
      </c>
      <c r="AG45" s="42">
        <f>'Variante données'!$D$136*(1+'Page variable'!$C$33)</f>
        <v>69</v>
      </c>
      <c r="AH45" s="43">
        <f>AE45*AF45*AG45</f>
        <v>414</v>
      </c>
      <c r="AI45" s="733">
        <f>AH45/$AH$76</f>
        <v>1.3283835459782734E-2</v>
      </c>
      <c r="AJ45" s="38"/>
      <c r="AK45" s="39" t="str">
        <f>'Variante données'!$B$136</f>
        <v>Rampe de pulvérisation pour herbicides avec tank</v>
      </c>
      <c r="AL45" s="613">
        <f>'Variante données'!$D$125</f>
        <v>6</v>
      </c>
      <c r="AM45" s="37">
        <f>'Variante données'!$C$136</f>
        <v>1</v>
      </c>
      <c r="AN45" s="42">
        <f>'Variante données'!$D$136*(1+'Page variable'!$C$33)</f>
        <v>69</v>
      </c>
      <c r="AO45" s="43">
        <f>AL45*AM45*AN45</f>
        <v>414</v>
      </c>
      <c r="AP45" s="733">
        <f>AO45/$AO$76</f>
        <v>1.2280244329244294E-2</v>
      </c>
      <c r="AQ45" s="38"/>
      <c r="AR45" s="39" t="str">
        <f>'Variante données'!$B$136</f>
        <v>Rampe de pulvérisation pour herbicides avec tank</v>
      </c>
      <c r="AS45" s="613">
        <f>'Variante données'!$D$125</f>
        <v>6</v>
      </c>
      <c r="AT45" s="37">
        <f>'Variante données'!$C$136</f>
        <v>1</v>
      </c>
      <c r="AU45" s="42">
        <f>'Variante données'!$D$136*(1+'Page variable'!$C$33)</f>
        <v>69</v>
      </c>
      <c r="AV45" s="43">
        <f>AS45*AT45*AU45</f>
        <v>414</v>
      </c>
      <c r="AW45" s="733">
        <f>AV45/$AV$76</f>
        <v>1.2322749031709157E-2</v>
      </c>
      <c r="AX45" s="38"/>
      <c r="AY45" s="39" t="str">
        <f>'Variante données'!$B$136</f>
        <v>Rampe de pulvérisation pour herbicides avec tank</v>
      </c>
      <c r="AZ45" s="613">
        <f>'Variante données'!$D$125</f>
        <v>6</v>
      </c>
      <c r="BA45" s="37">
        <f>'Variante données'!$C$136</f>
        <v>1</v>
      </c>
      <c r="BB45" s="42">
        <f>'Variante données'!$D$136*(1+'Page variable'!$C$33)</f>
        <v>69</v>
      </c>
      <c r="BC45" s="43">
        <f>AZ45*BA45*BB45</f>
        <v>414</v>
      </c>
      <c r="BD45" s="733">
        <f>BC45/$BC$76</f>
        <v>1.236619325571053E-2</v>
      </c>
      <c r="BE45" s="38"/>
      <c r="BF45" s="39" t="str">
        <f>'Variante données'!$B$136</f>
        <v>Rampe de pulvérisation pour herbicides avec tank</v>
      </c>
      <c r="BG45" s="613">
        <f>'Variante données'!$D$125</f>
        <v>6</v>
      </c>
      <c r="BH45" s="37">
        <f>'Variante données'!$C$136</f>
        <v>1</v>
      </c>
      <c r="BI45" s="42">
        <f>'Variante données'!$D$136*(1+'Page variable'!$C$33)</f>
        <v>69</v>
      </c>
      <c r="BJ45" s="43">
        <f>BG45*BH45*BI45</f>
        <v>414</v>
      </c>
      <c r="BK45" s="733">
        <f>BJ45/$BJ$76</f>
        <v>1.2410603522739216E-2</v>
      </c>
      <c r="BL45" s="38"/>
      <c r="BM45" s="39" t="str">
        <f>'Variante données'!$B$136</f>
        <v>Rampe de pulvérisation pour herbicides avec tank</v>
      </c>
      <c r="BN45" s="613">
        <f>'Variante données'!$D$125</f>
        <v>6</v>
      </c>
      <c r="BO45" s="37">
        <f>'Variante données'!$C$136</f>
        <v>1</v>
      </c>
      <c r="BP45" s="42">
        <f>'Variante données'!$D$136*(1+'Page variable'!$C$33)</f>
        <v>69</v>
      </c>
      <c r="BQ45" s="43">
        <f>BN45*BO45*BP45</f>
        <v>414</v>
      </c>
      <c r="BR45" s="733">
        <f>BQ45/$BQ$76</f>
        <v>1.2456007328026089E-2</v>
      </c>
      <c r="BS45" s="38"/>
      <c r="BT45" s="39" t="str">
        <f>'Variante données'!$B$136</f>
        <v>Rampe de pulvérisation pour herbicides avec tank</v>
      </c>
      <c r="BU45" s="613">
        <f>'Variante données'!$D$125</f>
        <v>6</v>
      </c>
      <c r="BV45" s="37">
        <f>'Variante données'!$C$136</f>
        <v>1</v>
      </c>
      <c r="BW45" s="42">
        <f>'Variante données'!$D$136*(1+'Page variable'!$C$33)</f>
        <v>69</v>
      </c>
      <c r="BX45" s="43">
        <f>BU45*BV45*BW45</f>
        <v>414</v>
      </c>
      <c r="BY45" s="733">
        <f>BX45/$BX$76</f>
        <v>1.2493901381984026E-2</v>
      </c>
      <c r="BZ45" s="38"/>
      <c r="CA45" s="39" t="str">
        <f>'Variante données'!$B$136</f>
        <v>Rampe de pulvérisation pour herbicides avec tank</v>
      </c>
      <c r="CB45" s="613">
        <f>'Variante données'!$D$125</f>
        <v>6</v>
      </c>
      <c r="CC45" s="37">
        <f>'Variante données'!$C$136</f>
        <v>1</v>
      </c>
      <c r="CD45" s="42">
        <f>'Variante données'!$D$136*(1+'Page variable'!$C$33)</f>
        <v>69</v>
      </c>
      <c r="CE45" s="43">
        <f>CB45*CC45*CD45</f>
        <v>414</v>
      </c>
      <c r="CF45" s="733">
        <f>CE45/$CE$76</f>
        <v>1.2532600355654143E-2</v>
      </c>
      <c r="CG45" s="38"/>
      <c r="CH45" s="39" t="str">
        <f>'Variante données'!$B$136</f>
        <v>Rampe de pulvérisation pour herbicides avec tank</v>
      </c>
      <c r="CI45" s="613">
        <f>'Variante données'!$D$125</f>
        <v>6</v>
      </c>
      <c r="CJ45" s="37">
        <f>'Variante données'!$C$136</f>
        <v>1</v>
      </c>
      <c r="CK45" s="42">
        <f>'Variante données'!$D$136*(1+'Page variable'!$C$33)</f>
        <v>69</v>
      </c>
      <c r="CL45" s="43">
        <f>CI45*CJ45*CK45</f>
        <v>414</v>
      </c>
      <c r="CM45" s="733">
        <f>CL45/$CL$76</f>
        <v>1.2572125742756592E-2</v>
      </c>
      <c r="CN45" s="38"/>
      <c r="CO45" s="39" t="str">
        <f>'Variante données'!$B$136</f>
        <v>Rampe de pulvérisation pour herbicides avec tank</v>
      </c>
      <c r="CP45" s="613">
        <f>'Variante données'!$D$125</f>
        <v>6</v>
      </c>
      <c r="CQ45" s="37">
        <f>'Variante données'!$C$136</f>
        <v>1</v>
      </c>
      <c r="CR45" s="42">
        <f>'Variante données'!$D$136*(1+'Page variable'!$C$33)</f>
        <v>69</v>
      </c>
      <c r="CS45" s="43">
        <f>CP45*CQ45*CR45</f>
        <v>414</v>
      </c>
      <c r="CT45" s="733">
        <f>CS45/$CS$76</f>
        <v>1.2603817143539817E-2</v>
      </c>
      <c r="CU45" s="38"/>
      <c r="CV45" s="39" t="str">
        <f>'Variante données'!$B$136</f>
        <v>Rampe de pulvérisation pour herbicides avec tank</v>
      </c>
      <c r="CW45" s="613">
        <f>'Variante données'!$D$125</f>
        <v>6</v>
      </c>
      <c r="CX45" s="37">
        <f>'Variante données'!$C$136</f>
        <v>1</v>
      </c>
      <c r="CY45" s="42">
        <f>'Variante données'!$D$136*(1+'Page variable'!$C$33)</f>
        <v>69</v>
      </c>
      <c r="CZ45" s="43">
        <f>CW45*CX45*CY45</f>
        <v>414</v>
      </c>
      <c r="DA45" s="733">
        <f>CZ45/$CZ$76</f>
        <v>1.0544238112928388E-2</v>
      </c>
    </row>
    <row r="46" spans="1:105" s="1" customFormat="1" ht="13" x14ac:dyDescent="0.3">
      <c r="A46" s="38"/>
      <c r="B46" s="39" t="str">
        <f>'Variante données'!$B$137</f>
        <v>Distributeur d'engrais à simple trémie, 2.5 m</v>
      </c>
      <c r="C46" s="613">
        <f>C20</f>
        <v>0</v>
      </c>
      <c r="D46" s="37">
        <f>'Variante données'!$C$137</f>
        <v>1</v>
      </c>
      <c r="E46" s="42">
        <f>'Variante données'!$D$137*(1+'Page variable'!$C$33)</f>
        <v>18</v>
      </c>
      <c r="F46" s="43">
        <f>C46*D46*E46</f>
        <v>0</v>
      </c>
      <c r="G46" s="733">
        <f>F46/$F$76</f>
        <v>0</v>
      </c>
      <c r="H46" s="38"/>
      <c r="I46" s="39" t="str">
        <f>'Variante données'!$B$137</f>
        <v>Distributeur d'engrais à simple trémie, 2.5 m</v>
      </c>
      <c r="J46" s="613">
        <f>J20</f>
        <v>1</v>
      </c>
      <c r="K46" s="37">
        <f>'Variante données'!$C$137</f>
        <v>1</v>
      </c>
      <c r="L46" s="42">
        <f>'Variante données'!$D$137*(1+'Page variable'!$C$33)</f>
        <v>18</v>
      </c>
      <c r="M46" s="43">
        <f>J46*K46*L46</f>
        <v>18</v>
      </c>
      <c r="N46" s="733">
        <f>M46/$M$76</f>
        <v>1.2944218369087743E-3</v>
      </c>
      <c r="O46" s="38"/>
      <c r="P46" s="39" t="str">
        <f>'Variante données'!$B$137</f>
        <v>Distributeur d'engrais à simple trémie, 2.5 m</v>
      </c>
      <c r="Q46" s="613">
        <f>Q20</f>
        <v>2</v>
      </c>
      <c r="R46" s="37">
        <f>'Variante données'!$C$137</f>
        <v>1</v>
      </c>
      <c r="S46" s="42">
        <f>'Variante données'!$D$137*(1+'Page variable'!$C$33)</f>
        <v>18</v>
      </c>
      <c r="T46" s="43">
        <f>Q46*R46*S46</f>
        <v>36</v>
      </c>
      <c r="U46" s="733">
        <f>T46/$T$76</f>
        <v>1.3721505277096168E-3</v>
      </c>
      <c r="V46" s="38"/>
      <c r="W46" s="39" t="str">
        <f>'Variante données'!$B$137</f>
        <v>Distributeur d'engrais à simple trémie, 2.5 m</v>
      </c>
      <c r="X46" s="613">
        <f>X20</f>
        <v>2</v>
      </c>
      <c r="Y46" s="37">
        <f>'Variante données'!$C$137</f>
        <v>1</v>
      </c>
      <c r="Z46" s="42">
        <f>'Variante données'!$D$137*(1+'Page variable'!$C$33)</f>
        <v>18</v>
      </c>
      <c r="AA46" s="43">
        <f>X46*Y46*Z46</f>
        <v>36</v>
      </c>
      <c r="AB46" s="733">
        <f>AA46/$AA$76</f>
        <v>1.2621043829793594E-3</v>
      </c>
      <c r="AC46" s="38"/>
      <c r="AD46" s="39" t="str">
        <f>'Variante données'!$B$137</f>
        <v>Distributeur d'engrais à simple trémie, 2.5 m</v>
      </c>
      <c r="AE46" s="613">
        <f>AE20</f>
        <v>2</v>
      </c>
      <c r="AF46" s="37">
        <f>'Variante données'!$C$137</f>
        <v>1</v>
      </c>
      <c r="AG46" s="42">
        <f>'Variante données'!$D$137*(1+'Page variable'!$C$33)</f>
        <v>18</v>
      </c>
      <c r="AH46" s="43">
        <f>AE46*AF46*AG46</f>
        <v>36</v>
      </c>
      <c r="AI46" s="733">
        <f>AH46/$AH$76</f>
        <v>1.1551161269376289E-3</v>
      </c>
      <c r="AJ46" s="38"/>
      <c r="AK46" s="39" t="str">
        <f>'Variante données'!$B$137</f>
        <v>Distributeur d'engrais à simple trémie, 2.5 m</v>
      </c>
      <c r="AL46" s="613">
        <f>AL20</f>
        <v>2</v>
      </c>
      <c r="AM46" s="37">
        <f>'Variante données'!$C$137</f>
        <v>1</v>
      </c>
      <c r="AN46" s="42">
        <f>'Variante données'!$D$137*(1+'Page variable'!$C$33)</f>
        <v>18</v>
      </c>
      <c r="AO46" s="43">
        <f>AL46*AM46*AN46</f>
        <v>36</v>
      </c>
      <c r="AP46" s="733">
        <f>AO46/$AO$76</f>
        <v>1.0678473329777647E-3</v>
      </c>
      <c r="AQ46" s="38"/>
      <c r="AR46" s="39" t="str">
        <f>'Variante données'!$B$137</f>
        <v>Distributeur d'engrais à simple trémie, 2.5 m</v>
      </c>
      <c r="AS46" s="613">
        <f>AS20</f>
        <v>2</v>
      </c>
      <c r="AT46" s="37">
        <f>'Variante données'!$C$137</f>
        <v>1</v>
      </c>
      <c r="AU46" s="42">
        <f>'Variante données'!$D$137*(1+'Page variable'!$C$33)</f>
        <v>18</v>
      </c>
      <c r="AV46" s="43">
        <f>AS46*AT46*AU46</f>
        <v>36</v>
      </c>
      <c r="AW46" s="733">
        <f>AV46/$AV$76</f>
        <v>1.0715433940616658E-3</v>
      </c>
      <c r="AX46" s="38"/>
      <c r="AY46" s="39" t="str">
        <f>'Variante données'!$B$137</f>
        <v>Distributeur d'engrais à simple trémie, 2.5 m</v>
      </c>
      <c r="AZ46" s="613">
        <f>AZ20</f>
        <v>2</v>
      </c>
      <c r="BA46" s="37">
        <f>'Variante données'!$C$137</f>
        <v>1</v>
      </c>
      <c r="BB46" s="42">
        <f>'Variante données'!$D$137*(1+'Page variable'!$C$33)</f>
        <v>18</v>
      </c>
      <c r="BC46" s="43">
        <f>AZ46*BA46*BB46</f>
        <v>36</v>
      </c>
      <c r="BD46" s="733">
        <f>BC46/$BC$76</f>
        <v>1.075321152670481E-3</v>
      </c>
      <c r="BE46" s="38"/>
      <c r="BF46" s="39" t="str">
        <f>'Variante données'!$B$137</f>
        <v>Distributeur d'engrais à simple trémie, 2.5 m</v>
      </c>
      <c r="BG46" s="613">
        <f>BG20</f>
        <v>2</v>
      </c>
      <c r="BH46" s="37">
        <f>'Variante données'!$C$137</f>
        <v>1</v>
      </c>
      <c r="BI46" s="42">
        <f>'Variante données'!$D$137*(1+'Page variable'!$C$33)</f>
        <v>18</v>
      </c>
      <c r="BJ46" s="43">
        <f>BG46*BH46*BI46</f>
        <v>36</v>
      </c>
      <c r="BK46" s="733">
        <f>BJ46/$BJ$76</f>
        <v>1.0791829150208012E-3</v>
      </c>
      <c r="BL46" s="38"/>
      <c r="BM46" s="39" t="str">
        <f>'Variante données'!$B$137</f>
        <v>Distributeur d'engrais à simple trémie, 2.5 m</v>
      </c>
      <c r="BN46" s="613">
        <f>BN20</f>
        <v>2</v>
      </c>
      <c r="BO46" s="37">
        <f>'Variante données'!$C$137</f>
        <v>1</v>
      </c>
      <c r="BP46" s="42">
        <f>'Variante données'!$D$137*(1+'Page variable'!$C$33)</f>
        <v>18</v>
      </c>
      <c r="BQ46" s="43">
        <f>BN46*BO46*BP46</f>
        <v>36</v>
      </c>
      <c r="BR46" s="733">
        <f>BQ46/$BQ$76</f>
        <v>1.0831310720022685E-3</v>
      </c>
      <c r="BS46" s="38"/>
      <c r="BT46" s="39" t="str">
        <f>'Variante données'!$B$137</f>
        <v>Distributeur d'engrais à simple trémie, 2.5 m</v>
      </c>
      <c r="BU46" s="613">
        <f>BU20</f>
        <v>2</v>
      </c>
      <c r="BV46" s="37">
        <f>'Variante données'!$C$137</f>
        <v>1</v>
      </c>
      <c r="BW46" s="42">
        <f>'Variante données'!$D$137*(1+'Page variable'!$C$33)</f>
        <v>18</v>
      </c>
      <c r="BX46" s="43">
        <f>BU46*BV46*BW46</f>
        <v>36</v>
      </c>
      <c r="BY46" s="733">
        <f>BX46/$BX$76</f>
        <v>1.0864262071290456E-3</v>
      </c>
      <c r="BZ46" s="38"/>
      <c r="CA46" s="39" t="str">
        <f>'Variante données'!$B$137</f>
        <v>Distributeur d'engrais à simple trémie, 2.5 m</v>
      </c>
      <c r="CB46" s="613">
        <f>CB20</f>
        <v>2</v>
      </c>
      <c r="CC46" s="37">
        <f>'Variante données'!$C$137</f>
        <v>1</v>
      </c>
      <c r="CD46" s="42">
        <f>'Variante données'!$D$137*(1+'Page variable'!$C$33)</f>
        <v>18</v>
      </c>
      <c r="CE46" s="43">
        <f>CB46*CC46*CD46</f>
        <v>36</v>
      </c>
      <c r="CF46" s="733">
        <f>CE46/$CE$76</f>
        <v>1.0897913352742733E-3</v>
      </c>
      <c r="CG46" s="38"/>
      <c r="CH46" s="39" t="str">
        <f>'Variante données'!$B$137</f>
        <v>Distributeur d'engrais à simple trémie, 2.5 m</v>
      </c>
      <c r="CI46" s="613">
        <f>CI20</f>
        <v>2</v>
      </c>
      <c r="CJ46" s="37">
        <f>'Variante données'!$C$137</f>
        <v>1</v>
      </c>
      <c r="CK46" s="42">
        <f>'Variante données'!$D$137*(1+'Page variable'!$C$33)</f>
        <v>18</v>
      </c>
      <c r="CL46" s="43">
        <f>CI46*CJ46*CK46</f>
        <v>36</v>
      </c>
      <c r="CM46" s="733">
        <f>CL46/$CL$76</f>
        <v>1.093228325457095E-3</v>
      </c>
      <c r="CN46" s="38"/>
      <c r="CO46" s="39" t="str">
        <f>'Variante données'!$B$137</f>
        <v>Distributeur d'engrais à simple trémie, 2.5 m</v>
      </c>
      <c r="CP46" s="613">
        <f>CP20</f>
        <v>2</v>
      </c>
      <c r="CQ46" s="37">
        <f>'Variante données'!$C$137</f>
        <v>1</v>
      </c>
      <c r="CR46" s="42">
        <f>'Variante données'!$D$137*(1+'Page variable'!$C$33)</f>
        <v>18</v>
      </c>
      <c r="CS46" s="43">
        <f>CP46*CQ46*CR46</f>
        <v>36</v>
      </c>
      <c r="CT46" s="733">
        <f>CS46/$CS$76</f>
        <v>1.0959840994382451E-3</v>
      </c>
      <c r="CU46" s="38"/>
      <c r="CV46" s="39" t="str">
        <f>'Variante données'!$B$137</f>
        <v>Distributeur d'engrais à simple trémie, 2.5 m</v>
      </c>
      <c r="CW46" s="613">
        <f>CW20</f>
        <v>2</v>
      </c>
      <c r="CX46" s="37">
        <f>'Variante données'!$C$137</f>
        <v>1</v>
      </c>
      <c r="CY46" s="42">
        <f>'Variante données'!$D$137*(1+'Page variable'!$C$33)</f>
        <v>18</v>
      </c>
      <c r="CZ46" s="43">
        <f>CW46*CX46*CY46</f>
        <v>36</v>
      </c>
      <c r="DA46" s="733">
        <f>CZ46/$CZ$76</f>
        <v>9.1689027068942504E-4</v>
      </c>
    </row>
    <row r="47" spans="1:105" s="66" customFormat="1" ht="12.5" x14ac:dyDescent="0.25">
      <c r="A47" s="144"/>
      <c r="B47" s="39" t="str">
        <f>'Variante données'!$B$138</f>
        <v>Char d'arboriculture</v>
      </c>
      <c r="C47" s="1053">
        <f>'Variante données'!$C$138</f>
        <v>960</v>
      </c>
      <c r="D47" s="18"/>
      <c r="E47" s="1055">
        <f>'Variante données'!$D$138*(1+'Page variable'!$C$33)</f>
        <v>11.2</v>
      </c>
      <c r="F47" s="43">
        <f>D48*E47</f>
        <v>0</v>
      </c>
      <c r="G47" s="733">
        <f>F47/F76</f>
        <v>0</v>
      </c>
      <c r="H47" s="144"/>
      <c r="I47" s="39" t="str">
        <f>'Variante données'!$B$138</f>
        <v>Char d'arboriculture</v>
      </c>
      <c r="J47" s="1053">
        <f>'Variante données'!$C$138</f>
        <v>960</v>
      </c>
      <c r="K47" s="18"/>
      <c r="L47" s="1055">
        <f>'Variante données'!$D$138*(1+'Page variable'!$C$33)</f>
        <v>11.2</v>
      </c>
      <c r="M47" s="43">
        <f>K48*L47</f>
        <v>55.416666666666664</v>
      </c>
      <c r="N47" s="733">
        <f>M47/M76</f>
        <v>3.9851413034459951E-3</v>
      </c>
      <c r="O47" s="144"/>
      <c r="P47" s="39" t="str">
        <f>'Variante données'!$B$138</f>
        <v>Char d'arboriculture</v>
      </c>
      <c r="Q47" s="1053">
        <f>'Variante données'!$C$138</f>
        <v>960</v>
      </c>
      <c r="R47" s="18"/>
      <c r="S47" s="1055">
        <f>'Variante données'!$D$138*(1+'Page variable'!$C$33)</f>
        <v>11.2</v>
      </c>
      <c r="T47" s="43">
        <f>R48*S47</f>
        <v>199.5</v>
      </c>
      <c r="U47" s="733">
        <f>T47/T76</f>
        <v>7.6040008410574594E-3</v>
      </c>
      <c r="V47" s="144"/>
      <c r="W47" s="39" t="str">
        <f>'Variante données'!$B$138</f>
        <v>Char d'arboriculture</v>
      </c>
      <c r="X47" s="1053">
        <f>'Variante données'!$C$138</f>
        <v>960</v>
      </c>
      <c r="Y47" s="18"/>
      <c r="Z47" s="1055">
        <f>'Variante données'!$D$138*(1+'Page variable'!$C$33)</f>
        <v>11.2</v>
      </c>
      <c r="AA47" s="43">
        <f>Y48*Z47</f>
        <v>277.08333333333331</v>
      </c>
      <c r="AB47" s="733">
        <f>AA47/AA76</f>
        <v>9.7141135958480791E-3</v>
      </c>
      <c r="AC47" s="144"/>
      <c r="AD47" s="39" t="str">
        <f>'Variante données'!$B$138</f>
        <v>Char d'arboriculture</v>
      </c>
      <c r="AE47" s="1053">
        <f>'Variante données'!$C$138</f>
        <v>960</v>
      </c>
      <c r="AF47" s="18"/>
      <c r="AG47" s="1055">
        <f>'Variante données'!$D$138*(1+'Page variable'!$C$33)</f>
        <v>11.2</v>
      </c>
      <c r="AH47" s="43">
        <f>AF48*AG47</f>
        <v>387.91666666666663</v>
      </c>
      <c r="AI47" s="733">
        <f>AH47/AH76</f>
        <v>1.2446911043737643E-2</v>
      </c>
      <c r="AJ47" s="144"/>
      <c r="AK47" s="39" t="str">
        <f>'Variante données'!$B$138</f>
        <v>Char d'arboriculture</v>
      </c>
      <c r="AL47" s="1053">
        <f>'Variante données'!$C$138</f>
        <v>960</v>
      </c>
      <c r="AM47" s="18"/>
      <c r="AN47" s="1055">
        <f>'Variante données'!$D$138*(1+'Page variable'!$C$33)</f>
        <v>11.2</v>
      </c>
      <c r="AO47" s="43">
        <f>AM48*AN47</f>
        <v>498.74999999999994</v>
      </c>
      <c r="AP47" s="733">
        <f>AO47/AO76</f>
        <v>1.4794134925629447E-2</v>
      </c>
      <c r="AQ47" s="144"/>
      <c r="AR47" s="39" t="str">
        <f>'Variante données'!$B$138</f>
        <v>Char d'arboriculture</v>
      </c>
      <c r="AS47" s="1053">
        <f>'Variante données'!$C$138</f>
        <v>960</v>
      </c>
      <c r="AT47" s="18"/>
      <c r="AU47" s="1055">
        <f>'Variante données'!$D$138*(1+'Page variable'!$C$33)</f>
        <v>11.2</v>
      </c>
      <c r="AV47" s="43">
        <f>AT48*AU47</f>
        <v>498.74999999999994</v>
      </c>
      <c r="AW47" s="733">
        <f>AV47/AV76</f>
        <v>1.4845340771895994E-2</v>
      </c>
      <c r="AX47" s="144"/>
      <c r="AY47" s="39" t="str">
        <f>'Variante données'!$B$138</f>
        <v>Char d'arboriculture</v>
      </c>
      <c r="AZ47" s="1053">
        <f>'Variante données'!$C$138</f>
        <v>960</v>
      </c>
      <c r="BA47" s="18"/>
      <c r="BB47" s="1055">
        <f>'Variante données'!$D$138*(1+'Page variable'!$C$33)</f>
        <v>11.2</v>
      </c>
      <c r="BC47" s="43">
        <f>BA48*BB47</f>
        <v>498.74999999999994</v>
      </c>
      <c r="BD47" s="733">
        <f>BC47/BC76</f>
        <v>1.4897678469288952E-2</v>
      </c>
      <c r="BE47" s="144"/>
      <c r="BF47" s="39" t="str">
        <f>'Variante données'!$B$138</f>
        <v>Char d'arboriculture</v>
      </c>
      <c r="BG47" s="1053">
        <f>'Variante données'!$C$138</f>
        <v>960</v>
      </c>
      <c r="BH47" s="18"/>
      <c r="BI47" s="1055">
        <f>'Variante données'!$D$138*(1+'Page variable'!$C$33)</f>
        <v>11.2</v>
      </c>
      <c r="BJ47" s="43">
        <f>BH48*BI47</f>
        <v>498.74999999999994</v>
      </c>
      <c r="BK47" s="733">
        <f>BJ47/BJ76</f>
        <v>1.495117996851735E-2</v>
      </c>
      <c r="BL47" s="144"/>
      <c r="BM47" s="39" t="str">
        <f>'Variante données'!$B$138</f>
        <v>Char d'arboriculture</v>
      </c>
      <c r="BN47" s="1053">
        <f>'Variante données'!$C$138</f>
        <v>960</v>
      </c>
      <c r="BO47" s="18"/>
      <c r="BP47" s="1055">
        <f>'Variante données'!$D$138*(1+'Page variable'!$C$33)</f>
        <v>11.2</v>
      </c>
      <c r="BQ47" s="43">
        <f>BO48*BP47</f>
        <v>498.74999999999994</v>
      </c>
      <c r="BR47" s="733">
        <f>BQ47/BQ76</f>
        <v>1.5005878393364761E-2</v>
      </c>
      <c r="BS47" s="144"/>
      <c r="BT47" s="39" t="str">
        <f>'Variante données'!$B$138</f>
        <v>Char d'arboriculture</v>
      </c>
      <c r="BU47" s="1053">
        <f>'Variante données'!$C$138</f>
        <v>960</v>
      </c>
      <c r="BV47" s="18"/>
      <c r="BW47" s="1055">
        <f>'Variante données'!$D$138*(1+'Page variable'!$C$33)</f>
        <v>11.2</v>
      </c>
      <c r="BX47" s="43">
        <f>BV48*BW47</f>
        <v>498.74999999999994</v>
      </c>
      <c r="BY47" s="733">
        <f>BX47/BX76</f>
        <v>1.5051529744600318E-2</v>
      </c>
      <c r="BZ47" s="144"/>
      <c r="CA47" s="39" t="str">
        <f>'Variante données'!$B$138</f>
        <v>Char d'arboriculture</v>
      </c>
      <c r="CB47" s="1053">
        <f>'Variante données'!$C$138</f>
        <v>960</v>
      </c>
      <c r="CC47" s="18"/>
      <c r="CD47" s="1055">
        <f>'Variante données'!$D$138*(1+'Page variable'!$C$33)</f>
        <v>11.2</v>
      </c>
      <c r="CE47" s="43">
        <f>CC48*CD47</f>
        <v>498.74999999999994</v>
      </c>
      <c r="CF47" s="733">
        <f>CE47/CE76</f>
        <v>1.5098150790778992E-2</v>
      </c>
      <c r="CG47" s="144"/>
      <c r="CH47" s="39" t="str">
        <f>'Variante données'!$B$138</f>
        <v>Char d'arboriculture</v>
      </c>
      <c r="CI47" s="1053">
        <f>'Variante données'!$C$138</f>
        <v>960</v>
      </c>
      <c r="CJ47" s="18"/>
      <c r="CK47" s="1055">
        <f>'Variante données'!$D$138*(1+'Page variable'!$C$33)</f>
        <v>11.2</v>
      </c>
      <c r="CL47" s="43">
        <f>CJ48*CK47</f>
        <v>498.74999999999994</v>
      </c>
      <c r="CM47" s="733">
        <f>CL47/CL76</f>
        <v>1.5145767425603501E-2</v>
      </c>
      <c r="CN47" s="144"/>
      <c r="CO47" s="39" t="str">
        <f>'Variante données'!$B$138</f>
        <v>Char d'arboriculture</v>
      </c>
      <c r="CP47" s="1053">
        <f>'Variante données'!$C$138</f>
        <v>960</v>
      </c>
      <c r="CQ47" s="18"/>
      <c r="CR47" s="1055">
        <f>'Variante données'!$D$138*(1+'Page variable'!$C$33)</f>
        <v>11.2</v>
      </c>
      <c r="CS47" s="43">
        <f>CQ48*CR47</f>
        <v>498.74999999999994</v>
      </c>
      <c r="CT47" s="733">
        <f>CS47/CS76</f>
        <v>1.5183946377634018E-2</v>
      </c>
      <c r="CU47" s="144"/>
      <c r="CV47" s="39" t="str">
        <f>'Variante données'!$B$138</f>
        <v>Char d'arboriculture</v>
      </c>
      <c r="CW47" s="1053">
        <f>'Variante données'!$C$138</f>
        <v>960</v>
      </c>
      <c r="CX47" s="18"/>
      <c r="CY47" s="1055">
        <f>'Variante données'!$D$138*(1+'Page variable'!$C$33)</f>
        <v>11.2</v>
      </c>
      <c r="CZ47" s="43">
        <f>CX48*CY47</f>
        <v>498.74999999999994</v>
      </c>
      <c r="DA47" s="733">
        <f>CZ47/CZ76</f>
        <v>1.2702750625176408E-2</v>
      </c>
    </row>
    <row r="48" spans="1:105" s="66" customFormat="1" ht="13" x14ac:dyDescent="0.3">
      <c r="A48" s="144"/>
      <c r="B48" s="293" t="s">
        <v>384</v>
      </c>
      <c r="C48" s="1046">
        <f>'Variante données'!$E$138</f>
        <v>4</v>
      </c>
      <c r="D48" s="1054">
        <f>((D9+D10)+('Variante données'!$D$86*D12))/C47</f>
        <v>0</v>
      </c>
      <c r="E48" s="1056">
        <f>C47/C67/C48*(1+'Page variable'!$C$33)</f>
        <v>2.1818181818181817</v>
      </c>
      <c r="F48" s="43"/>
      <c r="G48" s="733"/>
      <c r="H48" s="144"/>
      <c r="I48" s="293" t="s">
        <v>384</v>
      </c>
      <c r="J48" s="1046">
        <f>'Variante données'!$E$138</f>
        <v>4</v>
      </c>
      <c r="K48" s="1057">
        <f>((K9+K10)+('Variante données'!$D$86*K12))/J47</f>
        <v>4.947916666666667</v>
      </c>
      <c r="L48" s="1056">
        <f>J47/J67/J48*(1+'Page variable'!$C$33)</f>
        <v>2.1818181818181817</v>
      </c>
      <c r="M48" s="43"/>
      <c r="N48" s="733"/>
      <c r="O48" s="144"/>
      <c r="P48" s="293" t="s">
        <v>384</v>
      </c>
      <c r="Q48" s="1046">
        <f>'Variante données'!$E$138</f>
        <v>4</v>
      </c>
      <c r="R48" s="1057">
        <f>((R9+R10)+('Variante données'!$D$86*R12))/Q47</f>
        <v>17.8125</v>
      </c>
      <c r="S48" s="1056">
        <f>Q47/Q67/Q48*(1+'Page variable'!$C$33)</f>
        <v>2.1818181818181817</v>
      </c>
      <c r="T48" s="43"/>
      <c r="U48" s="733"/>
      <c r="V48" s="144"/>
      <c r="W48" s="293" t="s">
        <v>384</v>
      </c>
      <c r="X48" s="1046">
        <f>'Variante données'!$E$138</f>
        <v>4</v>
      </c>
      <c r="Y48" s="1057">
        <f>((Y9+Y10)+('Variante données'!$D$86*Y12))/X47</f>
        <v>24.739583333333332</v>
      </c>
      <c r="Z48" s="1056">
        <f>X47/X67/X48*(1+'Page variable'!$C$33)</f>
        <v>2.1818181818181817</v>
      </c>
      <c r="AA48" s="43"/>
      <c r="AB48" s="733"/>
      <c r="AC48" s="144"/>
      <c r="AD48" s="293" t="s">
        <v>384</v>
      </c>
      <c r="AE48" s="1046">
        <f>'Variante données'!$E$138</f>
        <v>4</v>
      </c>
      <c r="AF48" s="1057">
        <f>((AF9+AF10)+('Variante données'!$D$86*AF12))/AE47</f>
        <v>34.635416666666664</v>
      </c>
      <c r="AG48" s="1056">
        <f>AE47/AE67/AE48*(1+'Page variable'!$C$33)</f>
        <v>2.1818181818181817</v>
      </c>
      <c r="AH48" s="43"/>
      <c r="AI48" s="733"/>
      <c r="AJ48" s="144"/>
      <c r="AK48" s="293" t="s">
        <v>384</v>
      </c>
      <c r="AL48" s="1046">
        <f>'Variante données'!$E$138</f>
        <v>4</v>
      </c>
      <c r="AM48" s="1057">
        <f>((AM9+AM10)+('Variante données'!$D$86*AM12))/AL47</f>
        <v>44.53125</v>
      </c>
      <c r="AN48" s="1056">
        <f>AL47/AL67/AL48*(1+'Page variable'!$C$33)</f>
        <v>2.1818181818181817</v>
      </c>
      <c r="AO48" s="43"/>
      <c r="AP48" s="733"/>
      <c r="AQ48" s="144"/>
      <c r="AR48" s="293" t="s">
        <v>384</v>
      </c>
      <c r="AS48" s="1046">
        <f>'Variante données'!$E$138</f>
        <v>4</v>
      </c>
      <c r="AT48" s="1057">
        <f>((AT9+AT10)+('Variante données'!$D$86*AT12))/AS47</f>
        <v>44.53125</v>
      </c>
      <c r="AU48" s="1056">
        <f>AS47/AS67/AS48*(1+'Page variable'!$C$33)</f>
        <v>2.1818181818181817</v>
      </c>
      <c r="AV48" s="43"/>
      <c r="AW48" s="733"/>
      <c r="AX48" s="144"/>
      <c r="AY48" s="293" t="s">
        <v>384</v>
      </c>
      <c r="AZ48" s="1046">
        <f>'Variante données'!$E$138</f>
        <v>4</v>
      </c>
      <c r="BA48" s="1057">
        <f>((BA9+BA10)+('Variante données'!$D$86*BA12))/AZ47</f>
        <v>44.53125</v>
      </c>
      <c r="BB48" s="1056">
        <f>AZ47/AZ67/AZ48*(1+'Page variable'!$C$33)</f>
        <v>2.1818181818181817</v>
      </c>
      <c r="BC48" s="43"/>
      <c r="BD48" s="733"/>
      <c r="BE48" s="144"/>
      <c r="BF48" s="293" t="s">
        <v>384</v>
      </c>
      <c r="BG48" s="1046">
        <f>'Variante données'!$E$138</f>
        <v>4</v>
      </c>
      <c r="BH48" s="1057">
        <f>((BH9+BH10)+('Variante données'!$D$86*BH12))/BG47</f>
        <v>44.53125</v>
      </c>
      <c r="BI48" s="1056">
        <f>BG47/BG67/BG48*(1+'Page variable'!$C$33)</f>
        <v>2.1818181818181817</v>
      </c>
      <c r="BJ48" s="43"/>
      <c r="BK48" s="733"/>
      <c r="BL48" s="144"/>
      <c r="BM48" s="293" t="s">
        <v>384</v>
      </c>
      <c r="BN48" s="1046">
        <f>'Variante données'!$E$138</f>
        <v>4</v>
      </c>
      <c r="BO48" s="1057">
        <f>((BO9+BO10)+('Variante données'!$D$86*BO12))/BN47</f>
        <v>44.53125</v>
      </c>
      <c r="BP48" s="1056">
        <f>BN47/BN67/BN48*(1+'Page variable'!$C$33)</f>
        <v>2.1818181818181817</v>
      </c>
      <c r="BQ48" s="43"/>
      <c r="BR48" s="733"/>
      <c r="BS48" s="144"/>
      <c r="BT48" s="293" t="s">
        <v>384</v>
      </c>
      <c r="BU48" s="1046">
        <f>'Variante données'!$E$138</f>
        <v>4</v>
      </c>
      <c r="BV48" s="1057">
        <f>((BV9+BV10)+('Variante données'!$D$86*BV12))/BU47</f>
        <v>44.53125</v>
      </c>
      <c r="BW48" s="1056">
        <f>BU47/BU67/BU48*(1+'Page variable'!$C$33)</f>
        <v>2.1818181818181817</v>
      </c>
      <c r="BX48" s="43"/>
      <c r="BY48" s="733"/>
      <c r="BZ48" s="144"/>
      <c r="CA48" s="293" t="s">
        <v>384</v>
      </c>
      <c r="CB48" s="1046">
        <f>'Variante données'!$E$138</f>
        <v>4</v>
      </c>
      <c r="CC48" s="1057">
        <f>((CC9+CC10)+('Variante données'!$D$86*CC12))/CB47</f>
        <v>44.53125</v>
      </c>
      <c r="CD48" s="1056">
        <f>CB47/CB67/CB48*(1+'Page variable'!$C$33)</f>
        <v>2.1818181818181817</v>
      </c>
      <c r="CE48" s="43"/>
      <c r="CF48" s="733"/>
      <c r="CG48" s="144"/>
      <c r="CH48" s="293" t="s">
        <v>384</v>
      </c>
      <c r="CI48" s="1046">
        <f>'Variante données'!$E$138</f>
        <v>4</v>
      </c>
      <c r="CJ48" s="1057">
        <f>((CJ9+CJ10)+('Variante données'!$D$86*CJ12))/CI47</f>
        <v>44.53125</v>
      </c>
      <c r="CK48" s="1056">
        <f>CI47/CI67/CI48*(1+'Page variable'!$C$33)</f>
        <v>2.1818181818181817</v>
      </c>
      <c r="CL48" s="43"/>
      <c r="CM48" s="733"/>
      <c r="CN48" s="144"/>
      <c r="CO48" s="293" t="s">
        <v>384</v>
      </c>
      <c r="CP48" s="1046">
        <f>'Variante données'!$E$138</f>
        <v>4</v>
      </c>
      <c r="CQ48" s="1057">
        <f>((CQ9+CQ10)+('Variante données'!$D$86*CQ12))/CP47</f>
        <v>44.53125</v>
      </c>
      <c r="CR48" s="1056">
        <f>CP47/CP67/CP48*(1+'Page variable'!$C$33)</f>
        <v>2.1818181818181817</v>
      </c>
      <c r="CS48" s="43"/>
      <c r="CT48" s="733"/>
      <c r="CU48" s="144"/>
      <c r="CV48" s="293" t="s">
        <v>384</v>
      </c>
      <c r="CW48" s="1046">
        <f>'Variante données'!$E$138</f>
        <v>4</v>
      </c>
      <c r="CX48" s="1057">
        <f>((CX9+CX10)+('Variante données'!$D$86*CX12))/CW47</f>
        <v>44.53125</v>
      </c>
      <c r="CY48" s="1056">
        <f>CW47/CW67/CW48*(1+'Page variable'!$C$33)</f>
        <v>2.1818181818181817</v>
      </c>
      <c r="CZ48" s="43"/>
      <c r="DA48" s="733"/>
    </row>
    <row r="49" spans="1:105" s="1" customFormat="1" ht="13" x14ac:dyDescent="0.3">
      <c r="A49" s="38"/>
      <c r="B49" s="293" t="s">
        <v>385</v>
      </c>
      <c r="C49" s="1046">
        <f>'Variante données'!$E$138</f>
        <v>4</v>
      </c>
      <c r="D49" s="1054">
        <f>'Variante données'!$E$86*D12/C47</f>
        <v>0</v>
      </c>
      <c r="E49" s="1056">
        <f>C47/C68/C49*(1+'Page variable'!$C$33)</f>
        <v>0.8</v>
      </c>
      <c r="F49" s="43">
        <f>D49*E47</f>
        <v>0</v>
      </c>
      <c r="G49" s="733">
        <f>F49/F76</f>
        <v>0</v>
      </c>
      <c r="H49" s="38"/>
      <c r="I49" s="293" t="s">
        <v>385</v>
      </c>
      <c r="J49" s="1046">
        <f>'Variante données'!$E$138</f>
        <v>4</v>
      </c>
      <c r="K49" s="1054">
        <f>'Variante données'!$E$86*K12/J47</f>
        <v>0.26041666666666663</v>
      </c>
      <c r="L49" s="1056">
        <f>J47/J68/J49*(1+'Page variable'!$C$33)</f>
        <v>0.8</v>
      </c>
      <c r="M49" s="43">
        <f>K49*L47</f>
        <v>2.9166666666666661</v>
      </c>
      <c r="N49" s="733">
        <f>M49/M76</f>
        <v>2.0974427912873655E-4</v>
      </c>
      <c r="O49" s="38"/>
      <c r="P49" s="293" t="s">
        <v>385</v>
      </c>
      <c r="Q49" s="1046">
        <f>'Variante données'!$E$138</f>
        <v>4</v>
      </c>
      <c r="R49" s="1054">
        <f>'Variante données'!$E$86*R12/Q47</f>
        <v>0.93749999999999989</v>
      </c>
      <c r="S49" s="1056">
        <f>Q47/Q68/Q49*(1+'Page variable'!$C$33)</f>
        <v>0.8</v>
      </c>
      <c r="T49" s="43">
        <f>R49*S47</f>
        <v>10.499999999999998</v>
      </c>
      <c r="U49" s="733">
        <f>T49/T76</f>
        <v>4.002105705819715E-4</v>
      </c>
      <c r="V49" s="38"/>
      <c r="W49" s="293" t="s">
        <v>385</v>
      </c>
      <c r="X49" s="1046">
        <f>'Variante données'!$E$138</f>
        <v>4</v>
      </c>
      <c r="Y49" s="1054">
        <f>'Variante données'!$E$86*Y12/X47</f>
        <v>1.3020833333333333</v>
      </c>
      <c r="Z49" s="1056">
        <f>X47/X68/X49*(1+'Page variable'!$C$33)</f>
        <v>0.8</v>
      </c>
      <c r="AA49" s="43">
        <f>Y49*Z47</f>
        <v>14.583333333333332</v>
      </c>
      <c r="AB49" s="733">
        <f>AA49/AA76</f>
        <v>5.1126913662358307E-4</v>
      </c>
      <c r="AC49" s="38"/>
      <c r="AD49" s="293" t="s">
        <v>385</v>
      </c>
      <c r="AE49" s="1046">
        <f>'Variante données'!$E$138</f>
        <v>4</v>
      </c>
      <c r="AF49" s="1057">
        <f>'Variante données'!$E$86*AF12/AE47</f>
        <v>1.8229166666666665</v>
      </c>
      <c r="AG49" s="1056">
        <f>AE47/AE68/AE49*(1+'Page variable'!$C$33)</f>
        <v>0.8</v>
      </c>
      <c r="AH49" s="43">
        <f>AF49*AG47</f>
        <v>20.416666666666664</v>
      </c>
      <c r="AI49" s="733">
        <f>AH49/AH76</f>
        <v>6.5510058124934969E-4</v>
      </c>
      <c r="AJ49" s="38"/>
      <c r="AK49" s="293" t="s">
        <v>385</v>
      </c>
      <c r="AL49" s="1046">
        <f>'Variante données'!$E$138</f>
        <v>4</v>
      </c>
      <c r="AM49" s="1057">
        <f>'Variante données'!$E$86*AM12/AL47</f>
        <v>2.34375</v>
      </c>
      <c r="AN49" s="1056">
        <f>AL47/AL68/AL49*(1+'Page variable'!$C$33)</f>
        <v>0.8</v>
      </c>
      <c r="AO49" s="43">
        <f>AM49*AN47</f>
        <v>26.25</v>
      </c>
      <c r="AP49" s="733">
        <f>AO49/AO76</f>
        <v>7.7863868029628676E-4</v>
      </c>
      <c r="AQ49" s="38"/>
      <c r="AR49" s="293" t="s">
        <v>385</v>
      </c>
      <c r="AS49" s="1046">
        <f>'Variante données'!$E$138</f>
        <v>4</v>
      </c>
      <c r="AT49" s="1057">
        <f>'Variante données'!$E$86*AT12/AS47</f>
        <v>2.34375</v>
      </c>
      <c r="AU49" s="1056">
        <f>AS47/AS68/AS49*(1+'Page variable'!$C$33)</f>
        <v>0.8</v>
      </c>
      <c r="AV49" s="43">
        <f>AT49*AU47</f>
        <v>26.25</v>
      </c>
      <c r="AW49" s="733">
        <f>AV49/AV76</f>
        <v>7.813337248366313E-4</v>
      </c>
      <c r="AX49" s="38"/>
      <c r="AY49" s="293" t="s">
        <v>385</v>
      </c>
      <c r="AZ49" s="1046">
        <f>'Variante données'!$E$138</f>
        <v>4</v>
      </c>
      <c r="BA49" s="1057">
        <f>'Variante données'!$E$86*BA12/AZ47</f>
        <v>2.34375</v>
      </c>
      <c r="BB49" s="1056">
        <f>AZ47/AZ68/AZ49*(1+'Page variable'!$C$33)</f>
        <v>0.8</v>
      </c>
      <c r="BC49" s="43">
        <f>BA49*BB47</f>
        <v>26.25</v>
      </c>
      <c r="BD49" s="733">
        <f>BC49/BC76</f>
        <v>7.8408834048889235E-4</v>
      </c>
      <c r="BE49" s="38"/>
      <c r="BF49" s="293" t="s">
        <v>385</v>
      </c>
      <c r="BG49" s="1046">
        <f>'Variante données'!$E$138</f>
        <v>4</v>
      </c>
      <c r="BH49" s="1057">
        <f>'Variante données'!$E$86*BH12/BG47</f>
        <v>2.34375</v>
      </c>
      <c r="BI49" s="1056">
        <f>BG47/BG68/BG49*(1+'Page variable'!$C$33)</f>
        <v>0.8</v>
      </c>
      <c r="BJ49" s="43">
        <f>BH49*BI47</f>
        <v>26.25</v>
      </c>
      <c r="BK49" s="733">
        <f>BJ49/BJ76</f>
        <v>7.8690420886933432E-4</v>
      </c>
      <c r="BL49" s="38"/>
      <c r="BM49" s="293" t="s">
        <v>385</v>
      </c>
      <c r="BN49" s="1046">
        <f>'Variante données'!$E$138</f>
        <v>4</v>
      </c>
      <c r="BO49" s="1057">
        <f>'Variante données'!$E$86*BO12/BN47</f>
        <v>2.34375</v>
      </c>
      <c r="BP49" s="1056">
        <f>BN47/BN68/BN49*(1+'Page variable'!$C$33)</f>
        <v>0.8</v>
      </c>
      <c r="BQ49" s="43">
        <f>BO49*BP47</f>
        <v>26.25</v>
      </c>
      <c r="BR49" s="733">
        <f>BQ49/BQ76</f>
        <v>7.8978307333498745E-4</v>
      </c>
      <c r="BS49" s="38"/>
      <c r="BT49" s="293" t="s">
        <v>385</v>
      </c>
      <c r="BU49" s="1046">
        <f>'Variante données'!$E$138</f>
        <v>4</v>
      </c>
      <c r="BV49" s="1057">
        <f>'Variante données'!$E$86*BV12/BU47</f>
        <v>2.34375</v>
      </c>
      <c r="BW49" s="1056">
        <f>BU47/BU68/BU49*(1+'Page variable'!$C$33)</f>
        <v>0.8</v>
      </c>
      <c r="BX49" s="43">
        <f>BV49*BW47</f>
        <v>26.25</v>
      </c>
      <c r="BY49" s="733">
        <f>BX49/BX76</f>
        <v>7.921857760315958E-4</v>
      </c>
      <c r="BZ49" s="38"/>
      <c r="CA49" s="293" t="s">
        <v>385</v>
      </c>
      <c r="CB49" s="1046">
        <f>'Variante données'!$E$138</f>
        <v>4</v>
      </c>
      <c r="CC49" s="1057">
        <f>'Variante données'!$E$86*CC12/CB47</f>
        <v>2.34375</v>
      </c>
      <c r="CD49" s="1056">
        <f>CB47/CB68/CB49*(1+'Page variable'!$C$33)</f>
        <v>0.8</v>
      </c>
      <c r="CE49" s="43">
        <f>CC49*CD47</f>
        <v>26.25</v>
      </c>
      <c r="CF49" s="733">
        <f>CE49/CE76</f>
        <v>7.9463951530415761E-4</v>
      </c>
      <c r="CG49" s="38"/>
      <c r="CH49" s="293" t="s">
        <v>385</v>
      </c>
      <c r="CI49" s="1046">
        <f>'Variante données'!$E$138</f>
        <v>4</v>
      </c>
      <c r="CJ49" s="1057">
        <f>'Variante données'!$E$86*CJ12/CI47</f>
        <v>2.34375</v>
      </c>
      <c r="CK49" s="1056">
        <f>CI47/CI68/CI49*(1+'Page variable'!$C$33)</f>
        <v>0.8</v>
      </c>
      <c r="CL49" s="43">
        <f>CJ49*CK47</f>
        <v>26.25</v>
      </c>
      <c r="CM49" s="733">
        <f>CL49/CL76</f>
        <v>7.9714565397913178E-4</v>
      </c>
      <c r="CN49" s="38"/>
      <c r="CO49" s="293" t="s">
        <v>385</v>
      </c>
      <c r="CP49" s="1046">
        <f>'Variante données'!$E$138</f>
        <v>4</v>
      </c>
      <c r="CQ49" s="1057">
        <f>'Variante données'!$E$86*CQ12/CP47</f>
        <v>2.34375</v>
      </c>
      <c r="CR49" s="1056">
        <f>CP47/CP68/CP49*(1+'Page variable'!$C$33)</f>
        <v>0.8</v>
      </c>
      <c r="CS49" s="43">
        <f>CQ49*CR47</f>
        <v>26.25</v>
      </c>
      <c r="CT49" s="733">
        <f>CS49/CS76</f>
        <v>7.991550725070536E-4</v>
      </c>
      <c r="CU49" s="38"/>
      <c r="CV49" s="293" t="s">
        <v>385</v>
      </c>
      <c r="CW49" s="1046">
        <f>'Variante données'!$E$138</f>
        <v>4</v>
      </c>
      <c r="CX49" s="1057">
        <f>'Variante données'!$E$86*CX12/CW47</f>
        <v>2.34375</v>
      </c>
      <c r="CY49" s="1056">
        <f>CW47/CW68/CW49*(1+'Page variable'!$C$33)</f>
        <v>0.8</v>
      </c>
      <c r="CZ49" s="43">
        <f>CX49*CY47</f>
        <v>26.25</v>
      </c>
      <c r="DA49" s="733">
        <f>CZ49/CZ76</f>
        <v>6.6856582237770574E-4</v>
      </c>
    </row>
    <row r="50" spans="1:105" s="1099" customFormat="1" ht="25.5" x14ac:dyDescent="0.3">
      <c r="A50" s="1051"/>
      <c r="B50" s="1093" t="str">
        <f>'Variante données'!$B$139</f>
        <v>Faucheuse à mulching, avec bras pivotant des deux côtés</v>
      </c>
      <c r="C50" s="1094">
        <f>'Variante données'!$E$139</f>
        <v>7</v>
      </c>
      <c r="D50" s="1095">
        <f>'Variante données'!$C$139</f>
        <v>1</v>
      </c>
      <c r="E50" s="1096">
        <f>'Variante données'!$D$139*(1+'Page variable'!$C$33)</f>
        <v>62.2</v>
      </c>
      <c r="F50" s="1097">
        <f>C50*D50*E50</f>
        <v>435.40000000000003</v>
      </c>
      <c r="G50" s="1098">
        <f t="shared" ref="G50:G57" si="13">F50/$F$76</f>
        <v>3.7146082522118436E-2</v>
      </c>
      <c r="H50" s="1051"/>
      <c r="I50" s="1093" t="str">
        <f>'Variante données'!$B$139</f>
        <v>Faucheuse à mulching, avec bras pivotant des deux côtés</v>
      </c>
      <c r="J50" s="1094">
        <f>'Variante données'!$E$139</f>
        <v>7</v>
      </c>
      <c r="K50" s="1095">
        <f>'Variante données'!$C$139</f>
        <v>1</v>
      </c>
      <c r="L50" s="1096">
        <f>'Variante données'!$D$139*(1+'Page variable'!$C$33)</f>
        <v>62.2</v>
      </c>
      <c r="M50" s="1097">
        <f>J50*K50*L50</f>
        <v>435.40000000000003</v>
      </c>
      <c r="N50" s="1098">
        <f>M50/$M$76</f>
        <v>3.1310625988337802E-2</v>
      </c>
      <c r="O50" s="1051"/>
      <c r="P50" s="1093" t="str">
        <f>'Variante données'!$B$139</f>
        <v>Faucheuse à mulching, avec bras pivotant des deux côtés</v>
      </c>
      <c r="Q50" s="1094">
        <f>'Variante données'!$E$139</f>
        <v>7</v>
      </c>
      <c r="R50" s="1095">
        <f>'Variante données'!$C$139</f>
        <v>1</v>
      </c>
      <c r="S50" s="1096">
        <f>'Variante données'!$D$139*(1+'Page variable'!$C$33)</f>
        <v>62.2</v>
      </c>
      <c r="T50" s="1097">
        <f>Q50*R50*S50</f>
        <v>435.40000000000003</v>
      </c>
      <c r="U50" s="1098">
        <f>T50/$T$76</f>
        <v>1.6595398326799089E-2</v>
      </c>
      <c r="V50" s="1051"/>
      <c r="W50" s="1093" t="str">
        <f>'Variante données'!$B$139</f>
        <v>Faucheuse à mulching, avec bras pivotant des deux côtés</v>
      </c>
      <c r="X50" s="1094">
        <f>'Variante données'!$E$139</f>
        <v>7</v>
      </c>
      <c r="Y50" s="1095">
        <f>'Variante données'!$C$139</f>
        <v>1</v>
      </c>
      <c r="Z50" s="1096">
        <f>'Variante données'!$D$139*(1+'Page variable'!$C$33)</f>
        <v>62.2</v>
      </c>
      <c r="AA50" s="1097">
        <f>X50*Y50*Z50</f>
        <v>435.40000000000003</v>
      </c>
      <c r="AB50" s="1098">
        <f>AA50/$AA$76</f>
        <v>1.5264451343033699E-2</v>
      </c>
      <c r="AC50" s="1051"/>
      <c r="AD50" s="1093" t="str">
        <f>'Variante données'!$B$139</f>
        <v>Faucheuse à mulching, avec bras pivotant des deux côtés</v>
      </c>
      <c r="AE50" s="1094">
        <f>'Variante données'!$E$139</f>
        <v>7</v>
      </c>
      <c r="AF50" s="1095">
        <f>'Variante données'!$C$139</f>
        <v>1</v>
      </c>
      <c r="AG50" s="1096">
        <f>'Variante données'!$D$139*(1+'Page variable'!$C$33)</f>
        <v>62.2</v>
      </c>
      <c r="AH50" s="1097">
        <f>AE50*AF50*AG50</f>
        <v>435.40000000000003</v>
      </c>
      <c r="AI50" s="1098">
        <f>AH50/$AH$76</f>
        <v>1.3970487824128991E-2</v>
      </c>
      <c r="AJ50" s="1051"/>
      <c r="AK50" s="1093" t="str">
        <f>'Variante données'!$B$139</f>
        <v>Faucheuse à mulching, avec bras pivotant des deux côtés</v>
      </c>
      <c r="AL50" s="1094">
        <f>'Variante données'!$E$139</f>
        <v>7</v>
      </c>
      <c r="AM50" s="1095">
        <f>'Variante données'!$C$139</f>
        <v>1</v>
      </c>
      <c r="AN50" s="1096">
        <f>'Variante données'!$D$139*(1+'Page variable'!$C$33)</f>
        <v>62.2</v>
      </c>
      <c r="AO50" s="1097">
        <f>AL50*AM50*AN50</f>
        <v>435.40000000000003</v>
      </c>
      <c r="AP50" s="1098">
        <f>AO50/$AO$76</f>
        <v>1.2915020243847743E-2</v>
      </c>
      <c r="AQ50" s="1051"/>
      <c r="AR50" s="1093" t="str">
        <f>'Variante données'!$B$139</f>
        <v>Faucheuse à mulching, avec bras pivotant des deux côtés</v>
      </c>
      <c r="AS50" s="1094">
        <f>'Variante données'!$E$139</f>
        <v>7</v>
      </c>
      <c r="AT50" s="1095">
        <f>'Variante données'!$C$139</f>
        <v>1</v>
      </c>
      <c r="AU50" s="1096">
        <f>'Variante données'!$D$139*(1+'Page variable'!$C$33)</f>
        <v>62.2</v>
      </c>
      <c r="AV50" s="1097">
        <f>AS50*AT50*AU50</f>
        <v>435.40000000000003</v>
      </c>
      <c r="AW50" s="1098">
        <f>AV50/$AV$76</f>
        <v>1.2959722049290259E-2</v>
      </c>
      <c r="AX50" s="1051"/>
      <c r="AY50" s="1093" t="str">
        <f>'Variante données'!$B$139</f>
        <v>Faucheuse à mulching, avec bras pivotant des deux côtés</v>
      </c>
      <c r="AZ50" s="1094">
        <f>'Variante données'!$E$139</f>
        <v>7</v>
      </c>
      <c r="BA50" s="1095">
        <f>'Variante données'!$C$139</f>
        <v>1</v>
      </c>
      <c r="BB50" s="1096">
        <f>'Variante données'!$D$139*(1+'Page variable'!$C$33)</f>
        <v>62.2</v>
      </c>
      <c r="BC50" s="1097">
        <f>AZ50*BA50*BB50</f>
        <v>435.40000000000003</v>
      </c>
      <c r="BD50" s="1098">
        <f>BC50/$BC$76</f>
        <v>1.3005411940909095E-2</v>
      </c>
      <c r="BE50" s="1051"/>
      <c r="BF50" s="1093" t="str">
        <f>'Variante données'!$B$139</f>
        <v>Faucheuse à mulching, avec bras pivotant des deux côtés</v>
      </c>
      <c r="BG50" s="1094">
        <f>'Variante données'!$E$139</f>
        <v>7</v>
      </c>
      <c r="BH50" s="1095">
        <f>'Variante données'!$C$139</f>
        <v>1</v>
      </c>
      <c r="BI50" s="1096">
        <f>'Variante données'!$D$139*(1+'Page variable'!$C$33)</f>
        <v>62.2</v>
      </c>
      <c r="BJ50" s="1097">
        <f>BG50*BH50*BI50</f>
        <v>435.40000000000003</v>
      </c>
      <c r="BK50" s="1098">
        <f>BJ50/$BJ$76</f>
        <v>1.3052117811112693E-2</v>
      </c>
      <c r="BL50" s="1051"/>
      <c r="BM50" s="1093" t="str">
        <f>'Variante données'!$B$139</f>
        <v>Faucheuse à mulching, avec bras pivotant des deux côtés</v>
      </c>
      <c r="BN50" s="1094">
        <f>'Variante données'!$E$139</f>
        <v>7</v>
      </c>
      <c r="BO50" s="1095">
        <f>'Variante données'!$C$139</f>
        <v>1</v>
      </c>
      <c r="BP50" s="1096">
        <f>'Variante données'!$D$139*(1+'Page variable'!$C$33)</f>
        <v>62.2</v>
      </c>
      <c r="BQ50" s="1097">
        <f>BN50*BO50*BP50</f>
        <v>435.40000000000003</v>
      </c>
      <c r="BR50" s="1098">
        <f>BQ50/$BQ$76</f>
        <v>1.3099868576382994E-2</v>
      </c>
      <c r="BS50" s="1051"/>
      <c r="BT50" s="1093" t="str">
        <f>'Variante données'!$B$139</f>
        <v>Faucheuse à mulching, avec bras pivotant des deux côtés</v>
      </c>
      <c r="BU50" s="1094">
        <f>'Variante données'!$E$139</f>
        <v>7</v>
      </c>
      <c r="BV50" s="1095">
        <f>'Variante données'!$C$139</f>
        <v>1</v>
      </c>
      <c r="BW50" s="1096">
        <f>'Variante données'!$D$139*(1+'Page variable'!$C$33)</f>
        <v>62.2</v>
      </c>
      <c r="BX50" s="1097">
        <f>BU50*BV50*BW50</f>
        <v>435.40000000000003</v>
      </c>
      <c r="BY50" s="1098">
        <f>BX50/$BX$76</f>
        <v>1.3139721405110737E-2</v>
      </c>
      <c r="BZ50" s="1051"/>
      <c r="CA50" s="1093" t="str">
        <f>'Variante données'!$B$139</f>
        <v>Faucheuse à mulching, avec bras pivotant des deux côtés</v>
      </c>
      <c r="CB50" s="1094">
        <f>'Variante données'!$E$139</f>
        <v>7</v>
      </c>
      <c r="CC50" s="1095">
        <f>'Variante données'!$C$139</f>
        <v>1</v>
      </c>
      <c r="CD50" s="1096">
        <f>'Variante données'!$D$139*(1+'Page variable'!$C$33)</f>
        <v>62.2</v>
      </c>
      <c r="CE50" s="1097">
        <f>CB50*CC50*CD50</f>
        <v>435.40000000000003</v>
      </c>
      <c r="CF50" s="1098">
        <f>CE50/$CE$76</f>
        <v>1.3180420760511628E-2</v>
      </c>
      <c r="CG50" s="1051"/>
      <c r="CH50" s="1093" t="str">
        <f>'Variante données'!$B$139</f>
        <v>Faucheuse à mulching, avec bras pivotant des deux côtés</v>
      </c>
      <c r="CI50" s="1094">
        <f>'Variante données'!$E$139</f>
        <v>7</v>
      </c>
      <c r="CJ50" s="1095">
        <f>'Variante données'!$C$139</f>
        <v>1</v>
      </c>
      <c r="CK50" s="1096">
        <f>'Variante données'!$D$139*(1+'Page variable'!$C$33)</f>
        <v>62.2</v>
      </c>
      <c r="CL50" s="1097">
        <f>CI50*CJ50*CK50</f>
        <v>435.40000000000003</v>
      </c>
      <c r="CM50" s="1098">
        <f>CL50/$CL$76</f>
        <v>1.3221989247333867E-2</v>
      </c>
      <c r="CN50" s="1051"/>
      <c r="CO50" s="1093" t="str">
        <f>'Variante données'!$B$139</f>
        <v>Faucheuse à mulching, avec bras pivotant des deux côtés</v>
      </c>
      <c r="CP50" s="1094">
        <f>'Variante données'!$E$139</f>
        <v>7</v>
      </c>
      <c r="CQ50" s="1095">
        <f>'Variante données'!$C$139</f>
        <v>1</v>
      </c>
      <c r="CR50" s="1096">
        <f>'Variante données'!$D$139*(1+'Page variable'!$C$33)</f>
        <v>62.2</v>
      </c>
      <c r="CS50" s="1097">
        <f>CP50*CQ50*CR50</f>
        <v>435.40000000000003</v>
      </c>
      <c r="CT50" s="1098">
        <f>CS50/$CS$76</f>
        <v>1.325531880265033E-2</v>
      </c>
      <c r="CU50" s="1051"/>
      <c r="CV50" s="1093" t="str">
        <f>'Variante données'!$B$139</f>
        <v>Faucheuse à mulching, avec bras pivotant des deux côtés</v>
      </c>
      <c r="CW50" s="1094">
        <f>'Variante données'!$E$139</f>
        <v>7</v>
      </c>
      <c r="CX50" s="1095">
        <f>'Variante données'!$C$139</f>
        <v>1</v>
      </c>
      <c r="CY50" s="1096">
        <f>'Variante données'!$D$139*(1+'Page variable'!$C$33)</f>
        <v>62.2</v>
      </c>
      <c r="CZ50" s="1097">
        <f>CW50*CX50*CY50</f>
        <v>435.40000000000003</v>
      </c>
      <c r="DA50" s="1098">
        <f>CZ50/$CZ$76</f>
        <v>1.108927844050488E-2</v>
      </c>
    </row>
    <row r="51" spans="1:105" s="1" customFormat="1" ht="13.5" thickBot="1" x14ac:dyDescent="0.35">
      <c r="A51" s="245"/>
      <c r="B51" s="39" t="str">
        <f>'Variante données'!$B$140</f>
        <v>Hacheuse de bois</v>
      </c>
      <c r="C51" s="562">
        <v>0</v>
      </c>
      <c r="D51" s="728">
        <f>'Variante données'!$C$140</f>
        <v>2</v>
      </c>
      <c r="E51" s="42">
        <f>'Variante données'!$D$140*(1+'Page variable'!$C$33)</f>
        <v>75.7</v>
      </c>
      <c r="F51" s="464">
        <f>E51*D51*C51</f>
        <v>0</v>
      </c>
      <c r="G51" s="733">
        <f t="shared" si="13"/>
        <v>0</v>
      </c>
      <c r="H51" s="245"/>
      <c r="I51" s="39" t="str">
        <f>'Variante données'!$B$140</f>
        <v>Hacheuse de bois</v>
      </c>
      <c r="J51" s="562">
        <v>0</v>
      </c>
      <c r="K51" s="728">
        <f>'Variante données'!$C$140</f>
        <v>2</v>
      </c>
      <c r="L51" s="42">
        <f>'Variante données'!$D$140*(1+'Page variable'!$C$33)</f>
        <v>75.7</v>
      </c>
      <c r="M51" s="464">
        <f>L51*K51*J51</f>
        <v>0</v>
      </c>
      <c r="N51" s="733">
        <f>M51/$M$76</f>
        <v>0</v>
      </c>
      <c r="O51" s="245"/>
      <c r="P51" s="39" t="str">
        <f>'Variante données'!$B$140</f>
        <v>Hacheuse de bois</v>
      </c>
      <c r="Q51" s="562">
        <v>0</v>
      </c>
      <c r="R51" s="728">
        <f>'Variante données'!$C$140</f>
        <v>2</v>
      </c>
      <c r="S51" s="42">
        <f>'Variante données'!$D$140*(1+'Page variable'!$C$33)</f>
        <v>75.7</v>
      </c>
      <c r="T51" s="464">
        <f>S51*R51*Q51</f>
        <v>0</v>
      </c>
      <c r="U51" s="733">
        <f>T51/$T$76</f>
        <v>0</v>
      </c>
      <c r="V51" s="245"/>
      <c r="W51" s="39" t="str">
        <f>'Variante données'!$B$140</f>
        <v>Hacheuse de bois</v>
      </c>
      <c r="X51" s="562">
        <f>'Variante données'!$E$140</f>
        <v>1</v>
      </c>
      <c r="Y51" s="728">
        <f>'Variante données'!$C$140</f>
        <v>2</v>
      </c>
      <c r="Z51" s="42">
        <f>'Variante données'!$D$140*(1+'Page variable'!$C$33)</f>
        <v>75.7</v>
      </c>
      <c r="AA51" s="464">
        <f>Z51*Y51*X51</f>
        <v>151.4</v>
      </c>
      <c r="AB51" s="733">
        <f>AA51/$AA$76</f>
        <v>5.307850099529862E-3</v>
      </c>
      <c r="AC51" s="245"/>
      <c r="AD51" s="39" t="str">
        <f>'Variante données'!$B$140</f>
        <v>Hacheuse de bois</v>
      </c>
      <c r="AE51" s="562">
        <f>'Variante données'!$E$140</f>
        <v>1</v>
      </c>
      <c r="AF51" s="728">
        <f>'Variante données'!$C$140</f>
        <v>2</v>
      </c>
      <c r="AG51" s="42">
        <f>'Variante données'!$D$140*(1+'Page variable'!$C$33)</f>
        <v>75.7</v>
      </c>
      <c r="AH51" s="464">
        <f>AG51*AF51*AE51</f>
        <v>151.4</v>
      </c>
      <c r="AI51" s="733">
        <f>AH51/$AH$76</f>
        <v>4.8579050449543623E-3</v>
      </c>
      <c r="AJ51" s="245"/>
      <c r="AK51" s="39" t="str">
        <f>'Variante données'!$B$140</f>
        <v>Hacheuse de bois</v>
      </c>
      <c r="AL51" s="562">
        <f>'Variante données'!$E$140</f>
        <v>1</v>
      </c>
      <c r="AM51" s="728">
        <f>'Variante données'!$C$140</f>
        <v>2</v>
      </c>
      <c r="AN51" s="42">
        <f>'Variante données'!$D$140*(1+'Page variable'!$C$33)</f>
        <v>75.7</v>
      </c>
      <c r="AO51" s="464">
        <f>AN51*AM51*AL51</f>
        <v>151.4</v>
      </c>
      <c r="AP51" s="733">
        <f>AO51/$AO$76</f>
        <v>4.490891283689822E-3</v>
      </c>
      <c r="AQ51" s="245"/>
      <c r="AR51" s="39" t="str">
        <f>'Variante données'!$B$140</f>
        <v>Hacheuse de bois</v>
      </c>
      <c r="AS51" s="562">
        <f>'Variante données'!$E$140</f>
        <v>1</v>
      </c>
      <c r="AT51" s="728">
        <f>'Variante données'!$C$140</f>
        <v>2</v>
      </c>
      <c r="AU51" s="42">
        <f>'Variante données'!$D$140*(1+'Page variable'!$C$33)</f>
        <v>75.7</v>
      </c>
      <c r="AV51" s="464">
        <f>AU51*AT51*AS51</f>
        <v>151.4</v>
      </c>
      <c r="AW51" s="733">
        <f>AV51/$AV$76</f>
        <v>4.5064352739148947E-3</v>
      </c>
      <c r="AX51" s="245"/>
      <c r="AY51" s="39" t="str">
        <f>'Variante données'!$B$140</f>
        <v>Hacheuse de bois</v>
      </c>
      <c r="AZ51" s="562">
        <f>'Variante données'!$E$140</f>
        <v>1</v>
      </c>
      <c r="BA51" s="728">
        <f>'Variante données'!$C$140</f>
        <v>2</v>
      </c>
      <c r="BB51" s="42">
        <f>'Variante données'!$D$140*(1+'Page variable'!$C$33)</f>
        <v>75.7</v>
      </c>
      <c r="BC51" s="464">
        <f>BB51*BA51*AZ51</f>
        <v>151.4</v>
      </c>
      <c r="BD51" s="733">
        <f>BC51/$BC$76</f>
        <v>4.5223228476197449E-3</v>
      </c>
      <c r="BE51" s="245"/>
      <c r="BF51" s="39" t="str">
        <f>'Variante données'!$B$140</f>
        <v>Hacheuse de bois</v>
      </c>
      <c r="BG51" s="562">
        <f>'Variante données'!$E$140</f>
        <v>1</v>
      </c>
      <c r="BH51" s="728">
        <f>'Variante données'!$C$140</f>
        <v>2</v>
      </c>
      <c r="BI51" s="42">
        <f>'Variante données'!$D$140*(1+'Page variable'!$C$33)</f>
        <v>75.7</v>
      </c>
      <c r="BJ51" s="464">
        <f>BI51*BH51*BG51</f>
        <v>151.4</v>
      </c>
      <c r="BK51" s="733">
        <f>BJ51/$BJ$76</f>
        <v>4.5385637037263704E-3</v>
      </c>
      <c r="BL51" s="245"/>
      <c r="BM51" s="39" t="str">
        <f>'Variante données'!$B$140</f>
        <v>Hacheuse de bois</v>
      </c>
      <c r="BN51" s="562">
        <f>'Variante données'!$E$140</f>
        <v>1</v>
      </c>
      <c r="BO51" s="728">
        <f>'Variante données'!$C$140</f>
        <v>2</v>
      </c>
      <c r="BP51" s="42">
        <f>'Variante données'!$D$140*(1+'Page variable'!$C$33)</f>
        <v>75.7</v>
      </c>
      <c r="BQ51" s="464">
        <f>BP51*BO51*BN51</f>
        <v>151.4</v>
      </c>
      <c r="BR51" s="733">
        <f>BQ51/$BQ$76</f>
        <v>4.5551678972539852E-3</v>
      </c>
      <c r="BS51" s="245"/>
      <c r="BT51" s="39" t="str">
        <f>'Variante données'!$B$140</f>
        <v>Hacheuse de bois</v>
      </c>
      <c r="BU51" s="562">
        <f>'Variante données'!$E$140</f>
        <v>1</v>
      </c>
      <c r="BV51" s="728">
        <f>'Variante données'!$C$140</f>
        <v>2</v>
      </c>
      <c r="BW51" s="42">
        <f>'Variante données'!$D$140*(1+'Page variable'!$C$33)</f>
        <v>75.7</v>
      </c>
      <c r="BX51" s="464">
        <f>BW51*BV51*BU51</f>
        <v>151.4</v>
      </c>
      <c r="BY51" s="733">
        <f>BX51/$BX$76</f>
        <v>4.5690257710927088E-3</v>
      </c>
      <c r="BZ51" s="245"/>
      <c r="CA51" s="39" t="str">
        <f>'Variante données'!$B$140</f>
        <v>Hacheuse de bois</v>
      </c>
      <c r="CB51" s="562">
        <f>'Variante données'!$E$140</f>
        <v>1</v>
      </c>
      <c r="CC51" s="728">
        <f>'Variante données'!$C$140</f>
        <v>2</v>
      </c>
      <c r="CD51" s="42">
        <f>'Variante données'!$D$140*(1+'Page variable'!$C$33)</f>
        <v>75.7</v>
      </c>
      <c r="CE51" s="464">
        <f>CD51*CC51*CB51</f>
        <v>151.4</v>
      </c>
      <c r="CF51" s="733">
        <f>CE51/$CE$76</f>
        <v>4.5831780044590271E-3</v>
      </c>
      <c r="CG51" s="245"/>
      <c r="CH51" s="39" t="str">
        <f>'Variante données'!$B$140</f>
        <v>Hacheuse de bois</v>
      </c>
      <c r="CI51" s="562">
        <f>'Variante données'!$E$140</f>
        <v>1</v>
      </c>
      <c r="CJ51" s="728">
        <f>'Variante données'!$C$140</f>
        <v>2</v>
      </c>
      <c r="CK51" s="42">
        <f>'Variante données'!$D$140*(1+'Page variable'!$C$33)</f>
        <v>75.7</v>
      </c>
      <c r="CL51" s="464">
        <f>CK51*CJ51*CI51</f>
        <v>151.4</v>
      </c>
      <c r="CM51" s="733">
        <f>CL51/$CL$76</f>
        <v>4.5976324576167829E-3</v>
      </c>
      <c r="CN51" s="245"/>
      <c r="CO51" s="39" t="str">
        <f>'Variante données'!$B$140</f>
        <v>Hacheuse de bois</v>
      </c>
      <c r="CP51" s="562">
        <f>'Variante données'!$E$140</f>
        <v>1</v>
      </c>
      <c r="CQ51" s="728">
        <f>'Variante données'!$C$140</f>
        <v>2</v>
      </c>
      <c r="CR51" s="42">
        <f>'Variante données'!$D$140*(1+'Page variable'!$C$33)</f>
        <v>75.7</v>
      </c>
      <c r="CS51" s="464">
        <f>CR51*CQ51*CP51</f>
        <v>151.4</v>
      </c>
      <c r="CT51" s="733">
        <f>CS51/$CS$76</f>
        <v>4.6092220181930639E-3</v>
      </c>
      <c r="CU51" s="245"/>
      <c r="CV51" s="39" t="str">
        <f>'Variante données'!$B$140</f>
        <v>Hacheuse de bois</v>
      </c>
      <c r="CW51" s="562">
        <f>'Variante données'!$E$140</f>
        <v>1</v>
      </c>
      <c r="CX51" s="728">
        <f>'Variante données'!$C$140</f>
        <v>2</v>
      </c>
      <c r="CY51" s="42">
        <f>'Variante données'!$D$140*(1+'Page variable'!$C$33)</f>
        <v>75.7</v>
      </c>
      <c r="CZ51" s="464">
        <f>CY51*CX51*CW51</f>
        <v>151.4</v>
      </c>
      <c r="DA51" s="733">
        <f>CZ51/$CZ$76</f>
        <v>3.8560329717327486E-3</v>
      </c>
    </row>
    <row r="52" spans="1:105" s="1" customFormat="1" ht="16.5" customHeight="1" x14ac:dyDescent="0.3">
      <c r="A52" s="245"/>
      <c r="B52" s="39" t="s">
        <v>391</v>
      </c>
      <c r="C52" s="41"/>
      <c r="D52" s="614">
        <f>(C44*D44)+(C45*D45)+(C46*D46)+(D48*E48*'Variante données'!$H$132)+(C50*D50)+(C51*D51)+(D49*E49*'Variante données'!$H$132)</f>
        <v>15</v>
      </c>
      <c r="E52" s="42"/>
      <c r="F52" s="82">
        <f>SUM(F44:F51)</f>
        <v>875.2</v>
      </c>
      <c r="G52" s="733">
        <f t="shared" si="13"/>
        <v>7.4667550352223375E-2</v>
      </c>
      <c r="H52" s="245"/>
      <c r="I52" s="39" t="s">
        <v>391</v>
      </c>
      <c r="J52" s="41"/>
      <c r="K52" s="614">
        <f>(J44*K44)+(J45*K45)+(J46*K46)+(K48*L48*'Variante données'!$H$132)+(J50*K50)+(J51*K51)+(K49*L49*'Variante données'!$H$132)</f>
        <v>18.750946969696969</v>
      </c>
      <c r="L52" s="42"/>
      <c r="M52" s="82">
        <f>SUM(M44:M51)</f>
        <v>951.5333333333333</v>
      </c>
      <c r="N52" s="733">
        <f>M52/$M$76</f>
        <v>6.842697362295902E-2</v>
      </c>
      <c r="O52" s="245"/>
      <c r="P52" s="39" t="s">
        <v>391</v>
      </c>
      <c r="Q52" s="41"/>
      <c r="R52" s="614">
        <f>(Q44*R44)+(Q45*R45)+(Q46*R46)+(R48*S48*'Variante données'!$H$132)+(Q50*R50)+(Q51*R51)+(R49*S49*'Variante données'!$H$132)</f>
        <v>46.903409090909093</v>
      </c>
      <c r="S52" s="42"/>
      <c r="T52" s="82">
        <f>SUM(T44:T51)</f>
        <v>2202</v>
      </c>
      <c r="U52" s="733">
        <f>T52/$T$76</f>
        <v>8.3929873944904893E-2</v>
      </c>
      <c r="V52" s="245"/>
      <c r="W52" s="39" t="s">
        <v>391</v>
      </c>
      <c r="X52" s="41"/>
      <c r="Y52" s="614">
        <f>(X44*Y44)+(X45*Y45)+(X46*Y46)+(Y48*Z48*'Variante données'!$H$132)+(X50*Y50)+(X51*Y51)+(Y49*Z49*'Variante données'!$H$132)</f>
        <v>52.754734848484844</v>
      </c>
      <c r="Z52" s="42"/>
      <c r="AA52" s="82">
        <f>SUM(AA44:AA51)</f>
        <v>2435.0666666666666</v>
      </c>
      <c r="AB52" s="733">
        <f>AA52/$AA$76</f>
        <v>8.5369675356859409E-2</v>
      </c>
      <c r="AC52" s="245"/>
      <c r="AD52" s="39" t="s">
        <v>391</v>
      </c>
      <c r="AE52" s="41"/>
      <c r="AF52" s="614">
        <f>(AE44*AF44)+(AE45*AF45)+(AE46*AF46)+(AF48*AG48*'Variante données'!$H$132)+(AE50*AF50)+(AE51*AF51)+(AF49*AG49*'Variante données'!$H$132)</f>
        <v>58.256628787878789</v>
      </c>
      <c r="AG52" s="42"/>
      <c r="AH52" s="82">
        <f>SUM(AH44:AH51)</f>
        <v>2551.7333333333331</v>
      </c>
      <c r="AI52" s="733">
        <f>AH52/$AH$76</f>
        <v>8.1876342360490156E-2</v>
      </c>
      <c r="AJ52" s="245"/>
      <c r="AK52" s="39" t="s">
        <v>391</v>
      </c>
      <c r="AL52" s="41"/>
      <c r="AM52" s="614">
        <f>(AL44*AM44)+(AL45*AM45)+(AL46*AM46)+(AM48*AN48*'Variante données'!$H$132)+(AL50*AM50)+(AL51*AM51)+(AM49*AN49*'Variante données'!$H$132)</f>
        <v>63.758522727272727</v>
      </c>
      <c r="AN52" s="42"/>
      <c r="AO52" s="82">
        <f>SUM(AO44:AO51)</f>
        <v>2668.4</v>
      </c>
      <c r="AP52" s="733">
        <f>AO52/$AO$76</f>
        <v>7.9151217314385208E-2</v>
      </c>
      <c r="AQ52" s="245"/>
      <c r="AR52" s="39" t="s">
        <v>391</v>
      </c>
      <c r="AS52" s="41"/>
      <c r="AT52" s="614">
        <f>(AS44*AT44)+(AS45*AT45)+(AS46*AT46)+(AT48*AU48*'Variante données'!$H$132)+(AS50*AT50)+(AS51*AT51)+(AT49*AU49*'Variante données'!$H$132)</f>
        <v>63.758522727272727</v>
      </c>
      <c r="AU52" s="42"/>
      <c r="AV52" s="82">
        <f>SUM(AV44:AV51)</f>
        <v>2668.4</v>
      </c>
      <c r="AW52" s="733">
        <f>AV52/$AV$76</f>
        <v>7.9425177575393024E-2</v>
      </c>
      <c r="AX52" s="245"/>
      <c r="AY52" s="39" t="s">
        <v>391</v>
      </c>
      <c r="AZ52" s="41"/>
      <c r="BA52" s="614">
        <f>(AZ44*BA44)+(AZ45*BA45)+(AZ46*BA46)+(BA48*BB48*'Variante données'!$H$132)+(AZ50*BA50)+(AZ51*BA51)+(BA49*BB49*'Variante données'!$H$132)</f>
        <v>63.758522727272727</v>
      </c>
      <c r="BB52" s="42"/>
      <c r="BC52" s="82">
        <f>SUM(BC44:BC51)</f>
        <v>2668.4</v>
      </c>
      <c r="BD52" s="733">
        <f>BC52/$BC$76</f>
        <v>7.9705193438497537E-2</v>
      </c>
      <c r="BE52" s="245"/>
      <c r="BF52" s="39" t="s">
        <v>391</v>
      </c>
      <c r="BG52" s="41"/>
      <c r="BH52" s="614">
        <f>(BG44*BH44)+(BG45*BH45)+(BG46*BH46)+(BH48*BI48*'Variante données'!$H$132)+(BG50*BH50)+(BG51*BH51)+(BH49*BI49*'Variante données'!$H$132)</f>
        <v>63.758522727272727</v>
      </c>
      <c r="BI52" s="42"/>
      <c r="BJ52" s="82">
        <f>SUM(BJ44:BJ51)</f>
        <v>2668.4</v>
      </c>
      <c r="BK52" s="733">
        <f>BJ52/$BJ$76</f>
        <v>7.9991435845597397E-2</v>
      </c>
      <c r="BL52" s="245"/>
      <c r="BM52" s="39" t="s">
        <v>391</v>
      </c>
      <c r="BN52" s="41"/>
      <c r="BO52" s="614">
        <f>(BN44*BO44)+(BN45*BO45)+(BN46*BO46)+(BO48*BP48*'Variante données'!$H$132)+(BN50*BO50)+(BN51*BO51)+(BO49*BP49*'Variante données'!$H$132)</f>
        <v>63.758522727272727</v>
      </c>
      <c r="BP52" s="42"/>
      <c r="BQ52" s="82">
        <f>SUM(BQ44:BQ51)</f>
        <v>2668.4</v>
      </c>
      <c r="BR52" s="733">
        <f>BQ52/$BQ$76</f>
        <v>8.0284082014745933E-2</v>
      </c>
      <c r="BS52" s="245"/>
      <c r="BT52" s="39" t="s">
        <v>391</v>
      </c>
      <c r="BU52" s="41"/>
      <c r="BV52" s="614">
        <f>(BU44*BV44)+(BU45*BV45)+(BU46*BV46)+(BV48*BW48*'Variante données'!$H$132)+(BU50*BV50)+(BU51*BV51)+(BV49*BW49*'Variante données'!$H$132)</f>
        <v>63.758522727272727</v>
      </c>
      <c r="BW52" s="42"/>
      <c r="BX52" s="82">
        <f>SUM(BX44:BX51)</f>
        <v>2668.4</v>
      </c>
      <c r="BY52" s="733">
        <f>BX52/$BX$76</f>
        <v>8.0528324752865157E-2</v>
      </c>
      <c r="BZ52" s="245"/>
      <c r="CA52" s="39" t="s">
        <v>391</v>
      </c>
      <c r="CB52" s="41"/>
      <c r="CC52" s="614">
        <f>(CB44*CC44)+(CB45*CC45)+(CB46*CC46)+(CC48*CD48*'Variante données'!$H$132)+(CB50*CC50)+(CB51*CC51)+(CC49*CD49*'Variante données'!$H$132)</f>
        <v>63.758522727272727</v>
      </c>
      <c r="CD52" s="42"/>
      <c r="CE52" s="82">
        <f>SUM(CE44:CE51)</f>
        <v>2668.4</v>
      </c>
      <c r="CF52" s="733">
        <f>CE52/$CE$76</f>
        <v>8.0777755529051962E-2</v>
      </c>
      <c r="CG52" s="245"/>
      <c r="CH52" s="39" t="s">
        <v>391</v>
      </c>
      <c r="CI52" s="41"/>
      <c r="CJ52" s="614">
        <f>(CI44*CJ44)+(CI45*CJ45)+(CI46*CJ46)+(CJ48*CK48*'Variante données'!$H$132)+(CI50*CJ50)+(CI51*CJ51)+(CJ49*CK49*'Variante données'!$H$132)</f>
        <v>63.758522727272727</v>
      </c>
      <c r="CK52" s="42"/>
      <c r="CL52" s="82">
        <f>SUM(CL44:CL51)</f>
        <v>2668.4</v>
      </c>
      <c r="CM52" s="733">
        <f>CL52/$CL$76</f>
        <v>8.1032512879158677E-2</v>
      </c>
      <c r="CN52" s="245"/>
      <c r="CO52" s="39" t="s">
        <v>391</v>
      </c>
      <c r="CP52" s="41"/>
      <c r="CQ52" s="614">
        <f>(CP44*CQ44)+(CP45*CQ45)+(CP46*CQ46)+(CQ48*CR48*'Variante données'!$H$132)+(CP50*CQ50)+(CP51*CQ51)+(CQ49*CR49*'Variante données'!$H$132)</f>
        <v>63.758522727272727</v>
      </c>
      <c r="CR52" s="42"/>
      <c r="CS52" s="82">
        <f>SUM(CS44:CS51)</f>
        <v>2668.4</v>
      </c>
      <c r="CT52" s="733">
        <f>CS52/$CS$76</f>
        <v>8.1236776970583693E-2</v>
      </c>
      <c r="CU52" s="245"/>
      <c r="CV52" s="39" t="s">
        <v>391</v>
      </c>
      <c r="CW52" s="41"/>
      <c r="CX52" s="614">
        <f>(CW44*CX44)+(CW45*CX45)+(CW46*CX46)+(CX48*CY48*'Variante données'!$H$132)+(CW50*CX50)+(CW51*CX51)+(CX49*CY49*'Variante données'!$H$132)</f>
        <v>63.758522727272727</v>
      </c>
      <c r="CY52" s="42"/>
      <c r="CZ52" s="82">
        <f>SUM(CZ44:CZ51)</f>
        <v>2668.4</v>
      </c>
      <c r="DA52" s="733">
        <f>CZ52/$CZ$76</f>
        <v>6.7961944397435053E-2</v>
      </c>
    </row>
    <row r="53" spans="1:105" s="1" customFormat="1" ht="13" x14ac:dyDescent="0.3">
      <c r="A53" s="615"/>
      <c r="B53" s="84" t="str">
        <f>'Variante données'!$B$132</f>
        <v>Tracteur arboricole 4 roues motrices</v>
      </c>
      <c r="C53" s="41"/>
      <c r="D53" s="614">
        <f>D52</f>
        <v>15</v>
      </c>
      <c r="E53" s="42">
        <f>'Variante données'!$D$132*(1+'Page variable'!$C$33)</f>
        <v>41</v>
      </c>
      <c r="F53" s="148">
        <f>D53*E53</f>
        <v>615</v>
      </c>
      <c r="G53" s="733">
        <f t="shared" si="13"/>
        <v>5.2468628275385475E-2</v>
      </c>
      <c r="H53" s="615"/>
      <c r="I53" s="84" t="str">
        <f>'Variante données'!$B$132</f>
        <v>Tracteur arboricole 4 roues motrices</v>
      </c>
      <c r="J53" s="41"/>
      <c r="K53" s="614">
        <f>K52</f>
        <v>18.750946969696969</v>
      </c>
      <c r="L53" s="42">
        <f>'Variante données'!$D$132*(1+'Page variable'!$C$33)</f>
        <v>41</v>
      </c>
      <c r="M53" s="148">
        <f>K53*L53</f>
        <v>768.78882575757575</v>
      </c>
      <c r="N53" s="733">
        <f>M53/$M$76</f>
        <v>5.5285391335114495E-2</v>
      </c>
      <c r="O53" s="615"/>
      <c r="P53" s="84" t="str">
        <f>'Variante données'!$B$132</f>
        <v>Tracteur arboricole 4 roues motrices</v>
      </c>
      <c r="Q53" s="41"/>
      <c r="R53" s="614">
        <f>R52</f>
        <v>46.903409090909093</v>
      </c>
      <c r="S53" s="42">
        <f>'Variante données'!$D$132*(1+'Page variable'!$C$33)</f>
        <v>41</v>
      </c>
      <c r="T53" s="148">
        <f>R53*S53</f>
        <v>1923.0397727272727</v>
      </c>
      <c r="U53" s="733">
        <f>T53/$T$76</f>
        <v>7.3297223304286355E-2</v>
      </c>
      <c r="V53" s="615"/>
      <c r="W53" s="84" t="str">
        <f>'Variante données'!$B$132</f>
        <v>Tracteur arboricole 4 roues motrices</v>
      </c>
      <c r="X53" s="41"/>
      <c r="Y53" s="614">
        <f>Y52</f>
        <v>52.754734848484844</v>
      </c>
      <c r="Z53" s="42">
        <f>'Variante données'!$D$132*(1+'Page variable'!$C$33)</f>
        <v>41</v>
      </c>
      <c r="AA53" s="148">
        <f>Y53*Z53</f>
        <v>2162.9441287878785</v>
      </c>
      <c r="AB53" s="733">
        <f>AA53/$AA$76</f>
        <v>7.5829479585629272E-2</v>
      </c>
      <c r="AC53" s="615"/>
      <c r="AD53" s="84" t="str">
        <f>'Variante données'!$B$132</f>
        <v>Tracteur arboricole 4 roues motrices</v>
      </c>
      <c r="AE53" s="41"/>
      <c r="AF53" s="614">
        <f>AF52</f>
        <v>58.256628787878789</v>
      </c>
      <c r="AG53" s="42">
        <f>'Variante données'!$D$132*(1+'Page variable'!$C$33)</f>
        <v>41</v>
      </c>
      <c r="AH53" s="148">
        <f>AF53*AG53</f>
        <v>2388.5217803030305</v>
      </c>
      <c r="AI53" s="733">
        <f>AH53/$AH$76</f>
        <v>7.6639445221383523E-2</v>
      </c>
      <c r="AJ53" s="615"/>
      <c r="AK53" s="84" t="str">
        <f>'Variante données'!$B$132</f>
        <v>Tracteur arboricole 4 roues motrices</v>
      </c>
      <c r="AL53" s="41"/>
      <c r="AM53" s="614">
        <f>AM52</f>
        <v>63.758522727272727</v>
      </c>
      <c r="AN53" s="42">
        <f>'Variante données'!$D$132*(1+'Page variable'!$C$33)</f>
        <v>41</v>
      </c>
      <c r="AO53" s="148">
        <f>AM53*AN53</f>
        <v>2614.099431818182</v>
      </c>
      <c r="AP53" s="733">
        <f>AO53/$AO$76</f>
        <v>7.7540530733492652E-2</v>
      </c>
      <c r="AQ53" s="615"/>
      <c r="AR53" s="84" t="str">
        <f>'Variante données'!$B$132</f>
        <v>Tracteur arboricole 4 roues motrices</v>
      </c>
      <c r="AS53" s="41"/>
      <c r="AT53" s="614">
        <f>AT52</f>
        <v>63.758522727272727</v>
      </c>
      <c r="AU53" s="42">
        <f>'Variante données'!$D$132*(1+'Page variable'!$C$33)</f>
        <v>41</v>
      </c>
      <c r="AV53" s="148">
        <f>AT53*AU53</f>
        <v>2614.099431818182</v>
      </c>
      <c r="AW53" s="733">
        <f>AV53/$AV$76</f>
        <v>7.7808916044031298E-2</v>
      </c>
      <c r="AX53" s="615"/>
      <c r="AY53" s="84" t="str">
        <f>'Variante données'!$B$132</f>
        <v>Tracteur arboricole 4 roues motrices</v>
      </c>
      <c r="AZ53" s="41"/>
      <c r="BA53" s="614">
        <f>BA52</f>
        <v>63.758522727272727</v>
      </c>
      <c r="BB53" s="42">
        <f>'Variante données'!$D$132*(1+'Page variable'!$C$33)</f>
        <v>41</v>
      </c>
      <c r="BC53" s="148">
        <f>BA53*BB53</f>
        <v>2614.099431818182</v>
      </c>
      <c r="BD53" s="733">
        <f>BC53/$BC$76</f>
        <v>7.8083233728277135E-2</v>
      </c>
      <c r="BE53" s="615"/>
      <c r="BF53" s="84" t="str">
        <f>'Variante données'!$B$132</f>
        <v>Tracteur arboricole 4 roues motrices</v>
      </c>
      <c r="BG53" s="41"/>
      <c r="BH53" s="614">
        <f>BH52</f>
        <v>63.758522727272727</v>
      </c>
      <c r="BI53" s="42">
        <f>'Variante données'!$D$132*(1+'Page variable'!$C$33)</f>
        <v>41</v>
      </c>
      <c r="BJ53" s="148">
        <f>BH53*BI53</f>
        <v>2614.099431818182</v>
      </c>
      <c r="BK53" s="733">
        <f>BJ53/$BJ$76</f>
        <v>7.8363651249549054E-2</v>
      </c>
      <c r="BL53" s="615"/>
      <c r="BM53" s="84" t="str">
        <f>'Variante données'!$B$132</f>
        <v>Tracteur arboricole 4 roues motrices</v>
      </c>
      <c r="BN53" s="41"/>
      <c r="BO53" s="614">
        <f>BO52</f>
        <v>63.758522727272727</v>
      </c>
      <c r="BP53" s="42">
        <f>'Variante données'!$D$132*(1+'Page variable'!$C$33)</f>
        <v>41</v>
      </c>
      <c r="BQ53" s="148">
        <f>BO53*BP53</f>
        <v>2614.099431818182</v>
      </c>
      <c r="BR53" s="733">
        <f>BQ53/$BQ$76</f>
        <v>7.8650342219604125E-2</v>
      </c>
      <c r="BS53" s="615"/>
      <c r="BT53" s="84" t="str">
        <f>'Variante données'!$B$132</f>
        <v>Tracteur arboricole 4 roues motrices</v>
      </c>
      <c r="BU53" s="41"/>
      <c r="BV53" s="614">
        <f>BV52</f>
        <v>63.758522727272727</v>
      </c>
      <c r="BW53" s="42">
        <f>'Variante données'!$D$132*(1+'Page variable'!$C$33)</f>
        <v>41</v>
      </c>
      <c r="BX53" s="148">
        <f>BV53*BW53</f>
        <v>2614.099431818182</v>
      </c>
      <c r="BY53" s="733">
        <f>BX53/$BX$76</f>
        <v>7.8889614743567246E-2</v>
      </c>
      <c r="BZ53" s="615"/>
      <c r="CA53" s="84" t="str">
        <f>'Variante données'!$B$132</f>
        <v>Tracteur arboricole 4 roues motrices</v>
      </c>
      <c r="CB53" s="41"/>
      <c r="CC53" s="614">
        <f>CC52</f>
        <v>63.758522727272727</v>
      </c>
      <c r="CD53" s="42">
        <f>'Variante données'!$D$132*(1+'Page variable'!$C$33)</f>
        <v>41</v>
      </c>
      <c r="CE53" s="148">
        <f>CC53*CD53</f>
        <v>2614.099431818182</v>
      </c>
      <c r="CF53" s="733">
        <f>CE53/$CE$76</f>
        <v>7.9133969731690429E-2</v>
      </c>
      <c r="CG53" s="615"/>
      <c r="CH53" s="84" t="str">
        <f>'Variante données'!$B$132</f>
        <v>Tracteur arboricole 4 roues motrices</v>
      </c>
      <c r="CI53" s="41"/>
      <c r="CJ53" s="614">
        <f>CJ52</f>
        <v>63.758522727272727</v>
      </c>
      <c r="CK53" s="42">
        <f>'Variante données'!$D$132*(1+'Page variable'!$C$33)</f>
        <v>41</v>
      </c>
      <c r="CL53" s="148">
        <f>CJ53*CK53</f>
        <v>2614.099431818182</v>
      </c>
      <c r="CM53" s="733">
        <f>CL53/$CL$76</f>
        <v>7.9383542900692633E-2</v>
      </c>
      <c r="CN53" s="615"/>
      <c r="CO53" s="84" t="str">
        <f>'Variante données'!$B$132</f>
        <v>Tracteur arboricole 4 roues motrices</v>
      </c>
      <c r="CP53" s="41"/>
      <c r="CQ53" s="614">
        <f>CQ52</f>
        <v>63.758522727272727</v>
      </c>
      <c r="CR53" s="42">
        <f>'Variante données'!$D$132*(1+'Page variable'!$C$33)</f>
        <v>41</v>
      </c>
      <c r="CS53" s="148">
        <f>CQ53*CR53</f>
        <v>2614.099431818182</v>
      </c>
      <c r="CT53" s="733">
        <f>CS53/$CS$76</f>
        <v>7.9583650322868835E-2</v>
      </c>
      <c r="CU53" s="615"/>
      <c r="CV53" s="84" t="str">
        <f>'Variante données'!$B$132</f>
        <v>Tracteur arboricole 4 roues motrices</v>
      </c>
      <c r="CW53" s="41"/>
      <c r="CX53" s="614">
        <f>CX52</f>
        <v>63.758522727272727</v>
      </c>
      <c r="CY53" s="42">
        <f>'Variante données'!$D$132*(1+'Page variable'!$C$33)</f>
        <v>41</v>
      </c>
      <c r="CZ53" s="148">
        <f>CX53*CY53</f>
        <v>2614.099431818182</v>
      </c>
      <c r="DA53" s="733">
        <f>CZ53/$CZ$76</f>
        <v>6.6578953768023474E-2</v>
      </c>
    </row>
    <row r="54" spans="1:105" s="1" customFormat="1" ht="12.5" x14ac:dyDescent="0.25">
      <c r="A54" s="1502" t="s">
        <v>374</v>
      </c>
      <c r="B54" s="144" t="str">
        <f>'Variante données'!$B$132</f>
        <v>Tracteur arboricole 4 roues motrices</v>
      </c>
      <c r="C54" s="562">
        <v>10</v>
      </c>
      <c r="D54" s="314"/>
      <c r="E54" s="42">
        <f>'Variante données'!$D$132*(1+'Page variable'!$C$33)</f>
        <v>41</v>
      </c>
      <c r="F54" s="148">
        <f>E54*C54</f>
        <v>410</v>
      </c>
      <c r="G54" s="733">
        <f t="shared" si="13"/>
        <v>3.497908551692365E-2</v>
      </c>
      <c r="H54" s="1502" t="s">
        <v>374</v>
      </c>
      <c r="I54" s="144" t="str">
        <f>'Variante données'!$B$132</f>
        <v>Tracteur arboricole 4 roues motrices</v>
      </c>
      <c r="J54" s="562">
        <v>10</v>
      </c>
      <c r="K54" s="314"/>
      <c r="L54" s="42">
        <f>'Variante données'!$D$132*(1+'Page variable'!$C$33)</f>
        <v>41</v>
      </c>
      <c r="M54" s="148">
        <f>L54*J54</f>
        <v>410</v>
      </c>
      <c r="N54" s="733"/>
      <c r="O54" s="1502" t="s">
        <v>374</v>
      </c>
      <c r="P54" s="144" t="str">
        <f>'Variante données'!$B$132</f>
        <v>Tracteur arboricole 4 roues motrices</v>
      </c>
      <c r="Q54" s="562">
        <v>10</v>
      </c>
      <c r="R54" s="314"/>
      <c r="S54" s="42">
        <f>'Variante données'!$D$132*(1+'Page variable'!$C$33)</f>
        <v>41</v>
      </c>
      <c r="T54" s="148">
        <f>S54*Q54</f>
        <v>410</v>
      </c>
      <c r="U54" s="733"/>
      <c r="V54" s="1502" t="s">
        <v>374</v>
      </c>
      <c r="W54" s="144" t="str">
        <f>'Variante données'!$B$132</f>
        <v>Tracteur arboricole 4 roues motrices</v>
      </c>
      <c r="X54" s="562">
        <v>10</v>
      </c>
      <c r="Y54" s="314"/>
      <c r="Z54" s="42">
        <f>'Variante données'!$D$132*(1+'Page variable'!$C$33)</f>
        <v>41</v>
      </c>
      <c r="AA54" s="148">
        <f>Z54*X54</f>
        <v>410</v>
      </c>
      <c r="AB54" s="733"/>
      <c r="AC54" s="1502" t="s">
        <v>374</v>
      </c>
      <c r="AD54" s="144" t="str">
        <f>'Variante données'!$B$132</f>
        <v>Tracteur arboricole 4 roues motrices</v>
      </c>
      <c r="AE54" s="562">
        <v>10</v>
      </c>
      <c r="AF54" s="314"/>
      <c r="AG54" s="42">
        <f>'Variante données'!$D$132*(1+'Page variable'!$C$33)</f>
        <v>41</v>
      </c>
      <c r="AH54" s="148">
        <f>AG54*AE54</f>
        <v>410</v>
      </c>
      <c r="AI54" s="733"/>
      <c r="AJ54" s="1502" t="s">
        <v>374</v>
      </c>
      <c r="AK54" s="144" t="str">
        <f>'Variante données'!$B$132</f>
        <v>Tracteur arboricole 4 roues motrices</v>
      </c>
      <c r="AL54" s="562">
        <v>10</v>
      </c>
      <c r="AM54" s="314"/>
      <c r="AN54" s="42">
        <f>'Variante données'!$D$132*(1+'Page variable'!$C$33)</f>
        <v>41</v>
      </c>
      <c r="AO54" s="148">
        <f>AN54*AL54</f>
        <v>410</v>
      </c>
      <c r="AP54" s="733"/>
      <c r="AQ54" s="1502" t="s">
        <v>374</v>
      </c>
      <c r="AR54" s="144" t="str">
        <f>'Variante données'!$B$132</f>
        <v>Tracteur arboricole 4 roues motrices</v>
      </c>
      <c r="AS54" s="562">
        <v>10</v>
      </c>
      <c r="AT54" s="314"/>
      <c r="AU54" s="42">
        <f>'Variante données'!$D$132*(1+'Page variable'!$C$33)</f>
        <v>41</v>
      </c>
      <c r="AV54" s="148">
        <f>AU54*AS54</f>
        <v>410</v>
      </c>
      <c r="AW54" s="733"/>
      <c r="AX54" s="1502" t="s">
        <v>374</v>
      </c>
      <c r="AY54" s="144" t="str">
        <f>'Variante données'!$B$132</f>
        <v>Tracteur arboricole 4 roues motrices</v>
      </c>
      <c r="AZ54" s="562">
        <v>10</v>
      </c>
      <c r="BA54" s="314"/>
      <c r="BB54" s="42">
        <f>'Variante données'!$D$132*(1+'Page variable'!$C$33)</f>
        <v>41</v>
      </c>
      <c r="BC54" s="148">
        <f>BB54*AZ54</f>
        <v>410</v>
      </c>
      <c r="BD54" s="733"/>
      <c r="BE54" s="1502" t="s">
        <v>374</v>
      </c>
      <c r="BF54" s="144" t="str">
        <f>'Variante données'!$B$132</f>
        <v>Tracteur arboricole 4 roues motrices</v>
      </c>
      <c r="BG54" s="562">
        <v>10</v>
      </c>
      <c r="BH54" s="314"/>
      <c r="BI54" s="42">
        <f>'Variante données'!$D$132*(1+'Page variable'!$C$33)</f>
        <v>41</v>
      </c>
      <c r="BJ54" s="148">
        <f>BI54*BG54</f>
        <v>410</v>
      </c>
      <c r="BK54" s="733"/>
      <c r="BL54" s="1502" t="s">
        <v>374</v>
      </c>
      <c r="BM54" s="144" t="str">
        <f>'Variante données'!$B$132</f>
        <v>Tracteur arboricole 4 roues motrices</v>
      </c>
      <c r="BN54" s="562">
        <v>10</v>
      </c>
      <c r="BO54" s="314"/>
      <c r="BP54" s="42">
        <f>'Variante données'!$D$132*(1+'Page variable'!$C$33)</f>
        <v>41</v>
      </c>
      <c r="BQ54" s="148">
        <f>BP54*BN54</f>
        <v>410</v>
      </c>
      <c r="BR54" s="733"/>
      <c r="BS54" s="1502" t="s">
        <v>374</v>
      </c>
      <c r="BT54" s="144" t="str">
        <f>'Variante données'!$B$132</f>
        <v>Tracteur arboricole 4 roues motrices</v>
      </c>
      <c r="BU54" s="562">
        <v>10</v>
      </c>
      <c r="BV54" s="314"/>
      <c r="BW54" s="42">
        <f>'Variante données'!$D$132*(1+'Page variable'!$C$33)</f>
        <v>41</v>
      </c>
      <c r="BX54" s="148">
        <f>BW54*BU54</f>
        <v>410</v>
      </c>
      <c r="BY54" s="733"/>
      <c r="BZ54" s="1502" t="s">
        <v>374</v>
      </c>
      <c r="CA54" s="144" t="str">
        <f>'Variante données'!$B$132</f>
        <v>Tracteur arboricole 4 roues motrices</v>
      </c>
      <c r="CB54" s="562">
        <v>10</v>
      </c>
      <c r="CC54" s="314"/>
      <c r="CD54" s="42">
        <f>'Variante données'!$D$132*(1+'Page variable'!$C$33)</f>
        <v>41</v>
      </c>
      <c r="CE54" s="148">
        <f>CD54*CB54</f>
        <v>410</v>
      </c>
      <c r="CF54" s="733"/>
      <c r="CG54" s="1502" t="s">
        <v>374</v>
      </c>
      <c r="CH54" s="144" t="str">
        <f>'Variante données'!$B$132</f>
        <v>Tracteur arboricole 4 roues motrices</v>
      </c>
      <c r="CI54" s="562">
        <v>10</v>
      </c>
      <c r="CJ54" s="314"/>
      <c r="CK54" s="42">
        <f>'Variante données'!$D$132*(1+'Page variable'!$C$33)</f>
        <v>41</v>
      </c>
      <c r="CL54" s="148">
        <f>CK54*CI54</f>
        <v>410</v>
      </c>
      <c r="CM54" s="733"/>
      <c r="CN54" s="1502" t="s">
        <v>374</v>
      </c>
      <c r="CO54" s="144" t="str">
        <f>'Variante données'!$B$132</f>
        <v>Tracteur arboricole 4 roues motrices</v>
      </c>
      <c r="CP54" s="562">
        <v>10</v>
      </c>
      <c r="CQ54" s="314"/>
      <c r="CR54" s="42">
        <f>'Variante données'!$D$132*(1+'Page variable'!$C$33)</f>
        <v>41</v>
      </c>
      <c r="CS54" s="148">
        <f>CR54*CP54</f>
        <v>410</v>
      </c>
      <c r="CT54" s="733"/>
      <c r="CU54" s="1502" t="s">
        <v>374</v>
      </c>
      <c r="CV54" s="144" t="str">
        <f>'Variante données'!$B$132</f>
        <v>Tracteur arboricole 4 roues motrices</v>
      </c>
      <c r="CW54" s="562">
        <v>10</v>
      </c>
      <c r="CX54" s="314"/>
      <c r="CY54" s="42">
        <f>'Variante données'!$D$132*(1+'Page variable'!$C$33)</f>
        <v>41</v>
      </c>
      <c r="CZ54" s="148">
        <f>CY54*CW54</f>
        <v>410</v>
      </c>
      <c r="DA54" s="733"/>
    </row>
    <row r="55" spans="1:105" s="1" customFormat="1" ht="12.5" x14ac:dyDescent="0.25">
      <c r="A55" s="1502"/>
      <c r="B55" s="144" t="s">
        <v>308</v>
      </c>
      <c r="C55" s="562">
        <v>10</v>
      </c>
      <c r="D55" s="314"/>
      <c r="E55" s="42">
        <f>'Variante données'!$D$152*(1+'Page variable'!$C$33)</f>
        <v>19.100000000000001</v>
      </c>
      <c r="F55" s="148">
        <f>E55*C55</f>
        <v>191</v>
      </c>
      <c r="G55" s="733">
        <f t="shared" si="13"/>
        <v>1.629513496032297E-2</v>
      </c>
      <c r="H55" s="1502"/>
      <c r="I55" s="144" t="s">
        <v>308</v>
      </c>
      <c r="J55" s="562">
        <v>10</v>
      </c>
      <c r="K55" s="314"/>
      <c r="L55" s="42">
        <f>'Variante données'!$D$152*(1+'Page variable'!$C$33)</f>
        <v>19.100000000000001</v>
      </c>
      <c r="M55" s="148">
        <f>L55*J55</f>
        <v>191</v>
      </c>
      <c r="N55" s="733"/>
      <c r="O55" s="1502"/>
      <c r="P55" s="144" t="s">
        <v>308</v>
      </c>
      <c r="Q55" s="562">
        <v>10</v>
      </c>
      <c r="R55" s="314"/>
      <c r="S55" s="42">
        <f>'Variante données'!$D$152*(1+'Page variable'!$C$33)</f>
        <v>19.100000000000001</v>
      </c>
      <c r="T55" s="148">
        <f>S55*Q55</f>
        <v>191</v>
      </c>
      <c r="U55" s="733"/>
      <c r="V55" s="1502"/>
      <c r="W55" s="144" t="s">
        <v>308</v>
      </c>
      <c r="X55" s="562">
        <v>10</v>
      </c>
      <c r="Y55" s="314"/>
      <c r="Z55" s="42">
        <f>'Variante données'!$D$152*(1+'Page variable'!$C$33)</f>
        <v>19.100000000000001</v>
      </c>
      <c r="AA55" s="148">
        <f>Z55*X55</f>
        <v>191</v>
      </c>
      <c r="AB55" s="733"/>
      <c r="AC55" s="1502"/>
      <c r="AD55" s="144" t="s">
        <v>308</v>
      </c>
      <c r="AE55" s="562">
        <v>10</v>
      </c>
      <c r="AF55" s="314"/>
      <c r="AG55" s="42">
        <f>'Variante données'!$D$152*(1+'Page variable'!$C$33)</f>
        <v>19.100000000000001</v>
      </c>
      <c r="AH55" s="148">
        <f>AG55*AE55</f>
        <v>191</v>
      </c>
      <c r="AI55" s="733"/>
      <c r="AJ55" s="1502"/>
      <c r="AK55" s="144" t="s">
        <v>308</v>
      </c>
      <c r="AL55" s="562">
        <v>10</v>
      </c>
      <c r="AM55" s="314"/>
      <c r="AN55" s="42">
        <f>'Variante données'!$D$152*(1+'Page variable'!$C$33)</f>
        <v>19.100000000000001</v>
      </c>
      <c r="AO55" s="148">
        <f>AN55*AL55</f>
        <v>191</v>
      </c>
      <c r="AP55" s="733"/>
      <c r="AQ55" s="1502"/>
      <c r="AR55" s="144" t="s">
        <v>308</v>
      </c>
      <c r="AS55" s="562">
        <v>10</v>
      </c>
      <c r="AT55" s="314"/>
      <c r="AU55" s="42">
        <f>'Variante données'!$D$152*(1+'Page variable'!$C$33)</f>
        <v>19.100000000000001</v>
      </c>
      <c r="AV55" s="148">
        <f>AU55*AS55</f>
        <v>191</v>
      </c>
      <c r="AW55" s="733"/>
      <c r="AX55" s="1502"/>
      <c r="AY55" s="144" t="s">
        <v>308</v>
      </c>
      <c r="AZ55" s="562">
        <v>10</v>
      </c>
      <c r="BA55" s="314"/>
      <c r="BB55" s="42">
        <f>'Variante données'!$D$152*(1+'Page variable'!$C$33)</f>
        <v>19.100000000000001</v>
      </c>
      <c r="BC55" s="148">
        <f>BB55*AZ55</f>
        <v>191</v>
      </c>
      <c r="BD55" s="733"/>
      <c r="BE55" s="1502"/>
      <c r="BF55" s="144" t="s">
        <v>308</v>
      </c>
      <c r="BG55" s="562">
        <v>10</v>
      </c>
      <c r="BH55" s="314"/>
      <c r="BI55" s="42">
        <f>'Variante données'!$D$152*(1+'Page variable'!$C$33)</f>
        <v>19.100000000000001</v>
      </c>
      <c r="BJ55" s="148">
        <f>BI55*BG55</f>
        <v>191</v>
      </c>
      <c r="BK55" s="733"/>
      <c r="BL55" s="1502"/>
      <c r="BM55" s="144" t="s">
        <v>308</v>
      </c>
      <c r="BN55" s="562">
        <v>10</v>
      </c>
      <c r="BO55" s="314"/>
      <c r="BP55" s="42">
        <f>'Variante données'!$D$152*(1+'Page variable'!$C$33)</f>
        <v>19.100000000000001</v>
      </c>
      <c r="BQ55" s="148">
        <f>BP55*BN55</f>
        <v>191</v>
      </c>
      <c r="BR55" s="733"/>
      <c r="BS55" s="1502"/>
      <c r="BT55" s="144" t="s">
        <v>308</v>
      </c>
      <c r="BU55" s="562">
        <v>10</v>
      </c>
      <c r="BV55" s="314"/>
      <c r="BW55" s="42">
        <f>'Variante données'!$D$152*(1+'Page variable'!$C$33)</f>
        <v>19.100000000000001</v>
      </c>
      <c r="BX55" s="148">
        <f>BW55*BU55</f>
        <v>191</v>
      </c>
      <c r="BY55" s="733"/>
      <c r="BZ55" s="1502"/>
      <c r="CA55" s="144" t="s">
        <v>308</v>
      </c>
      <c r="CB55" s="562">
        <v>10</v>
      </c>
      <c r="CC55" s="314"/>
      <c r="CD55" s="42">
        <f>'Variante données'!$D$152*(1+'Page variable'!$C$33)</f>
        <v>19.100000000000001</v>
      </c>
      <c r="CE55" s="148">
        <f>CD55*CB55</f>
        <v>191</v>
      </c>
      <c r="CF55" s="733"/>
      <c r="CG55" s="1502"/>
      <c r="CH55" s="144" t="s">
        <v>308</v>
      </c>
      <c r="CI55" s="562">
        <v>10</v>
      </c>
      <c r="CJ55" s="314"/>
      <c r="CK55" s="42">
        <f>'Variante données'!$D$152*(1+'Page variable'!$C$33)</f>
        <v>19.100000000000001</v>
      </c>
      <c r="CL55" s="148">
        <f>CK55*CI55</f>
        <v>191</v>
      </c>
      <c r="CM55" s="733"/>
      <c r="CN55" s="1502"/>
      <c r="CO55" s="144" t="s">
        <v>308</v>
      </c>
      <c r="CP55" s="562">
        <v>10</v>
      </c>
      <c r="CQ55" s="314"/>
      <c r="CR55" s="42">
        <f>'Variante données'!$D$152*(1+'Page variable'!$C$33)</f>
        <v>19.100000000000001</v>
      </c>
      <c r="CS55" s="148">
        <f>CR55*CP55</f>
        <v>191</v>
      </c>
      <c r="CT55" s="733"/>
      <c r="CU55" s="1502"/>
      <c r="CV55" s="144" t="s">
        <v>308</v>
      </c>
      <c r="CW55" s="562">
        <v>10</v>
      </c>
      <c r="CX55" s="314"/>
      <c r="CY55" s="42">
        <f>'Variante données'!$D$152*(1+'Page variable'!$C$33)</f>
        <v>19.100000000000001</v>
      </c>
      <c r="CZ55" s="148">
        <f>CY55*CW55</f>
        <v>191</v>
      </c>
      <c r="DA55" s="733"/>
    </row>
    <row r="56" spans="1:105" s="1" customFormat="1" ht="13" thickBot="1" x14ac:dyDescent="0.3">
      <c r="A56" s="752"/>
      <c r="B56" s="39" t="str">
        <f>'Variante données'!$B$142</f>
        <v>Divers petits appareils</v>
      </c>
      <c r="C56" s="41"/>
      <c r="D56" s="41"/>
      <c r="E56" s="42"/>
      <c r="F56" s="582">
        <f>'Variante données'!$D$142*(1+'Page variable'!$C$33)</f>
        <v>350</v>
      </c>
      <c r="G56" s="733">
        <f t="shared" si="13"/>
        <v>2.9860194953471409E-2</v>
      </c>
      <c r="H56" s="752"/>
      <c r="I56" s="39" t="str">
        <f>'Variante données'!$B$142</f>
        <v>Divers petits appareils</v>
      </c>
      <c r="J56" s="41"/>
      <c r="K56" s="41"/>
      <c r="L56" s="42"/>
      <c r="M56" s="582">
        <f>'Variante données'!$D$142*(1+'Page variable'!$C$33)</f>
        <v>350</v>
      </c>
      <c r="N56" s="733">
        <f>M56/$M$76</f>
        <v>2.5169313495448389E-2</v>
      </c>
      <c r="O56" s="752"/>
      <c r="P56" s="39" t="str">
        <f>'Variante données'!$B$142</f>
        <v>Divers petits appareils</v>
      </c>
      <c r="Q56" s="41"/>
      <c r="R56" s="41"/>
      <c r="S56" s="42"/>
      <c r="T56" s="582">
        <f>'Variante données'!$D$142*(1+'Page variable'!$C$33)</f>
        <v>350</v>
      </c>
      <c r="U56" s="733">
        <f>T56/$T$76</f>
        <v>1.3340352352732385E-2</v>
      </c>
      <c r="V56" s="752"/>
      <c r="W56" s="39" t="str">
        <f>'Variante données'!$B$142</f>
        <v>Divers petits appareils</v>
      </c>
      <c r="X56" s="41"/>
      <c r="Y56" s="41"/>
      <c r="Z56" s="42"/>
      <c r="AA56" s="582">
        <f>'Variante données'!$D$142*(1+'Page variable'!$C$33)</f>
        <v>350</v>
      </c>
      <c r="AB56" s="733">
        <f>AA56/$AA$76</f>
        <v>1.2270459278965995E-2</v>
      </c>
      <c r="AC56" s="752"/>
      <c r="AD56" s="39" t="str">
        <f>'Variante données'!$B$142</f>
        <v>Divers petits appareils</v>
      </c>
      <c r="AE56" s="41"/>
      <c r="AF56" s="41"/>
      <c r="AG56" s="42"/>
      <c r="AH56" s="582">
        <f>'Variante données'!$D$142*(1+'Page variable'!$C$33)</f>
        <v>350</v>
      </c>
      <c r="AI56" s="733">
        <f>AH56/$AH$76</f>
        <v>1.1230295678560282E-2</v>
      </c>
      <c r="AJ56" s="752"/>
      <c r="AK56" s="39" t="str">
        <f>'Variante données'!$B$142</f>
        <v>Divers petits appareils</v>
      </c>
      <c r="AL56" s="41"/>
      <c r="AM56" s="41"/>
      <c r="AN56" s="42"/>
      <c r="AO56" s="582">
        <f>'Variante données'!$D$142*(1+'Page variable'!$C$33)</f>
        <v>350</v>
      </c>
      <c r="AP56" s="733">
        <f>AO56/$AO$76</f>
        <v>1.0381849070617157E-2</v>
      </c>
      <c r="AQ56" s="752"/>
      <c r="AR56" s="39" t="str">
        <f>'Variante données'!$B$142</f>
        <v>Divers petits appareils</v>
      </c>
      <c r="AS56" s="41"/>
      <c r="AT56" s="41"/>
      <c r="AU56" s="42"/>
      <c r="AV56" s="582">
        <f>'Variante données'!$D$142*(1+'Page variable'!$C$33)</f>
        <v>350</v>
      </c>
      <c r="AW56" s="733">
        <f>AV56/$AV$76</f>
        <v>1.0417782997821751E-2</v>
      </c>
      <c r="AX56" s="752"/>
      <c r="AY56" s="39" t="str">
        <f>'Variante données'!$B$142</f>
        <v>Divers petits appareils</v>
      </c>
      <c r="AZ56" s="41"/>
      <c r="BA56" s="41"/>
      <c r="BB56" s="42"/>
      <c r="BC56" s="582">
        <f>'Variante données'!$D$142*(1+'Page variable'!$C$33)</f>
        <v>350</v>
      </c>
      <c r="BD56" s="733">
        <f>BC56/$BC$76</f>
        <v>1.0454511206518564E-2</v>
      </c>
      <c r="BE56" s="752"/>
      <c r="BF56" s="39" t="str">
        <f>'Variante données'!$B$142</f>
        <v>Divers petits appareils</v>
      </c>
      <c r="BG56" s="41"/>
      <c r="BH56" s="41"/>
      <c r="BI56" s="42"/>
      <c r="BJ56" s="582">
        <f>'Variante données'!$D$142*(1+'Page variable'!$C$33)</f>
        <v>350</v>
      </c>
      <c r="BK56" s="733">
        <f>BJ56/$BJ$76</f>
        <v>1.049205611825779E-2</v>
      </c>
      <c r="BL56" s="752"/>
      <c r="BM56" s="39" t="str">
        <f>'Variante données'!$B$142</f>
        <v>Divers petits appareils</v>
      </c>
      <c r="BN56" s="41"/>
      <c r="BO56" s="41"/>
      <c r="BP56" s="42"/>
      <c r="BQ56" s="582">
        <f>'Variante données'!$D$142*(1+'Page variable'!$C$33)</f>
        <v>350</v>
      </c>
      <c r="BR56" s="733">
        <f>BQ56/$BQ$76</f>
        <v>1.0530440977799833E-2</v>
      </c>
      <c r="BS56" s="752"/>
      <c r="BT56" s="39" t="str">
        <f>'Variante données'!$B$142</f>
        <v>Divers petits appareils</v>
      </c>
      <c r="BU56" s="41"/>
      <c r="BV56" s="41"/>
      <c r="BW56" s="42"/>
      <c r="BX56" s="582">
        <f>'Variante données'!$D$142*(1+'Page variable'!$C$33)</f>
        <v>350</v>
      </c>
      <c r="BY56" s="733">
        <f>BX56/$BX$76</f>
        <v>1.0562477013754611E-2</v>
      </c>
      <c r="BZ56" s="752"/>
      <c r="CA56" s="39" t="str">
        <f>'Variante données'!$B$142</f>
        <v>Divers petits appareils</v>
      </c>
      <c r="CB56" s="41"/>
      <c r="CC56" s="41"/>
      <c r="CD56" s="42"/>
      <c r="CE56" s="582">
        <f>'Variante données'!$D$142*(1+'Page variable'!$C$33)</f>
        <v>350</v>
      </c>
      <c r="CF56" s="733">
        <f>CE56/$CE$76</f>
        <v>1.0595193537388768E-2</v>
      </c>
      <c r="CG56" s="752"/>
      <c r="CH56" s="39" t="str">
        <f>'Variante données'!$B$142</f>
        <v>Divers petits appareils</v>
      </c>
      <c r="CI56" s="41"/>
      <c r="CJ56" s="41"/>
      <c r="CK56" s="42"/>
      <c r="CL56" s="582">
        <f>'Variante données'!$D$142*(1+'Page variable'!$C$33)</f>
        <v>350</v>
      </c>
      <c r="CM56" s="733">
        <f>CL56/$CL$76</f>
        <v>1.0628608719721757E-2</v>
      </c>
      <c r="CN56" s="752"/>
      <c r="CO56" s="39" t="str">
        <f>'Variante données'!$B$142</f>
        <v>Divers petits appareils</v>
      </c>
      <c r="CP56" s="41"/>
      <c r="CQ56" s="41"/>
      <c r="CR56" s="42"/>
      <c r="CS56" s="582">
        <f>'Variante données'!$D$142*(1+'Page variable'!$C$33)</f>
        <v>350</v>
      </c>
      <c r="CT56" s="733">
        <f>CS56/$CS$76</f>
        <v>1.0655400966760716E-2</v>
      </c>
      <c r="CU56" s="752"/>
      <c r="CV56" s="39" t="str">
        <f>'Variante données'!$B$142</f>
        <v>Divers petits appareils</v>
      </c>
      <c r="CW56" s="41"/>
      <c r="CX56" s="41"/>
      <c r="CY56" s="42"/>
      <c r="CZ56" s="582">
        <f>'Variante données'!$D$142*(1+'Page variable'!$C$33)</f>
        <v>350</v>
      </c>
      <c r="DA56" s="733">
        <f>CZ56/$CZ$76</f>
        <v>8.9142109650360776E-3</v>
      </c>
    </row>
    <row r="57" spans="1:105" ht="13" x14ac:dyDescent="0.3">
      <c r="A57" s="616"/>
      <c r="B57" s="4"/>
      <c r="C57" s="33"/>
      <c r="D57" s="33"/>
      <c r="E57" s="45"/>
      <c r="F57" s="52">
        <f>SUM(F52:F56)</f>
        <v>2441.1999999999998</v>
      </c>
      <c r="G57" s="730">
        <f t="shared" si="13"/>
        <v>0.20827059405832685</v>
      </c>
      <c r="H57" s="616"/>
      <c r="I57" s="4"/>
      <c r="J57" s="33"/>
      <c r="K57" s="33"/>
      <c r="L57" s="45"/>
      <c r="M57" s="52">
        <f>SUM(M52:M56)</f>
        <v>2671.3221590909088</v>
      </c>
      <c r="N57" s="730">
        <f>M57/$M$76</f>
        <v>0.19210098534142042</v>
      </c>
      <c r="O57" s="616"/>
      <c r="P57" s="4"/>
      <c r="Q57" s="33"/>
      <c r="R57" s="33"/>
      <c r="S57" s="45"/>
      <c r="T57" s="52">
        <f>SUM(T52:T56)</f>
        <v>5076.039772727273</v>
      </c>
      <c r="U57" s="730">
        <f>T57/$T$76</f>
        <v>0.19347474035618697</v>
      </c>
      <c r="V57" s="616"/>
      <c r="W57" s="4"/>
      <c r="X57" s="33"/>
      <c r="Y57" s="33"/>
      <c r="Z57" s="45"/>
      <c r="AA57" s="52">
        <f>SUM(AA52:AA56)</f>
        <v>5549.0107954545456</v>
      </c>
      <c r="AB57" s="730">
        <f>AA57/$AA$76</f>
        <v>0.19453974572619345</v>
      </c>
      <c r="AC57" s="616"/>
      <c r="AD57" s="4"/>
      <c r="AE57" s="33"/>
      <c r="AF57" s="33"/>
      <c r="AG57" s="45"/>
      <c r="AH57" s="52">
        <f>SUM(AH52:AH56)</f>
        <v>5891.2551136363636</v>
      </c>
      <c r="AI57" s="730">
        <f>AH57/$AH$76</f>
        <v>0.18903010526847605</v>
      </c>
      <c r="AJ57" s="616"/>
      <c r="AK57" s="4"/>
      <c r="AL57" s="33"/>
      <c r="AM57" s="33"/>
      <c r="AN57" s="45"/>
      <c r="AO57" s="52">
        <f>SUM(AO52:AO56)</f>
        <v>6233.4994318181816</v>
      </c>
      <c r="AP57" s="730">
        <f>AO57/$AO$76</f>
        <v>0.18490071509404046</v>
      </c>
      <c r="AQ57" s="616"/>
      <c r="AR57" s="4"/>
      <c r="AS57" s="33"/>
      <c r="AT57" s="33"/>
      <c r="AU57" s="45"/>
      <c r="AV57" s="52">
        <f>SUM(AV52:AV56)</f>
        <v>6233.4994318181816</v>
      </c>
      <c r="AW57" s="730">
        <f>AV57/$AV$76</f>
        <v>0.18554069827921998</v>
      </c>
      <c r="AX57" s="616"/>
      <c r="AY57" s="4"/>
      <c r="AZ57" s="33"/>
      <c r="BA57" s="33"/>
      <c r="BB57" s="45"/>
      <c r="BC57" s="52">
        <f>SUM(BC52:BC56)</f>
        <v>6233.4994318181816</v>
      </c>
      <c r="BD57" s="730">
        <f>BC57/$BC$76</f>
        <v>0.18619482761648654</v>
      </c>
      <c r="BE57" s="616"/>
      <c r="BF57" s="4"/>
      <c r="BG57" s="33"/>
      <c r="BH57" s="33"/>
      <c r="BI57" s="45"/>
      <c r="BJ57" s="52">
        <f>SUM(BJ52:BJ56)</f>
        <v>6233.4994318181816</v>
      </c>
      <c r="BK57" s="730">
        <f>BJ57/$BJ$76</f>
        <v>0.1868635024336126</v>
      </c>
      <c r="BL57" s="616"/>
      <c r="BM57" s="4"/>
      <c r="BN57" s="33"/>
      <c r="BO57" s="33"/>
      <c r="BP57" s="45"/>
      <c r="BQ57" s="52">
        <f>SUM(BQ52:BQ56)</f>
        <v>6233.4994318181816</v>
      </c>
      <c r="BR57" s="730">
        <f>BQ57/$BQ$76</f>
        <v>0.1875471367197433</v>
      </c>
      <c r="BS57" s="616"/>
      <c r="BT57" s="4"/>
      <c r="BU57" s="33"/>
      <c r="BV57" s="33"/>
      <c r="BW57" s="45"/>
      <c r="BX57" s="52">
        <f>SUM(BX52:BX56)</f>
        <v>6233.4994318181816</v>
      </c>
      <c r="BY57" s="730">
        <f>BX57/$BX$76</f>
        <v>0.18811769846809134</v>
      </c>
      <c r="BZ57" s="616"/>
      <c r="CA57" s="4"/>
      <c r="CB57" s="33"/>
      <c r="CC57" s="33"/>
      <c r="CD57" s="45"/>
      <c r="CE57" s="52">
        <f>SUM(CE52:CE56)</f>
        <v>6233.4994318181816</v>
      </c>
      <c r="CF57" s="730">
        <f>CE57/$CE$76</f>
        <v>0.18870037970090445</v>
      </c>
      <c r="CG57" s="616"/>
      <c r="CH57" s="4"/>
      <c r="CI57" s="33"/>
      <c r="CJ57" s="33"/>
      <c r="CK57" s="45"/>
      <c r="CL57" s="52">
        <f>SUM(CL52:CL56)</f>
        <v>6233.4994318181816</v>
      </c>
      <c r="CM57" s="730">
        <f>CL57/$CL$76</f>
        <v>0.18929550404400955</v>
      </c>
      <c r="CN57" s="616"/>
      <c r="CO57" s="4"/>
      <c r="CP57" s="33"/>
      <c r="CQ57" s="33"/>
      <c r="CR57" s="45"/>
      <c r="CS57" s="52">
        <f>SUM(CS52:CS56)</f>
        <v>6233.4994318181816</v>
      </c>
      <c r="CT57" s="730">
        <f>CS57/$CS$76</f>
        <v>0.18977267392027949</v>
      </c>
      <c r="CU57" s="616"/>
      <c r="CV57" s="4"/>
      <c r="CW57" s="33"/>
      <c r="CX57" s="33"/>
      <c r="CY57" s="45"/>
      <c r="CZ57" s="52">
        <f>SUM(CZ52:CZ56)</f>
        <v>6233.4994318181816</v>
      </c>
      <c r="DA57" s="730">
        <f>CZ57/$CZ$76</f>
        <v>0.15876208281617082</v>
      </c>
    </row>
    <row r="58" spans="1:105" s="13" customFormat="1" ht="19.5" customHeight="1" x14ac:dyDescent="0.25">
      <c r="B58" s="28"/>
      <c r="C58" s="41"/>
      <c r="D58" s="117" t="s">
        <v>309</v>
      </c>
      <c r="E58" s="300" t="s">
        <v>52</v>
      </c>
      <c r="F58" s="298" t="s">
        <v>53</v>
      </c>
      <c r="G58" s="734"/>
      <c r="I58" s="28"/>
      <c r="J58" s="41"/>
      <c r="K58" s="117" t="s">
        <v>309</v>
      </c>
      <c r="L58" s="300" t="s">
        <v>52</v>
      </c>
      <c r="M58" s="298" t="s">
        <v>53</v>
      </c>
      <c r="N58" s="734"/>
      <c r="P58" s="28"/>
      <c r="Q58" s="41"/>
      <c r="R58" s="117" t="s">
        <v>309</v>
      </c>
      <c r="S58" s="300" t="s">
        <v>52</v>
      </c>
      <c r="T58" s="298" t="s">
        <v>53</v>
      </c>
      <c r="U58" s="734"/>
      <c r="W58" s="28"/>
      <c r="X58" s="41"/>
      <c r="Y58" s="117" t="s">
        <v>309</v>
      </c>
      <c r="Z58" s="300" t="s">
        <v>52</v>
      </c>
      <c r="AA58" s="298" t="s">
        <v>53</v>
      </c>
      <c r="AB58" s="734"/>
      <c r="AD58" s="28"/>
      <c r="AE58" s="41"/>
      <c r="AF58" s="117" t="s">
        <v>309</v>
      </c>
      <c r="AG58" s="300" t="s">
        <v>52</v>
      </c>
      <c r="AH58" s="298" t="s">
        <v>53</v>
      </c>
      <c r="AI58" s="734"/>
      <c r="AK58" s="28"/>
      <c r="AL58" s="41"/>
      <c r="AM58" s="117" t="s">
        <v>309</v>
      </c>
      <c r="AN58" s="300" t="s">
        <v>52</v>
      </c>
      <c r="AO58" s="298" t="s">
        <v>53</v>
      </c>
      <c r="AP58" s="734"/>
      <c r="AR58" s="28"/>
      <c r="AS58" s="41"/>
      <c r="AT58" s="117" t="s">
        <v>309</v>
      </c>
      <c r="AU58" s="300" t="s">
        <v>52</v>
      </c>
      <c r="AV58" s="298" t="s">
        <v>53</v>
      </c>
      <c r="AW58" s="734"/>
      <c r="AY58" s="28"/>
      <c r="AZ58" s="41"/>
      <c r="BA58" s="117" t="s">
        <v>309</v>
      </c>
      <c r="BB58" s="300" t="s">
        <v>52</v>
      </c>
      <c r="BC58" s="298" t="s">
        <v>53</v>
      </c>
      <c r="BD58" s="734"/>
      <c r="BF58" s="28"/>
      <c r="BG58" s="41"/>
      <c r="BH58" s="117" t="s">
        <v>309</v>
      </c>
      <c r="BI58" s="300" t="s">
        <v>52</v>
      </c>
      <c r="BJ58" s="298" t="s">
        <v>53</v>
      </c>
      <c r="BK58" s="734"/>
      <c r="BM58" s="28"/>
      <c r="BN58" s="41"/>
      <c r="BO58" s="117" t="s">
        <v>309</v>
      </c>
      <c r="BP58" s="300" t="s">
        <v>52</v>
      </c>
      <c r="BQ58" s="298" t="s">
        <v>53</v>
      </c>
      <c r="BR58" s="734"/>
      <c r="BT58" s="28"/>
      <c r="BU58" s="41"/>
      <c r="BV58" s="117" t="s">
        <v>309</v>
      </c>
      <c r="BW58" s="300" t="s">
        <v>52</v>
      </c>
      <c r="BX58" s="298" t="s">
        <v>53</v>
      </c>
      <c r="BY58" s="734"/>
      <c r="CA58" s="28"/>
      <c r="CB58" s="41"/>
      <c r="CC58" s="117" t="s">
        <v>309</v>
      </c>
      <c r="CD58" s="300" t="s">
        <v>52</v>
      </c>
      <c r="CE58" s="298" t="s">
        <v>53</v>
      </c>
      <c r="CF58" s="734"/>
      <c r="CH58" s="28"/>
      <c r="CI58" s="41"/>
      <c r="CJ58" s="117" t="s">
        <v>309</v>
      </c>
      <c r="CK58" s="300" t="s">
        <v>52</v>
      </c>
      <c r="CL58" s="298" t="s">
        <v>53</v>
      </c>
      <c r="CM58" s="734"/>
      <c r="CO58" s="28"/>
      <c r="CP58" s="41"/>
      <c r="CQ58" s="117" t="s">
        <v>309</v>
      </c>
      <c r="CR58" s="300" t="s">
        <v>52</v>
      </c>
      <c r="CS58" s="298" t="s">
        <v>53</v>
      </c>
      <c r="CT58" s="734"/>
      <c r="CV58" s="28"/>
      <c r="CW58" s="41"/>
      <c r="CX58" s="117" t="s">
        <v>309</v>
      </c>
      <c r="CY58" s="300" t="s">
        <v>52</v>
      </c>
      <c r="CZ58" s="298" t="s">
        <v>53</v>
      </c>
      <c r="DA58" s="734"/>
    </row>
    <row r="59" spans="1:105" s="18" customFormat="1" ht="15.75" customHeight="1" x14ac:dyDescent="0.3">
      <c r="A59" s="38" t="s">
        <v>375</v>
      </c>
      <c r="B59" s="39" t="s">
        <v>353</v>
      </c>
      <c r="C59" s="41"/>
      <c r="D59" s="360">
        <f>C46*D46</f>
        <v>0</v>
      </c>
      <c r="E59" s="42">
        <f>'Variante données'!$C$36</f>
        <v>29.5</v>
      </c>
      <c r="F59" s="43">
        <f>D59*E59</f>
        <v>0</v>
      </c>
      <c r="G59" s="733">
        <f t="shared" ref="G59:G66" si="14">F59/$F$76</f>
        <v>0</v>
      </c>
      <c r="H59" s="38" t="s">
        <v>375</v>
      </c>
      <c r="I59" s="39" t="s">
        <v>353</v>
      </c>
      <c r="J59" s="41"/>
      <c r="K59" s="360">
        <f>J46*K46</f>
        <v>1</v>
      </c>
      <c r="L59" s="42">
        <f>'Variante données'!$C$36</f>
        <v>29.5</v>
      </c>
      <c r="M59" s="43">
        <f>K59*L59</f>
        <v>29.5</v>
      </c>
      <c r="N59" s="733">
        <f>M59/$M$76</f>
        <v>2.1214135660449357E-3</v>
      </c>
      <c r="O59" s="38" t="s">
        <v>375</v>
      </c>
      <c r="P59" s="39" t="s">
        <v>353</v>
      </c>
      <c r="Q59" s="41"/>
      <c r="R59" s="360">
        <f>Q46*R46</f>
        <v>2</v>
      </c>
      <c r="S59" s="42">
        <f>'Variante données'!$C$36</f>
        <v>29.5</v>
      </c>
      <c r="T59" s="43">
        <f>R59*S59</f>
        <v>59</v>
      </c>
      <c r="U59" s="733">
        <f>T59/$T$76</f>
        <v>2.2488022537463163E-3</v>
      </c>
      <c r="V59" s="38" t="s">
        <v>375</v>
      </c>
      <c r="W59" s="39" t="s">
        <v>353</v>
      </c>
      <c r="X59" s="41"/>
      <c r="Y59" s="360">
        <f>X46*Y46</f>
        <v>2</v>
      </c>
      <c r="Z59" s="42">
        <f>'Variante données'!$C$36</f>
        <v>29.5</v>
      </c>
      <c r="AA59" s="43">
        <f>Y59*Z59</f>
        <v>59</v>
      </c>
      <c r="AB59" s="733">
        <f>AA59/$AA$76</f>
        <v>2.0684488498828391E-3</v>
      </c>
      <c r="AC59" s="38" t="s">
        <v>375</v>
      </c>
      <c r="AD59" s="39" t="s">
        <v>353</v>
      </c>
      <c r="AE59" s="41"/>
      <c r="AF59" s="360">
        <f>AE46*AF46</f>
        <v>2</v>
      </c>
      <c r="AG59" s="42">
        <f>'Variante données'!$C$36</f>
        <v>29.5</v>
      </c>
      <c r="AH59" s="43">
        <f>AF59*AG59</f>
        <v>59</v>
      </c>
      <c r="AI59" s="733">
        <f>AH59/$AH$76</f>
        <v>1.8931069858144475E-3</v>
      </c>
      <c r="AJ59" s="38" t="s">
        <v>375</v>
      </c>
      <c r="AK59" s="39" t="s">
        <v>353</v>
      </c>
      <c r="AL59" s="41"/>
      <c r="AM59" s="360">
        <f>AL46*AM46</f>
        <v>2</v>
      </c>
      <c r="AN59" s="42">
        <f>'Variante données'!$C$36</f>
        <v>29.5</v>
      </c>
      <c r="AO59" s="43">
        <f>AM59*AN59</f>
        <v>59</v>
      </c>
      <c r="AP59" s="733">
        <f>AO59/$AO$76</f>
        <v>1.7500831290468922E-3</v>
      </c>
      <c r="AQ59" s="38" t="s">
        <v>375</v>
      </c>
      <c r="AR59" s="39" t="s">
        <v>353</v>
      </c>
      <c r="AS59" s="41"/>
      <c r="AT59" s="360">
        <f>AS46*AT46</f>
        <v>2</v>
      </c>
      <c r="AU59" s="42">
        <f>'Variante données'!$C$36</f>
        <v>29.5</v>
      </c>
      <c r="AV59" s="43">
        <f>AT59*AU59</f>
        <v>59</v>
      </c>
      <c r="AW59" s="733">
        <f>AV59/$AV$76</f>
        <v>1.7561405624899522E-3</v>
      </c>
      <c r="AX59" s="38" t="s">
        <v>375</v>
      </c>
      <c r="AY59" s="39" t="s">
        <v>353</v>
      </c>
      <c r="AZ59" s="41"/>
      <c r="BA59" s="360">
        <f>AZ46*BA46</f>
        <v>2</v>
      </c>
      <c r="BB59" s="42">
        <f>'Variante données'!$C$36</f>
        <v>29.5</v>
      </c>
      <c r="BC59" s="43">
        <f>BA59*BB59</f>
        <v>59</v>
      </c>
      <c r="BD59" s="733">
        <f>BC59/$BC$76</f>
        <v>1.7623318890988438E-3</v>
      </c>
      <c r="BE59" s="38" t="s">
        <v>375</v>
      </c>
      <c r="BF59" s="39" t="s">
        <v>353</v>
      </c>
      <c r="BG59" s="41"/>
      <c r="BH59" s="360">
        <f>BG46*BH46</f>
        <v>2</v>
      </c>
      <c r="BI59" s="42">
        <f>'Variante données'!$C$36</f>
        <v>29.5</v>
      </c>
      <c r="BJ59" s="43">
        <f>BH59*BI59</f>
        <v>59</v>
      </c>
      <c r="BK59" s="733">
        <f>BJ59/$BJ$76</f>
        <v>1.7686608885063133E-3</v>
      </c>
      <c r="BL59" s="38" t="s">
        <v>375</v>
      </c>
      <c r="BM59" s="39" t="s">
        <v>353</v>
      </c>
      <c r="BN59" s="41"/>
      <c r="BO59" s="360">
        <f>BN46*BO46</f>
        <v>2</v>
      </c>
      <c r="BP59" s="42">
        <f>'Variante données'!$C$36</f>
        <v>29.5</v>
      </c>
      <c r="BQ59" s="43">
        <f>BO59*BP59</f>
        <v>59</v>
      </c>
      <c r="BR59" s="733">
        <f>BQ59/$BQ$76</f>
        <v>1.7751314791148291E-3</v>
      </c>
      <c r="BS59" s="38" t="s">
        <v>375</v>
      </c>
      <c r="BT59" s="39" t="s">
        <v>353</v>
      </c>
      <c r="BU59" s="41"/>
      <c r="BV59" s="360">
        <f>BU46*BV46</f>
        <v>2</v>
      </c>
      <c r="BW59" s="42">
        <f>'Variante données'!$C$36</f>
        <v>29.5</v>
      </c>
      <c r="BX59" s="43">
        <f>BV59*BW59</f>
        <v>59</v>
      </c>
      <c r="BY59" s="733">
        <f>BX59/$BX$76</f>
        <v>1.7805318394614915E-3</v>
      </c>
      <c r="BZ59" s="38" t="s">
        <v>375</v>
      </c>
      <c r="CA59" s="39" t="s">
        <v>353</v>
      </c>
      <c r="CB59" s="41"/>
      <c r="CC59" s="360">
        <f>CB46*CC46</f>
        <v>2</v>
      </c>
      <c r="CD59" s="42">
        <f>'Variante données'!$C$36</f>
        <v>29.5</v>
      </c>
      <c r="CE59" s="43">
        <f>CC59*CD59</f>
        <v>59</v>
      </c>
      <c r="CF59" s="733">
        <f>CE59/$CE$76</f>
        <v>1.7860469105883924E-3</v>
      </c>
      <c r="CG59" s="38" t="s">
        <v>375</v>
      </c>
      <c r="CH59" s="39" t="s">
        <v>353</v>
      </c>
      <c r="CI59" s="41"/>
      <c r="CJ59" s="360">
        <f>CI46*CJ46</f>
        <v>2</v>
      </c>
      <c r="CK59" s="42">
        <f>'Variante données'!$C$36</f>
        <v>29.5</v>
      </c>
      <c r="CL59" s="43">
        <f>CJ59*CK59</f>
        <v>59</v>
      </c>
      <c r="CM59" s="733">
        <f>CL59/$CL$76</f>
        <v>1.7916797556102391E-3</v>
      </c>
      <c r="CN59" s="38" t="s">
        <v>375</v>
      </c>
      <c r="CO59" s="39" t="s">
        <v>353</v>
      </c>
      <c r="CP59" s="41"/>
      <c r="CQ59" s="360">
        <f>CP46*CQ46</f>
        <v>2</v>
      </c>
      <c r="CR59" s="42">
        <f>'Variante données'!$C$36</f>
        <v>29.5</v>
      </c>
      <c r="CS59" s="43">
        <f>CQ59*CR59</f>
        <v>59</v>
      </c>
      <c r="CT59" s="733">
        <f>CS59/$CS$76</f>
        <v>1.7961961629682349E-3</v>
      </c>
      <c r="CU59" s="38" t="s">
        <v>375</v>
      </c>
      <c r="CV59" s="39" t="s">
        <v>353</v>
      </c>
      <c r="CW59" s="41"/>
      <c r="CX59" s="360">
        <f>CW46*CX46</f>
        <v>2</v>
      </c>
      <c r="CY59" s="42">
        <f>'Variante données'!$C$36</f>
        <v>29.5</v>
      </c>
      <c r="CZ59" s="43">
        <f>CX59*CY59</f>
        <v>59</v>
      </c>
      <c r="DA59" s="733">
        <f>CZ59/$CZ$76</f>
        <v>1.5026812769632243E-3</v>
      </c>
    </row>
    <row r="60" spans="1:105" s="1" customFormat="1" ht="13" x14ac:dyDescent="0.3">
      <c r="A60" s="245"/>
      <c r="B60" s="39" t="s">
        <v>453</v>
      </c>
      <c r="C60" s="18"/>
      <c r="D60" s="37">
        <f>((C44*D44)+(C45*D45))+'Variante données'!$B$93+'Variante données'!$C$93</f>
        <v>23</v>
      </c>
      <c r="E60" s="42">
        <f>'Variante données'!$C$36</f>
        <v>29.5</v>
      </c>
      <c r="F60" s="43">
        <f>D60*E60</f>
        <v>678.5</v>
      </c>
      <c r="G60" s="733">
        <f t="shared" si="14"/>
        <v>5.7886120788372429E-2</v>
      </c>
      <c r="H60" s="245"/>
      <c r="I60" s="39" t="s">
        <v>453</v>
      </c>
      <c r="J60" s="18"/>
      <c r="K60" s="37">
        <f>((J44*K44)+(J45*K45))+'Variante données'!$B$93+'Variante données'!$C$93</f>
        <v>23</v>
      </c>
      <c r="L60" s="42">
        <f>'Variante données'!$C$36</f>
        <v>29.5</v>
      </c>
      <c r="M60" s="43">
        <f>K60*L60</f>
        <v>678.5</v>
      </c>
      <c r="N60" s="733">
        <f>M60/$M$76</f>
        <v>4.8792512019033521E-2</v>
      </c>
      <c r="O60" s="245"/>
      <c r="P60" s="39" t="s">
        <v>453</v>
      </c>
      <c r="Q60" s="18"/>
      <c r="R60" s="37">
        <f>((Q44*R44)+(Q45*R45))+'Variante données'!$B$93+'Variante données'!$C$93</f>
        <v>43</v>
      </c>
      <c r="S60" s="42">
        <f>'Variante données'!$C$36</f>
        <v>29.5</v>
      </c>
      <c r="T60" s="43">
        <f>R60*S60</f>
        <v>1268.5</v>
      </c>
      <c r="U60" s="733">
        <f>T60/$T$76</f>
        <v>4.83492484555458E-2</v>
      </c>
      <c r="V60" s="245"/>
      <c r="W60" s="39" t="s">
        <v>453</v>
      </c>
      <c r="X60" s="18"/>
      <c r="Y60" s="37">
        <f>((X44*Y44)+(X45*Y45))+'Variante données'!$B$93+'Variante données'!$C$93</f>
        <v>43</v>
      </c>
      <c r="Z60" s="42">
        <f>'Variante données'!$C$36</f>
        <v>29.5</v>
      </c>
      <c r="AA60" s="43">
        <f>Y60*Z60</f>
        <v>1268.5</v>
      </c>
      <c r="AB60" s="733">
        <f>AA60/$AA$76</f>
        <v>4.4471650272481039E-2</v>
      </c>
      <c r="AC60" s="245"/>
      <c r="AD60" s="39" t="s">
        <v>453</v>
      </c>
      <c r="AE60" s="18"/>
      <c r="AF60" s="37">
        <f>((AE44*AF44)+(AE45*AF45))+'Variante données'!$B$93+'Variante données'!$C$93</f>
        <v>43</v>
      </c>
      <c r="AG60" s="42">
        <f>'Variante données'!$C$36</f>
        <v>29.5</v>
      </c>
      <c r="AH60" s="43">
        <f>AF60*AG60</f>
        <v>1268.5</v>
      </c>
      <c r="AI60" s="733">
        <f>AH60/$AH$76</f>
        <v>4.0701800195010622E-2</v>
      </c>
      <c r="AJ60" s="245"/>
      <c r="AK60" s="39" t="s">
        <v>453</v>
      </c>
      <c r="AL60" s="18"/>
      <c r="AM60" s="37">
        <f>((AL44*AM44)+(AL45*AM45))+'Variante données'!$B$93+'Variante données'!$C$93</f>
        <v>43</v>
      </c>
      <c r="AN60" s="42">
        <f>'Variante données'!$C$36</f>
        <v>29.5</v>
      </c>
      <c r="AO60" s="43">
        <f>AM60*AN60</f>
        <v>1268.5</v>
      </c>
      <c r="AP60" s="733">
        <f>AO60/$AO$76</f>
        <v>3.7626787274508182E-2</v>
      </c>
      <c r="AQ60" s="245"/>
      <c r="AR60" s="39" t="s">
        <v>453</v>
      </c>
      <c r="AS60" s="18"/>
      <c r="AT60" s="37">
        <f>((AS44*AT44)+(AS45*AT45))+'Variante données'!$B$93+'Variante données'!$C$93</f>
        <v>43</v>
      </c>
      <c r="AU60" s="42">
        <f>'Variante données'!$C$36</f>
        <v>29.5</v>
      </c>
      <c r="AV60" s="43">
        <f>AT60*AU60</f>
        <v>1268.5</v>
      </c>
      <c r="AW60" s="733">
        <f>AV60/$AV$76</f>
        <v>3.7757022093533973E-2</v>
      </c>
      <c r="AX60" s="245"/>
      <c r="AY60" s="39" t="s">
        <v>453</v>
      </c>
      <c r="AZ60" s="18"/>
      <c r="BA60" s="37">
        <f>((AZ44*BA44)+(AZ45*BA45))+'Variante données'!$B$93+'Variante données'!$C$93</f>
        <v>43</v>
      </c>
      <c r="BB60" s="42">
        <f>'Variante données'!$C$36</f>
        <v>29.5</v>
      </c>
      <c r="BC60" s="43">
        <f>BA60*BB60</f>
        <v>1268.5</v>
      </c>
      <c r="BD60" s="733">
        <f>BC60/$BC$76</f>
        <v>3.789013561562514E-2</v>
      </c>
      <c r="BE60" s="245"/>
      <c r="BF60" s="39" t="s">
        <v>453</v>
      </c>
      <c r="BG60" s="18"/>
      <c r="BH60" s="37">
        <f>((BG44*BH44)+(BG45*BH45))+'Variante données'!$B$93+'Variante données'!$C$93</f>
        <v>43</v>
      </c>
      <c r="BI60" s="42">
        <f>'Variante données'!$C$36</f>
        <v>29.5</v>
      </c>
      <c r="BJ60" s="43">
        <f>BH60*BI60</f>
        <v>1268.5</v>
      </c>
      <c r="BK60" s="733">
        <f>BJ60/$BJ$76</f>
        <v>3.8026209102885733E-2</v>
      </c>
      <c r="BL60" s="245"/>
      <c r="BM60" s="39" t="s">
        <v>453</v>
      </c>
      <c r="BN60" s="18"/>
      <c r="BO60" s="37">
        <f>((BN44*BO44)+(BN45*BO45))+'Variante données'!$B$93+'Variante données'!$C$93</f>
        <v>43</v>
      </c>
      <c r="BP60" s="42">
        <f>'Variante données'!$C$36</f>
        <v>29.5</v>
      </c>
      <c r="BQ60" s="43">
        <f>BO60*BP60</f>
        <v>1268.5</v>
      </c>
      <c r="BR60" s="733">
        <f>BQ60/$BQ$76</f>
        <v>3.8165326800968825E-2</v>
      </c>
      <c r="BS60" s="245"/>
      <c r="BT60" s="39" t="s">
        <v>453</v>
      </c>
      <c r="BU60" s="18"/>
      <c r="BV60" s="37">
        <f>((BU44*BV44)+(BU45*BV45))+'Variante données'!$B$93+'Variante données'!$C$93</f>
        <v>43</v>
      </c>
      <c r="BW60" s="42">
        <f>'Variante données'!$C$36</f>
        <v>29.5</v>
      </c>
      <c r="BX60" s="43">
        <f>BV60*BW60</f>
        <v>1268.5</v>
      </c>
      <c r="BY60" s="733">
        <f>BX60/$BX$76</f>
        <v>3.8281434548422068E-2</v>
      </c>
      <c r="BZ60" s="245"/>
      <c r="CA60" s="39" t="s">
        <v>453</v>
      </c>
      <c r="CB60" s="18"/>
      <c r="CC60" s="37">
        <f>((CB44*CC44)+(CB45*CC45))+'Variante données'!$B$93+'Variante données'!$C$93</f>
        <v>43</v>
      </c>
      <c r="CD60" s="42">
        <f>'Variante données'!$C$36</f>
        <v>29.5</v>
      </c>
      <c r="CE60" s="43">
        <f>CC60*CD60</f>
        <v>1268.5</v>
      </c>
      <c r="CF60" s="733">
        <f>CE60/$CE$76</f>
        <v>3.8400008577650434E-2</v>
      </c>
      <c r="CG60" s="245"/>
      <c r="CH60" s="39" t="s">
        <v>453</v>
      </c>
      <c r="CI60" s="18"/>
      <c r="CJ60" s="37">
        <f>((CI44*CJ44)+(CI45*CJ45))+'Variante données'!$B$93+'Variante données'!$C$93</f>
        <v>43</v>
      </c>
      <c r="CK60" s="42">
        <f>'Variante données'!$C$36</f>
        <v>29.5</v>
      </c>
      <c r="CL60" s="43">
        <f>CJ60*CK60</f>
        <v>1268.5</v>
      </c>
      <c r="CM60" s="733">
        <f>CL60/$CL$76</f>
        <v>3.8521114745620137E-2</v>
      </c>
      <c r="CN60" s="245"/>
      <c r="CO60" s="39" t="s">
        <v>453</v>
      </c>
      <c r="CP60" s="18"/>
      <c r="CQ60" s="37">
        <f>((CP44*CQ44)+(CP45*CQ45))+'Variante données'!$B$93+'Variante données'!$C$93</f>
        <v>43</v>
      </c>
      <c r="CR60" s="42">
        <f>'Variante données'!$C$36</f>
        <v>29.5</v>
      </c>
      <c r="CS60" s="43">
        <f>CQ60*CR60</f>
        <v>1268.5</v>
      </c>
      <c r="CT60" s="733">
        <f>CS60/$CS$76</f>
        <v>3.8618217503817047E-2</v>
      </c>
      <c r="CU60" s="245"/>
      <c r="CV60" s="39" t="s">
        <v>453</v>
      </c>
      <c r="CW60" s="18"/>
      <c r="CX60" s="37">
        <f>((CW44*CX44)+(CW45*CX45))+'Variante données'!$B$93+'Variante données'!$C$93</f>
        <v>43</v>
      </c>
      <c r="CY60" s="42">
        <f>'Variante données'!$C$36</f>
        <v>29.5</v>
      </c>
      <c r="CZ60" s="43">
        <f>CX60*CY60</f>
        <v>1268.5</v>
      </c>
      <c r="DA60" s="733">
        <f>CZ60/$CZ$76</f>
        <v>3.2307647454709328E-2</v>
      </c>
    </row>
    <row r="61" spans="1:105" s="1" customFormat="1" ht="13" x14ac:dyDescent="0.3">
      <c r="A61" s="245"/>
      <c r="B61" s="39" t="str">
        <f>'Variante données'!$D$90</f>
        <v>Taille 
(été + hiver)</v>
      </c>
      <c r="C61" s="41"/>
      <c r="D61" s="37">
        <f>'Variante données'!D94</f>
        <v>100</v>
      </c>
      <c r="E61" s="42">
        <f>'Variante données'!$C$36</f>
        <v>29.5</v>
      </c>
      <c r="F61" s="43">
        <f>D61*E61</f>
        <v>2950</v>
      </c>
      <c r="G61" s="733">
        <f t="shared" si="14"/>
        <v>0.25167878603640187</v>
      </c>
      <c r="H61" s="245"/>
      <c r="I61" s="39" t="str">
        <f>'Variante données'!$D$90</f>
        <v>Taille 
(été + hiver)</v>
      </c>
      <c r="J61" s="41"/>
      <c r="K61" s="37">
        <f>'Variante données'!D95</f>
        <v>100</v>
      </c>
      <c r="L61" s="42">
        <f>'Variante données'!$C$36</f>
        <v>29.5</v>
      </c>
      <c r="M61" s="43">
        <f>K61*L61</f>
        <v>2950</v>
      </c>
      <c r="N61" s="733">
        <f>M61/$M$76</f>
        <v>0.21214135660449357</v>
      </c>
      <c r="O61" s="245"/>
      <c r="P61" s="39" t="str">
        <f>'Variante données'!$D$90</f>
        <v>Taille 
(été + hiver)</v>
      </c>
      <c r="Q61" s="41"/>
      <c r="R61" s="37">
        <f>'Variante données'!D93</f>
        <v>100</v>
      </c>
      <c r="S61" s="42">
        <f>'Variante données'!$C$36</f>
        <v>29.5</v>
      </c>
      <c r="T61" s="43">
        <f>R61*S61</f>
        <v>2950</v>
      </c>
      <c r="U61" s="733">
        <f>T61/$T$76</f>
        <v>0.11244011268731582</v>
      </c>
      <c r="V61" s="245"/>
      <c r="W61" s="39" t="str">
        <f>'Variante données'!$D$90</f>
        <v>Taille 
(été + hiver)</v>
      </c>
      <c r="X61" s="41"/>
      <c r="Y61" s="37">
        <f>'Variante données'!$D$93</f>
        <v>100</v>
      </c>
      <c r="Z61" s="42">
        <f>'Variante données'!$C$36</f>
        <v>29.5</v>
      </c>
      <c r="AA61" s="43">
        <f>Y61*Z61</f>
        <v>2950</v>
      </c>
      <c r="AB61" s="733">
        <f>AA61/$AA$76</f>
        <v>0.10342244249414195</v>
      </c>
      <c r="AC61" s="245"/>
      <c r="AD61" s="39" t="str">
        <f>'Variante données'!$D$90</f>
        <v>Taille 
(été + hiver)</v>
      </c>
      <c r="AE61" s="41"/>
      <c r="AF61" s="37">
        <f>'Variante données'!$D$93</f>
        <v>100</v>
      </c>
      <c r="AG61" s="42">
        <f>'Variante données'!$C$36</f>
        <v>29.5</v>
      </c>
      <c r="AH61" s="43">
        <f>AF61*AG61</f>
        <v>2950</v>
      </c>
      <c r="AI61" s="733">
        <f>AH61/$AH$76</f>
        <v>9.4655349290722376E-2</v>
      </c>
      <c r="AJ61" s="245"/>
      <c r="AK61" s="39" t="str">
        <f>'Variante données'!$D$90</f>
        <v>Taille 
(été + hiver)</v>
      </c>
      <c r="AL61" s="41"/>
      <c r="AM61" s="37">
        <f>'Variante données'!$D$93</f>
        <v>100</v>
      </c>
      <c r="AN61" s="42">
        <f>'Variante données'!$C$36</f>
        <v>29.5</v>
      </c>
      <c r="AO61" s="43">
        <f>AM61*AN61</f>
        <v>2950</v>
      </c>
      <c r="AP61" s="733">
        <f>AO61/$AO$76</f>
        <v>8.7504156452344606E-2</v>
      </c>
      <c r="AQ61" s="245"/>
      <c r="AR61" s="39" t="str">
        <f>'Variante données'!$D$90</f>
        <v>Taille 
(été + hiver)</v>
      </c>
      <c r="AS61" s="41"/>
      <c r="AT61" s="37">
        <f>'Variante données'!$D$93</f>
        <v>100</v>
      </c>
      <c r="AU61" s="42">
        <f>'Variante données'!$C$36</f>
        <v>29.5</v>
      </c>
      <c r="AV61" s="43">
        <f>AT61*AU61</f>
        <v>2950</v>
      </c>
      <c r="AW61" s="733">
        <f>AV61/$AV$76</f>
        <v>8.7807028124497616E-2</v>
      </c>
      <c r="AX61" s="245"/>
      <c r="AY61" s="39" t="str">
        <f>'Variante données'!$D$90</f>
        <v>Taille 
(été + hiver)</v>
      </c>
      <c r="AZ61" s="41"/>
      <c r="BA61" s="37">
        <f>'Variante données'!$D$93</f>
        <v>100</v>
      </c>
      <c r="BB61" s="42">
        <f>'Variante données'!$C$36</f>
        <v>29.5</v>
      </c>
      <c r="BC61" s="43">
        <f>BA61*BB61</f>
        <v>2950</v>
      </c>
      <c r="BD61" s="733">
        <f>BC61/$BC$76</f>
        <v>8.8116594454942188E-2</v>
      </c>
      <c r="BE61" s="245"/>
      <c r="BF61" s="39" t="str">
        <f>'Variante données'!$D$90</f>
        <v>Taille 
(été + hiver)</v>
      </c>
      <c r="BG61" s="41"/>
      <c r="BH61" s="37">
        <f>'Variante données'!$D$93</f>
        <v>100</v>
      </c>
      <c r="BI61" s="42">
        <f>'Variante données'!$C$36</f>
        <v>29.5</v>
      </c>
      <c r="BJ61" s="43">
        <f>BH61*BI61</f>
        <v>2950</v>
      </c>
      <c r="BK61" s="733">
        <f>BJ61/$BJ$76</f>
        <v>8.843304442531566E-2</v>
      </c>
      <c r="BL61" s="245"/>
      <c r="BM61" s="39" t="str">
        <f>'Variante données'!$D$90</f>
        <v>Taille 
(été + hiver)</v>
      </c>
      <c r="BN61" s="41"/>
      <c r="BO61" s="37">
        <f>'Variante données'!$D$93</f>
        <v>100</v>
      </c>
      <c r="BP61" s="42">
        <f>'Variante données'!$C$36</f>
        <v>29.5</v>
      </c>
      <c r="BQ61" s="43">
        <f>BO61*BP61</f>
        <v>2950</v>
      </c>
      <c r="BR61" s="733">
        <f>BQ61/$BQ$76</f>
        <v>8.875657395574145E-2</v>
      </c>
      <c r="BS61" s="245"/>
      <c r="BT61" s="39" t="str">
        <f>'Variante données'!$D$90</f>
        <v>Taille 
(été + hiver)</v>
      </c>
      <c r="BU61" s="41"/>
      <c r="BV61" s="37">
        <f>'Variante données'!$D$93</f>
        <v>100</v>
      </c>
      <c r="BW61" s="42">
        <f>'Variante données'!$C$36</f>
        <v>29.5</v>
      </c>
      <c r="BX61" s="43">
        <f>BV61*BW61</f>
        <v>2950</v>
      </c>
      <c r="BY61" s="733">
        <f>BX61/$BX$76</f>
        <v>8.9026591973074581E-2</v>
      </c>
      <c r="BZ61" s="245"/>
      <c r="CA61" s="39" t="str">
        <f>'Variante données'!$D$90</f>
        <v>Taille 
(été + hiver)</v>
      </c>
      <c r="CB61" s="41"/>
      <c r="CC61" s="37">
        <f>'Variante données'!$D$93</f>
        <v>100</v>
      </c>
      <c r="CD61" s="42">
        <f>'Variante données'!$C$36</f>
        <v>29.5</v>
      </c>
      <c r="CE61" s="43">
        <f>CC61*CD61</f>
        <v>2950</v>
      </c>
      <c r="CF61" s="733">
        <f>CE61/$CE$76</f>
        <v>8.9302345529419611E-2</v>
      </c>
      <c r="CG61" s="245"/>
      <c r="CH61" s="39" t="str">
        <f>'Variante données'!$D$90</f>
        <v>Taille 
(été + hiver)</v>
      </c>
      <c r="CI61" s="41"/>
      <c r="CJ61" s="37">
        <f>'Variante données'!$D$93</f>
        <v>100</v>
      </c>
      <c r="CK61" s="42">
        <f>'Variante données'!$C$36</f>
        <v>29.5</v>
      </c>
      <c r="CL61" s="43">
        <f>CJ61*CK61</f>
        <v>2950</v>
      </c>
      <c r="CM61" s="733">
        <f>CL61/$CL$76</f>
        <v>8.9583987780511951E-2</v>
      </c>
      <c r="CN61" s="245"/>
      <c r="CO61" s="39" t="str">
        <f>'Variante données'!$D$90</f>
        <v>Taille 
(été + hiver)</v>
      </c>
      <c r="CP61" s="41"/>
      <c r="CQ61" s="37">
        <f>'Variante données'!$D$93</f>
        <v>100</v>
      </c>
      <c r="CR61" s="42">
        <f>'Variante données'!$C$36</f>
        <v>29.5</v>
      </c>
      <c r="CS61" s="43">
        <f>CQ61*CR61</f>
        <v>2950</v>
      </c>
      <c r="CT61" s="733">
        <f>CS61/$CS$76</f>
        <v>8.9809808148411746E-2</v>
      </c>
      <c r="CU61" s="245"/>
      <c r="CV61" s="39" t="str">
        <f>'Variante données'!$D$90</f>
        <v>Taille 
(été + hiver)</v>
      </c>
      <c r="CW61" s="41"/>
      <c r="CX61" s="37">
        <f>'Variante données'!$D$93</f>
        <v>100</v>
      </c>
      <c r="CY61" s="42">
        <f>'Variante données'!$C$36</f>
        <v>29.5</v>
      </c>
      <c r="CZ61" s="43">
        <f>CX61*CY61</f>
        <v>2950</v>
      </c>
      <c r="DA61" s="733">
        <f>CZ61/$CZ$76</f>
        <v>7.5134063848161223E-2</v>
      </c>
    </row>
    <row r="62" spans="1:105" s="1" customFormat="1" ht="13" x14ac:dyDescent="0.3">
      <c r="A62" s="38"/>
      <c r="B62" s="39" t="s">
        <v>390</v>
      </c>
      <c r="C62" s="41"/>
      <c r="D62" s="360">
        <f>(C50*D50)+(C51*D51)</f>
        <v>7</v>
      </c>
      <c r="E62" s="42">
        <f>'Variante données'!$C$36</f>
        <v>29.5</v>
      </c>
      <c r="F62" s="43">
        <f>D62*E62</f>
        <v>206.5</v>
      </c>
      <c r="G62" s="733">
        <f t="shared" si="14"/>
        <v>1.761751502254813E-2</v>
      </c>
      <c r="H62" s="38"/>
      <c r="I62" s="39" t="s">
        <v>390</v>
      </c>
      <c r="J62" s="41"/>
      <c r="K62" s="360">
        <f>(J50*K50)+(J51*K51)</f>
        <v>7</v>
      </c>
      <c r="L62" s="42">
        <f>'Variante données'!$C$36</f>
        <v>29.5</v>
      </c>
      <c r="M62" s="43">
        <f>K62*L62</f>
        <v>206.5</v>
      </c>
      <c r="N62" s="733">
        <f>M62/$M$76</f>
        <v>1.484989496231455E-2</v>
      </c>
      <c r="O62" s="38"/>
      <c r="P62" s="39" t="s">
        <v>390</v>
      </c>
      <c r="Q62" s="41"/>
      <c r="R62" s="360">
        <f>(Q50*R50)+(Q51*R51)</f>
        <v>7</v>
      </c>
      <c r="S62" s="42">
        <f>'Variante données'!$C$36</f>
        <v>29.5</v>
      </c>
      <c r="T62" s="43">
        <f>R62*S62</f>
        <v>206.5</v>
      </c>
      <c r="U62" s="733">
        <f>T62/$T$76</f>
        <v>7.8708078881121069E-3</v>
      </c>
      <c r="V62" s="38"/>
      <c r="W62" s="39" t="s">
        <v>390</v>
      </c>
      <c r="X62" s="41"/>
      <c r="Y62" s="360">
        <f>(X50*Y50)+(X51*Y51)</f>
        <v>9</v>
      </c>
      <c r="Z62" s="42">
        <f>'Variante données'!$C$36</f>
        <v>29.5</v>
      </c>
      <c r="AA62" s="43">
        <f>Y62*Z62</f>
        <v>265.5</v>
      </c>
      <c r="AB62" s="733">
        <f>AA62/$AA$76</f>
        <v>9.3080198244727755E-3</v>
      </c>
      <c r="AC62" s="38"/>
      <c r="AD62" s="39" t="s">
        <v>390</v>
      </c>
      <c r="AE62" s="41"/>
      <c r="AF62" s="360">
        <f>(AE50*AF50)+(AE51*AF51)</f>
        <v>9</v>
      </c>
      <c r="AG62" s="42">
        <f>'Variante données'!$C$36</f>
        <v>29.5</v>
      </c>
      <c r="AH62" s="43">
        <f>AF62*AG62</f>
        <v>265.5</v>
      </c>
      <c r="AI62" s="733">
        <f>AH62/$AH$76</f>
        <v>8.518981436165014E-3</v>
      </c>
      <c r="AJ62" s="38"/>
      <c r="AK62" s="39" t="s">
        <v>390</v>
      </c>
      <c r="AL62" s="41"/>
      <c r="AM62" s="360">
        <f>(AL50*AM50)+(AL51*AM51)</f>
        <v>9</v>
      </c>
      <c r="AN62" s="42">
        <f>'Variante données'!$C$36</f>
        <v>29.5</v>
      </c>
      <c r="AO62" s="43">
        <f>AM62*AN62</f>
        <v>265.5</v>
      </c>
      <c r="AP62" s="733">
        <f>AO62/$AO$76</f>
        <v>7.8753740807110152E-3</v>
      </c>
      <c r="AQ62" s="38"/>
      <c r="AR62" s="39" t="s">
        <v>390</v>
      </c>
      <c r="AS62" s="41"/>
      <c r="AT62" s="360">
        <f>(AS50*AT50)+(AS51*AT51)</f>
        <v>9</v>
      </c>
      <c r="AU62" s="42">
        <f>'Variante données'!$C$36</f>
        <v>29.5</v>
      </c>
      <c r="AV62" s="43">
        <f>AT62*AU62</f>
        <v>265.5</v>
      </c>
      <c r="AW62" s="733">
        <f>AV62/$AV$76</f>
        <v>7.9026325312047847E-3</v>
      </c>
      <c r="AX62" s="38"/>
      <c r="AY62" s="39" t="s">
        <v>390</v>
      </c>
      <c r="AZ62" s="41"/>
      <c r="BA62" s="360">
        <f>(AZ50*BA50)+(AZ51*BA51)</f>
        <v>9</v>
      </c>
      <c r="BB62" s="42">
        <f>'Variante données'!$C$36</f>
        <v>29.5</v>
      </c>
      <c r="BC62" s="43">
        <f>BA62*BB62</f>
        <v>265.5</v>
      </c>
      <c r="BD62" s="733">
        <f>BC62/$BC$76</f>
        <v>7.9304935009447963E-3</v>
      </c>
      <c r="BE62" s="38"/>
      <c r="BF62" s="39" t="s">
        <v>390</v>
      </c>
      <c r="BG62" s="41"/>
      <c r="BH62" s="360">
        <f>(BG50*BH50)+(BG51*BH51)</f>
        <v>9</v>
      </c>
      <c r="BI62" s="42">
        <f>'Variante données'!$C$36</f>
        <v>29.5</v>
      </c>
      <c r="BJ62" s="43">
        <f>BH62*BI62</f>
        <v>265.5</v>
      </c>
      <c r="BK62" s="733">
        <f>BJ62/$BJ$76</f>
        <v>7.958973998278409E-3</v>
      </c>
      <c r="BL62" s="38"/>
      <c r="BM62" s="39" t="s">
        <v>390</v>
      </c>
      <c r="BN62" s="41"/>
      <c r="BO62" s="360">
        <f>(BN50*BO50)+(BN51*BO51)</f>
        <v>9</v>
      </c>
      <c r="BP62" s="42">
        <f>'Variante données'!$C$36</f>
        <v>29.5</v>
      </c>
      <c r="BQ62" s="43">
        <f>BO62*BP62</f>
        <v>265.5</v>
      </c>
      <c r="BR62" s="733">
        <f>BQ62/$BQ$76</f>
        <v>7.9880916560167298E-3</v>
      </c>
      <c r="BS62" s="38"/>
      <c r="BT62" s="39" t="s">
        <v>390</v>
      </c>
      <c r="BU62" s="41"/>
      <c r="BV62" s="360">
        <f>(BU50*BV50)+(BU51*BV51)</f>
        <v>9</v>
      </c>
      <c r="BW62" s="42">
        <f>'Variante données'!$C$36</f>
        <v>29.5</v>
      </c>
      <c r="BX62" s="43">
        <f>BV62*BW62</f>
        <v>265.5</v>
      </c>
      <c r="BY62" s="733">
        <f>BX62/$BX$76</f>
        <v>8.0123932775767112E-3</v>
      </c>
      <c r="BZ62" s="38"/>
      <c r="CA62" s="39" t="s">
        <v>390</v>
      </c>
      <c r="CB62" s="41"/>
      <c r="CC62" s="360">
        <f>(CB50*CC50)+(CB51*CC51)</f>
        <v>9</v>
      </c>
      <c r="CD62" s="42">
        <f>'Variante données'!$C$36</f>
        <v>29.5</v>
      </c>
      <c r="CE62" s="43">
        <f>CC62*CD62</f>
        <v>265.5</v>
      </c>
      <c r="CF62" s="733">
        <f>CE62/$CE$76</f>
        <v>8.0372110976477656E-3</v>
      </c>
      <c r="CG62" s="38"/>
      <c r="CH62" s="39" t="s">
        <v>390</v>
      </c>
      <c r="CI62" s="41"/>
      <c r="CJ62" s="360">
        <f>(CI50*CJ50)+(CI51*CJ51)</f>
        <v>9</v>
      </c>
      <c r="CK62" s="42">
        <f>'Variante données'!$C$36</f>
        <v>29.5</v>
      </c>
      <c r="CL62" s="43">
        <f>CJ62*CK62</f>
        <v>265.5</v>
      </c>
      <c r="CM62" s="733">
        <f>CL62/$CL$76</f>
        <v>8.0625589002460748E-3</v>
      </c>
      <c r="CN62" s="38"/>
      <c r="CO62" s="39" t="s">
        <v>390</v>
      </c>
      <c r="CP62" s="41"/>
      <c r="CQ62" s="360">
        <f>(CP50*CQ50)+(CP51*CQ51)</f>
        <v>9</v>
      </c>
      <c r="CR62" s="42">
        <f>'Variante données'!$C$36</f>
        <v>29.5</v>
      </c>
      <c r="CS62" s="43">
        <f>CQ62*CR62</f>
        <v>265.5</v>
      </c>
      <c r="CT62" s="733">
        <f>CS62/$CS$76</f>
        <v>8.0828827333570569E-3</v>
      </c>
      <c r="CU62" s="38"/>
      <c r="CV62" s="39" t="s">
        <v>390</v>
      </c>
      <c r="CW62" s="41"/>
      <c r="CX62" s="360">
        <f>(CW50*CX50)+(CW51*CX51)</f>
        <v>9</v>
      </c>
      <c r="CY62" s="42">
        <f>'Variante données'!$C$36</f>
        <v>29.5</v>
      </c>
      <c r="CZ62" s="43">
        <f>CX62*CY62</f>
        <v>265.5</v>
      </c>
      <c r="DA62" s="733">
        <f>CZ62/$CZ$76</f>
        <v>6.7620657463345101E-3</v>
      </c>
    </row>
    <row r="63" spans="1:105" s="1" customFormat="1" ht="13" x14ac:dyDescent="0.3">
      <c r="A63" s="38"/>
      <c r="B63" s="315" t="str">
        <f>'Variante données'!E90</f>
        <v>Régulation de la charge (manuelle)</v>
      </c>
      <c r="C63" s="18"/>
      <c r="D63" s="37">
        <f>'Variante données'!E94</f>
        <v>0</v>
      </c>
      <c r="E63" s="42">
        <f>'Variante données'!$C$35</f>
        <v>25.25</v>
      </c>
      <c r="F63" s="43">
        <f>D63*E63</f>
        <v>0</v>
      </c>
      <c r="G63" s="733">
        <f t="shared" si="14"/>
        <v>0</v>
      </c>
      <c r="H63" s="38"/>
      <c r="I63" s="315" t="str">
        <f>'Variante données'!$E$90</f>
        <v>Régulation de la charge (manuelle)</v>
      </c>
      <c r="J63" s="18"/>
      <c r="K63" s="37">
        <f>'Variante données'!E95</f>
        <v>20</v>
      </c>
      <c r="L63" s="42">
        <f>'Variante données'!$C$35</f>
        <v>25.25</v>
      </c>
      <c r="M63" s="43">
        <f>K63*L63</f>
        <v>505</v>
      </c>
      <c r="N63" s="733">
        <f>M63/$M$76</f>
        <v>3.6315723757718389E-2</v>
      </c>
      <c r="O63" s="38"/>
      <c r="P63" s="315" t="str">
        <f>'Variante données'!$E$90</f>
        <v>Régulation de la charge (manuelle)</v>
      </c>
      <c r="Q63" s="18"/>
      <c r="R63" s="37">
        <f>'Variante données'!$E$93</f>
        <v>70</v>
      </c>
      <c r="S63" s="42">
        <f>'Variante données'!$C$35</f>
        <v>25.25</v>
      </c>
      <c r="T63" s="43">
        <f>R63*S63</f>
        <v>1767.5</v>
      </c>
      <c r="U63" s="733">
        <f>T63/$T$76</f>
        <v>6.7368779381298552E-2</v>
      </c>
      <c r="V63" s="38"/>
      <c r="W63" s="315" t="str">
        <f>'Variante données'!$E$90</f>
        <v>Régulation de la charge (manuelle)</v>
      </c>
      <c r="X63" s="18"/>
      <c r="Y63" s="37">
        <f>'Variante données'!$E$93</f>
        <v>70</v>
      </c>
      <c r="Z63" s="42">
        <f>'Variante données'!$C$35</f>
        <v>25.25</v>
      </c>
      <c r="AA63" s="43">
        <f>Y63*Z63</f>
        <v>1767.5</v>
      </c>
      <c r="AB63" s="733">
        <f>AA63/$AA$76</f>
        <v>6.1965819358778276E-2</v>
      </c>
      <c r="AC63" s="38"/>
      <c r="AD63" s="315" t="str">
        <f>'Variante données'!$E$90</f>
        <v>Régulation de la charge (manuelle)</v>
      </c>
      <c r="AE63" s="18"/>
      <c r="AF63" s="37">
        <f>'Variante données'!$E$93</f>
        <v>70</v>
      </c>
      <c r="AG63" s="42">
        <f>'Variante données'!$C$35</f>
        <v>25.25</v>
      </c>
      <c r="AH63" s="43">
        <f>AF63*AG63</f>
        <v>1767.5</v>
      </c>
      <c r="AI63" s="733">
        <f>AH63/$AH$76</f>
        <v>5.6712993176729419E-2</v>
      </c>
      <c r="AJ63" s="38"/>
      <c r="AK63" s="315" t="str">
        <f>'Variante données'!$E$90</f>
        <v>Régulation de la charge (manuelle)</v>
      </c>
      <c r="AL63" s="18"/>
      <c r="AM63" s="37">
        <f>'Variante données'!$E$93</f>
        <v>70</v>
      </c>
      <c r="AN63" s="42">
        <f>'Variante données'!$C$35</f>
        <v>25.25</v>
      </c>
      <c r="AO63" s="43">
        <f>AM63*AN63</f>
        <v>1767.5</v>
      </c>
      <c r="AP63" s="733">
        <f>AO63/$AO$76</f>
        <v>5.242833780661664E-2</v>
      </c>
      <c r="AQ63" s="38"/>
      <c r="AR63" s="315" t="str">
        <f>'Variante données'!$E$90</f>
        <v>Régulation de la charge (manuelle)</v>
      </c>
      <c r="AS63" s="18"/>
      <c r="AT63" s="37">
        <f>'Variante données'!$E$93</f>
        <v>70</v>
      </c>
      <c r="AU63" s="42">
        <f>'Variante données'!$C$35</f>
        <v>25.25</v>
      </c>
      <c r="AV63" s="43">
        <f>AT63*AU63</f>
        <v>1767.5</v>
      </c>
      <c r="AW63" s="733">
        <f>AV63/$AV$76</f>
        <v>5.2609804138999842E-2</v>
      </c>
      <c r="AX63" s="38"/>
      <c r="AY63" s="315" t="str">
        <f>'Variante données'!$E$90</f>
        <v>Régulation de la charge (manuelle)</v>
      </c>
      <c r="AZ63" s="18"/>
      <c r="BA63" s="37">
        <f>'Variante données'!$E$93</f>
        <v>70</v>
      </c>
      <c r="BB63" s="42">
        <f>'Variante données'!$C$35</f>
        <v>25.25</v>
      </c>
      <c r="BC63" s="43">
        <f>BA63*BB63</f>
        <v>1767.5</v>
      </c>
      <c r="BD63" s="733">
        <f>BC63/$BC$76</f>
        <v>5.2795281592918755E-2</v>
      </c>
      <c r="BE63" s="38"/>
      <c r="BF63" s="315" t="str">
        <f>'Variante données'!$E$90</f>
        <v>Régulation de la charge (manuelle)</v>
      </c>
      <c r="BG63" s="18"/>
      <c r="BH63" s="37">
        <f>'Variante données'!$E$93</f>
        <v>70</v>
      </c>
      <c r="BI63" s="42">
        <f>'Variante données'!$C$35</f>
        <v>25.25</v>
      </c>
      <c r="BJ63" s="43">
        <f>BH63*BI63</f>
        <v>1767.5</v>
      </c>
      <c r="BK63" s="733">
        <f>BJ63/$BJ$76</f>
        <v>5.2984883397201844E-2</v>
      </c>
      <c r="BL63" s="38"/>
      <c r="BM63" s="315" t="str">
        <f>'Variante données'!$E$90</f>
        <v>Régulation de la charge (manuelle)</v>
      </c>
      <c r="BN63" s="18"/>
      <c r="BO63" s="37">
        <f>'Variante données'!$E$93</f>
        <v>70</v>
      </c>
      <c r="BP63" s="42">
        <f>'Variante données'!$C$35</f>
        <v>25.25</v>
      </c>
      <c r="BQ63" s="43">
        <f>BO63*BP63</f>
        <v>1767.5</v>
      </c>
      <c r="BR63" s="733">
        <f>BQ63/$BQ$76</f>
        <v>5.3178726937889158E-2</v>
      </c>
      <c r="BS63" s="38"/>
      <c r="BT63" s="315" t="str">
        <f>'Variante données'!$E$90</f>
        <v>Régulation de la charge (manuelle)</v>
      </c>
      <c r="BU63" s="18"/>
      <c r="BV63" s="37">
        <f>'Variante données'!$E$93</f>
        <v>70</v>
      </c>
      <c r="BW63" s="42">
        <f>'Variante données'!$C$35</f>
        <v>25.25</v>
      </c>
      <c r="BX63" s="43">
        <f>BV63*BW63</f>
        <v>1767.5</v>
      </c>
      <c r="BY63" s="733">
        <f>BX63/$BX$76</f>
        <v>5.3340508919460787E-2</v>
      </c>
      <c r="BZ63" s="38"/>
      <c r="CA63" s="315" t="str">
        <f>'Variante données'!$E$90</f>
        <v>Régulation de la charge (manuelle)</v>
      </c>
      <c r="CB63" s="18"/>
      <c r="CC63" s="37">
        <f>'Variante données'!$E$93</f>
        <v>70</v>
      </c>
      <c r="CD63" s="42">
        <f>'Variante données'!$C$35</f>
        <v>25.25</v>
      </c>
      <c r="CE63" s="43">
        <f>CC63*CD63</f>
        <v>1767.5</v>
      </c>
      <c r="CF63" s="733">
        <f>CE63/$CE$76</f>
        <v>5.3505727363813274E-2</v>
      </c>
      <c r="CG63" s="38"/>
      <c r="CH63" s="315" t="str">
        <f>'Variante données'!$E$90</f>
        <v>Régulation de la charge (manuelle)</v>
      </c>
      <c r="CI63" s="18"/>
      <c r="CJ63" s="37">
        <f>'Variante données'!$E$93</f>
        <v>70</v>
      </c>
      <c r="CK63" s="42">
        <f>'Variante données'!$C$35</f>
        <v>25.25</v>
      </c>
      <c r="CL63" s="43">
        <f>CJ63*CK63</f>
        <v>1767.5</v>
      </c>
      <c r="CM63" s="733">
        <f>CL63/$CL$76</f>
        <v>5.3674474034594875E-2</v>
      </c>
      <c r="CN63" s="38"/>
      <c r="CO63" s="315" t="str">
        <f>'Variante données'!$E$90</f>
        <v>Régulation de la charge (manuelle)</v>
      </c>
      <c r="CP63" s="18"/>
      <c r="CQ63" s="37">
        <f>'Variante données'!$E$93</f>
        <v>70</v>
      </c>
      <c r="CR63" s="42">
        <f>'Variante données'!$C$35</f>
        <v>25.25</v>
      </c>
      <c r="CS63" s="43">
        <f>CQ63*CR63</f>
        <v>1767.5</v>
      </c>
      <c r="CT63" s="733">
        <f>CS63/$CS$76</f>
        <v>5.3809774882141614E-2</v>
      </c>
      <c r="CU63" s="38"/>
      <c r="CV63" s="315" t="str">
        <f>'Variante données'!$E$90</f>
        <v>Régulation de la charge (manuelle)</v>
      </c>
      <c r="CW63" s="18"/>
      <c r="CX63" s="37">
        <f>'Variante données'!$E$93</f>
        <v>70</v>
      </c>
      <c r="CY63" s="42">
        <f>'Variante données'!$C$35</f>
        <v>25.25</v>
      </c>
      <c r="CZ63" s="43">
        <f>CX63*CY63</f>
        <v>1767.5</v>
      </c>
      <c r="DA63" s="733">
        <f>CZ63/$CZ$76</f>
        <v>4.5016765373432188E-2</v>
      </c>
    </row>
    <row r="64" spans="1:105" s="1" customFormat="1" ht="13" x14ac:dyDescent="0.3">
      <c r="A64" s="38"/>
      <c r="B64" s="315" t="s">
        <v>388</v>
      </c>
      <c r="C64" s="44">
        <f>'Page variable'!$D$37</f>
        <v>0</v>
      </c>
      <c r="D64" s="905">
        <v>15</v>
      </c>
      <c r="E64" s="42">
        <f>'Variante données'!$C$35</f>
        <v>25.25</v>
      </c>
      <c r="F64" s="43">
        <f>C64*D64*E64</f>
        <v>0</v>
      </c>
      <c r="G64" s="734">
        <f t="shared" si="14"/>
        <v>0</v>
      </c>
      <c r="H64" s="38"/>
      <c r="I64" s="315" t="s">
        <v>388</v>
      </c>
      <c r="J64" s="44">
        <f>'Page variable'!$D$37</f>
        <v>0</v>
      </c>
      <c r="K64" s="905">
        <v>15</v>
      </c>
      <c r="L64" s="42">
        <f>'Variante données'!$C$35</f>
        <v>25.25</v>
      </c>
      <c r="M64" s="43">
        <f>J64*K64*L64</f>
        <v>0</v>
      </c>
      <c r="N64" s="734"/>
      <c r="O64" s="38"/>
      <c r="P64" s="315" t="s">
        <v>388</v>
      </c>
      <c r="Q64" s="44">
        <f>'Page variable'!$D$37</f>
        <v>0</v>
      </c>
      <c r="R64" s="905">
        <v>15</v>
      </c>
      <c r="S64" s="42">
        <f>'Variante données'!$C$35</f>
        <v>25.25</v>
      </c>
      <c r="T64" s="43">
        <f>Q64*R64*S64</f>
        <v>0</v>
      </c>
      <c r="U64" s="734"/>
      <c r="V64" s="38"/>
      <c r="W64" s="315" t="s">
        <v>388</v>
      </c>
      <c r="X64" s="44">
        <f>'Page variable'!$D$37</f>
        <v>0</v>
      </c>
      <c r="Y64" s="905">
        <v>15</v>
      </c>
      <c r="Z64" s="42">
        <f>'Variante données'!$C$35</f>
        <v>25.25</v>
      </c>
      <c r="AA64" s="43">
        <f>X64*Y64*Z64</f>
        <v>0</v>
      </c>
      <c r="AB64" s="734"/>
      <c r="AC64" s="38"/>
      <c r="AD64" s="315" t="s">
        <v>388</v>
      </c>
      <c r="AE64" s="44">
        <f>'Page variable'!$D$37</f>
        <v>0</v>
      </c>
      <c r="AF64" s="905">
        <v>15</v>
      </c>
      <c r="AG64" s="42">
        <f>'Variante données'!$C$35</f>
        <v>25.25</v>
      </c>
      <c r="AH64" s="43">
        <f>AE64*AF64*AG64</f>
        <v>0</v>
      </c>
      <c r="AI64" s="734"/>
      <c r="AJ64" s="38"/>
      <c r="AK64" s="315" t="s">
        <v>388</v>
      </c>
      <c r="AL64" s="44">
        <f>'Page variable'!$D$37</f>
        <v>0</v>
      </c>
      <c r="AM64" s="905">
        <v>15</v>
      </c>
      <c r="AN64" s="42">
        <f>'Variante données'!$C$35</f>
        <v>25.25</v>
      </c>
      <c r="AO64" s="43">
        <f>AL64*AM64*AN64</f>
        <v>0</v>
      </c>
      <c r="AP64" s="734"/>
      <c r="AQ64" s="38"/>
      <c r="AR64" s="315" t="s">
        <v>388</v>
      </c>
      <c r="AS64" s="44">
        <f>'Page variable'!$D$37</f>
        <v>0</v>
      </c>
      <c r="AT64" s="905">
        <v>15</v>
      </c>
      <c r="AU64" s="42">
        <f>'Variante données'!$C$35</f>
        <v>25.25</v>
      </c>
      <c r="AV64" s="43">
        <f>AS64*AT64*AU64</f>
        <v>0</v>
      </c>
      <c r="AW64" s="734"/>
      <c r="AX64" s="38"/>
      <c r="AY64" s="315" t="s">
        <v>388</v>
      </c>
      <c r="AZ64" s="44">
        <f>'Page variable'!$D$37</f>
        <v>0</v>
      </c>
      <c r="BA64" s="905">
        <v>15</v>
      </c>
      <c r="BB64" s="42">
        <f>'Variante données'!$C$35</f>
        <v>25.25</v>
      </c>
      <c r="BC64" s="43">
        <f>AZ64*BA64*BB64</f>
        <v>0</v>
      </c>
      <c r="BD64" s="734"/>
      <c r="BE64" s="38"/>
      <c r="BF64" s="315" t="s">
        <v>388</v>
      </c>
      <c r="BG64" s="44">
        <f>'Page variable'!$D$37</f>
        <v>0</v>
      </c>
      <c r="BH64" s="905">
        <v>15</v>
      </c>
      <c r="BI64" s="42">
        <f>'Variante données'!$C$35</f>
        <v>25.25</v>
      </c>
      <c r="BJ64" s="43">
        <f>BG64*BH64*BI64</f>
        <v>0</v>
      </c>
      <c r="BK64" s="734"/>
      <c r="BL64" s="38"/>
      <c r="BM64" s="315" t="s">
        <v>388</v>
      </c>
      <c r="BN64" s="44">
        <f>'Page variable'!$D$37</f>
        <v>0</v>
      </c>
      <c r="BO64" s="905">
        <v>15</v>
      </c>
      <c r="BP64" s="42">
        <f>'Variante données'!$C$35</f>
        <v>25.25</v>
      </c>
      <c r="BQ64" s="43">
        <f>BN64*BO64*BP64</f>
        <v>0</v>
      </c>
      <c r="BR64" s="734"/>
      <c r="BS64" s="38"/>
      <c r="BT64" s="315" t="s">
        <v>388</v>
      </c>
      <c r="BU64" s="44">
        <f>'Page variable'!$D$37</f>
        <v>0</v>
      </c>
      <c r="BV64" s="905">
        <v>15</v>
      </c>
      <c r="BW64" s="42">
        <f>'Variante données'!$C$35</f>
        <v>25.25</v>
      </c>
      <c r="BX64" s="43">
        <f>BU64*BV64*BW64</f>
        <v>0</v>
      </c>
      <c r="BY64" s="734"/>
      <c r="BZ64" s="38"/>
      <c r="CA64" s="315" t="s">
        <v>388</v>
      </c>
      <c r="CB64" s="44">
        <f>'Page variable'!$D$37</f>
        <v>0</v>
      </c>
      <c r="CC64" s="905">
        <v>15</v>
      </c>
      <c r="CD64" s="42">
        <f>'Variante données'!$C$35</f>
        <v>25.25</v>
      </c>
      <c r="CE64" s="43">
        <f>CB64*CC64*CD64</f>
        <v>0</v>
      </c>
      <c r="CF64" s="734"/>
      <c r="CG64" s="38"/>
      <c r="CH64" s="315" t="s">
        <v>388</v>
      </c>
      <c r="CI64" s="44">
        <f>'Page variable'!$D$37</f>
        <v>0</v>
      </c>
      <c r="CJ64" s="905">
        <v>15</v>
      </c>
      <c r="CK64" s="42">
        <f>'Variante données'!$C$35</f>
        <v>25.25</v>
      </c>
      <c r="CL64" s="43">
        <f>CI64*CJ64*CK64</f>
        <v>0</v>
      </c>
      <c r="CM64" s="734"/>
      <c r="CN64" s="38"/>
      <c r="CO64" s="315" t="s">
        <v>388</v>
      </c>
      <c r="CP64" s="44">
        <f>'Page variable'!$D$37</f>
        <v>0</v>
      </c>
      <c r="CQ64" s="905">
        <v>15</v>
      </c>
      <c r="CR64" s="42">
        <f>'Variante données'!$C$35</f>
        <v>25.25</v>
      </c>
      <c r="CS64" s="43">
        <f>CP64*CQ64*CR64</f>
        <v>0</v>
      </c>
      <c r="CT64" s="734"/>
      <c r="CU64" s="38"/>
      <c r="CV64" s="315" t="s">
        <v>388</v>
      </c>
      <c r="CW64" s="44">
        <f>'Page variable'!$D$37</f>
        <v>0</v>
      </c>
      <c r="CX64" s="905">
        <v>15</v>
      </c>
      <c r="CY64" s="42">
        <f>'Variante données'!$C$35</f>
        <v>25.25</v>
      </c>
      <c r="CZ64" s="43">
        <f>CW64*CX64*CY64</f>
        <v>0</v>
      </c>
      <c r="DA64" s="734"/>
    </row>
    <row r="65" spans="1:110" s="1" customFormat="1" ht="13" x14ac:dyDescent="0.3">
      <c r="A65" s="38"/>
      <c r="B65" s="315" t="s">
        <v>389</v>
      </c>
      <c r="C65" s="44">
        <f>'Page variable'!$D$37</f>
        <v>0</v>
      </c>
      <c r="D65" s="905">
        <v>10</v>
      </c>
      <c r="E65" s="42">
        <f>'Variante données'!$C$35</f>
        <v>25.25</v>
      </c>
      <c r="F65" s="43">
        <f>C65*D65*E65</f>
        <v>0</v>
      </c>
      <c r="G65" s="734">
        <f t="shared" si="14"/>
        <v>0</v>
      </c>
      <c r="H65" s="38"/>
      <c r="I65" s="315" t="s">
        <v>389</v>
      </c>
      <c r="J65" s="44">
        <f>'Page variable'!$D$37</f>
        <v>0</v>
      </c>
      <c r="K65" s="905">
        <v>10</v>
      </c>
      <c r="L65" s="42">
        <f>'Variante données'!$C$35</f>
        <v>25.25</v>
      </c>
      <c r="M65" s="43">
        <f>J65*K65*L65</f>
        <v>0</v>
      </c>
      <c r="N65" s="734"/>
      <c r="O65" s="38"/>
      <c r="P65" s="315" t="s">
        <v>389</v>
      </c>
      <c r="Q65" s="44">
        <f>'Page variable'!$D$37</f>
        <v>0</v>
      </c>
      <c r="R65" s="905">
        <v>10</v>
      </c>
      <c r="S65" s="42">
        <f>'Variante données'!$C$35</f>
        <v>25.25</v>
      </c>
      <c r="T65" s="43">
        <f>Q65*R65*S65</f>
        <v>0</v>
      </c>
      <c r="U65" s="734"/>
      <c r="V65" s="38"/>
      <c r="W65" s="315" t="s">
        <v>389</v>
      </c>
      <c r="X65" s="44">
        <f>'Page variable'!$D$37</f>
        <v>0</v>
      </c>
      <c r="Y65" s="905">
        <v>10</v>
      </c>
      <c r="Z65" s="42">
        <f>'Variante données'!$C$35</f>
        <v>25.25</v>
      </c>
      <c r="AA65" s="43">
        <f>X65*Y65*Z65</f>
        <v>0</v>
      </c>
      <c r="AB65" s="734"/>
      <c r="AC65" s="38"/>
      <c r="AD65" s="315" t="s">
        <v>389</v>
      </c>
      <c r="AE65" s="44">
        <f>'Page variable'!$D$37</f>
        <v>0</v>
      </c>
      <c r="AF65" s="905">
        <v>10</v>
      </c>
      <c r="AG65" s="42">
        <f>'Variante données'!$C$35</f>
        <v>25.25</v>
      </c>
      <c r="AH65" s="43">
        <f>AE65*AF65*AG65</f>
        <v>0</v>
      </c>
      <c r="AI65" s="734"/>
      <c r="AJ65" s="38"/>
      <c r="AK65" s="315" t="s">
        <v>389</v>
      </c>
      <c r="AL65" s="44">
        <f>'Page variable'!$D$37</f>
        <v>0</v>
      </c>
      <c r="AM65" s="905">
        <v>10</v>
      </c>
      <c r="AN65" s="42">
        <f>'Variante données'!$C$35</f>
        <v>25.25</v>
      </c>
      <c r="AO65" s="43">
        <f>AL65*AM65*AN65</f>
        <v>0</v>
      </c>
      <c r="AP65" s="734"/>
      <c r="AQ65" s="38"/>
      <c r="AR65" s="315" t="s">
        <v>389</v>
      </c>
      <c r="AS65" s="44">
        <f>'Page variable'!$D$37</f>
        <v>0</v>
      </c>
      <c r="AT65" s="905">
        <v>10</v>
      </c>
      <c r="AU65" s="42">
        <f>'Variante données'!$C$35</f>
        <v>25.25</v>
      </c>
      <c r="AV65" s="43">
        <f>AS65*AT65*AU65</f>
        <v>0</v>
      </c>
      <c r="AW65" s="734"/>
      <c r="AX65" s="38"/>
      <c r="AY65" s="315" t="s">
        <v>389</v>
      </c>
      <c r="AZ65" s="44">
        <f>'Page variable'!$D$37</f>
        <v>0</v>
      </c>
      <c r="BA65" s="905">
        <v>10</v>
      </c>
      <c r="BB65" s="42">
        <f>'Variante données'!$C$35</f>
        <v>25.25</v>
      </c>
      <c r="BC65" s="43">
        <f>AZ65*BA65*BB65</f>
        <v>0</v>
      </c>
      <c r="BD65" s="734"/>
      <c r="BE65" s="38"/>
      <c r="BF65" s="315" t="s">
        <v>389</v>
      </c>
      <c r="BG65" s="44">
        <f>'Page variable'!$D$37</f>
        <v>0</v>
      </c>
      <c r="BH65" s="905">
        <v>10</v>
      </c>
      <c r="BI65" s="42">
        <f>'Variante données'!$C$35</f>
        <v>25.25</v>
      </c>
      <c r="BJ65" s="43">
        <f>BG65*BH65*BI65</f>
        <v>0</v>
      </c>
      <c r="BK65" s="734"/>
      <c r="BL65" s="38"/>
      <c r="BM65" s="315" t="s">
        <v>389</v>
      </c>
      <c r="BN65" s="44">
        <f>'Page variable'!$D$37</f>
        <v>0</v>
      </c>
      <c r="BO65" s="905">
        <v>10</v>
      </c>
      <c r="BP65" s="42">
        <f>'Variante données'!$C$35</f>
        <v>25.25</v>
      </c>
      <c r="BQ65" s="43">
        <f>BN65*BO65*BP65</f>
        <v>0</v>
      </c>
      <c r="BR65" s="734"/>
      <c r="BS65" s="38"/>
      <c r="BT65" s="315" t="s">
        <v>389</v>
      </c>
      <c r="BU65" s="44">
        <f>'Page variable'!$D$37</f>
        <v>0</v>
      </c>
      <c r="BV65" s="905">
        <v>10</v>
      </c>
      <c r="BW65" s="42">
        <f>'Variante données'!$C$35</f>
        <v>25.25</v>
      </c>
      <c r="BX65" s="43">
        <f>BU65*BV65*BW65</f>
        <v>0</v>
      </c>
      <c r="BY65" s="734"/>
      <c r="BZ65" s="38"/>
      <c r="CA65" s="315" t="s">
        <v>389</v>
      </c>
      <c r="CB65" s="44">
        <f>'Page variable'!$D$37</f>
        <v>0</v>
      </c>
      <c r="CC65" s="905">
        <v>10</v>
      </c>
      <c r="CD65" s="42">
        <f>'Variante données'!$C$35</f>
        <v>25.25</v>
      </c>
      <c r="CE65" s="43">
        <f>CB65*CC65*CD65</f>
        <v>0</v>
      </c>
      <c r="CF65" s="734"/>
      <c r="CG65" s="38"/>
      <c r="CH65" s="315" t="s">
        <v>389</v>
      </c>
      <c r="CI65" s="44">
        <f>'Page variable'!$D$37</f>
        <v>0</v>
      </c>
      <c r="CJ65" s="905">
        <v>10</v>
      </c>
      <c r="CK65" s="42">
        <f>'Variante données'!$C$35</f>
        <v>25.25</v>
      </c>
      <c r="CL65" s="43">
        <f>CI65*CJ65*CK65</f>
        <v>0</v>
      </c>
      <c r="CM65" s="734"/>
      <c r="CN65" s="38"/>
      <c r="CO65" s="315" t="s">
        <v>389</v>
      </c>
      <c r="CP65" s="44">
        <f>'Page variable'!$D$37</f>
        <v>0</v>
      </c>
      <c r="CQ65" s="905">
        <v>10</v>
      </c>
      <c r="CR65" s="42">
        <f>'Variante données'!$C$35</f>
        <v>25.25</v>
      </c>
      <c r="CS65" s="43">
        <f>CP65*CQ65*CR65</f>
        <v>0</v>
      </c>
      <c r="CT65" s="734"/>
      <c r="CU65" s="38"/>
      <c r="CV65" s="315" t="s">
        <v>389</v>
      </c>
      <c r="CW65" s="44">
        <f>'Page variable'!$D$37</f>
        <v>0</v>
      </c>
      <c r="CX65" s="905">
        <v>10</v>
      </c>
      <c r="CY65" s="42">
        <f>'Variante données'!$C$35</f>
        <v>25.25</v>
      </c>
      <c r="CZ65" s="43">
        <f>CW65*CX65*CY65</f>
        <v>0</v>
      </c>
      <c r="DA65" s="734"/>
    </row>
    <row r="66" spans="1:110" s="1" customFormat="1" ht="13" x14ac:dyDescent="0.3">
      <c r="A66" s="3"/>
      <c r="B66" s="294"/>
      <c r="D66" s="34"/>
      <c r="E66" s="45"/>
      <c r="F66" s="132">
        <f>SUM(F59:F65)</f>
        <v>3835</v>
      </c>
      <c r="G66" s="730">
        <f t="shared" si="14"/>
        <v>0.32718242184732244</v>
      </c>
      <c r="H66" s="3"/>
      <c r="I66" s="294"/>
      <c r="K66" s="34"/>
      <c r="L66" s="45"/>
      <c r="M66" s="132">
        <f>SUM(M59:M65)</f>
        <v>4369.5</v>
      </c>
      <c r="N66" s="730"/>
      <c r="O66" s="3"/>
      <c r="P66" s="294"/>
      <c r="R66" s="34"/>
      <c r="S66" s="45"/>
      <c r="T66" s="132">
        <f>SUM(T59:T65)</f>
        <v>6251.5</v>
      </c>
      <c r="U66" s="730"/>
      <c r="V66" s="3"/>
      <c r="W66" s="294"/>
      <c r="Y66" s="34"/>
      <c r="Z66" s="45"/>
      <c r="AA66" s="132">
        <f>SUM(AA59:AA65)</f>
        <v>6310.5</v>
      </c>
      <c r="AB66" s="730"/>
      <c r="AC66" s="3"/>
      <c r="AD66" s="294"/>
      <c r="AF66" s="34"/>
      <c r="AG66" s="45"/>
      <c r="AH66" s="132">
        <f>SUM(AH59:AH65)</f>
        <v>6310.5</v>
      </c>
      <c r="AI66" s="730"/>
      <c r="AJ66" s="3"/>
      <c r="AK66" s="294"/>
      <c r="AM66" s="34"/>
      <c r="AN66" s="45"/>
      <c r="AO66" s="132">
        <f>SUM(AO59:AO65)</f>
        <v>6310.5</v>
      </c>
      <c r="AP66" s="730"/>
      <c r="AQ66" s="3"/>
      <c r="AR66" s="294"/>
      <c r="AT66" s="34"/>
      <c r="AU66" s="45"/>
      <c r="AV66" s="132">
        <f>SUM(AV59:AV65)</f>
        <v>6310.5</v>
      </c>
      <c r="AW66" s="730"/>
      <c r="AX66" s="3"/>
      <c r="AY66" s="294"/>
      <c r="BA66" s="34"/>
      <c r="BB66" s="45"/>
      <c r="BC66" s="132">
        <f>SUM(BC59:BC65)</f>
        <v>6310.5</v>
      </c>
      <c r="BD66" s="730"/>
      <c r="BE66" s="3"/>
      <c r="BF66" s="294"/>
      <c r="BH66" s="34"/>
      <c r="BI66" s="45"/>
      <c r="BJ66" s="132">
        <f>SUM(BJ59:BJ65)</f>
        <v>6310.5</v>
      </c>
      <c r="BK66" s="730"/>
      <c r="BL66" s="3"/>
      <c r="BM66" s="294"/>
      <c r="BO66" s="34"/>
      <c r="BP66" s="45"/>
      <c r="BQ66" s="132">
        <f>SUM(BQ59:BQ65)</f>
        <v>6310.5</v>
      </c>
      <c r="BR66" s="730"/>
      <c r="BS66" s="3"/>
      <c r="BT66" s="294"/>
      <c r="BV66" s="34"/>
      <c r="BW66" s="45"/>
      <c r="BX66" s="132">
        <f>SUM(BX59:BX65)</f>
        <v>6310.5</v>
      </c>
      <c r="BY66" s="730"/>
      <c r="BZ66" s="3"/>
      <c r="CA66" s="294"/>
      <c r="CC66" s="34"/>
      <c r="CD66" s="45"/>
      <c r="CE66" s="132">
        <f>SUM(CE59:CE65)</f>
        <v>6310.5</v>
      </c>
      <c r="CF66" s="730"/>
      <c r="CG66" s="3"/>
      <c r="CH66" s="294"/>
      <c r="CJ66" s="34"/>
      <c r="CK66" s="45"/>
      <c r="CL66" s="132">
        <f>SUM(CL59:CL65)</f>
        <v>6310.5</v>
      </c>
      <c r="CM66" s="730"/>
      <c r="CN66" s="3"/>
      <c r="CO66" s="294"/>
      <c r="CQ66" s="34"/>
      <c r="CR66" s="45"/>
      <c r="CS66" s="132">
        <f>SUM(CS59:CS65)</f>
        <v>6310.5</v>
      </c>
      <c r="CT66" s="730"/>
      <c r="CU66" s="3"/>
      <c r="CV66" s="294"/>
      <c r="CX66" s="34"/>
      <c r="CY66" s="45"/>
      <c r="CZ66" s="132">
        <f>SUM(CZ59:CZ65)</f>
        <v>6310.5</v>
      </c>
      <c r="DA66" s="730"/>
    </row>
    <row r="67" spans="1:110" s="1" customFormat="1" ht="13" x14ac:dyDescent="0.3">
      <c r="A67" s="38" t="s">
        <v>223</v>
      </c>
      <c r="B67" s="751" t="str">
        <f>'Variante données'!G70</f>
        <v>sur l'arbre</v>
      </c>
      <c r="C67" s="759">
        <f>'Variante données'!$G$86</f>
        <v>110</v>
      </c>
      <c r="D67" s="44">
        <f>(D9+D10+('Variante données'!$D$86*D12))/C67</f>
        <v>0</v>
      </c>
      <c r="E67" s="42">
        <f>'Variante données'!$C$35</f>
        <v>25.25</v>
      </c>
      <c r="F67" s="43">
        <f>D67*E67</f>
        <v>0</v>
      </c>
      <c r="G67" s="733">
        <f>F67/$F$76</f>
        <v>0</v>
      </c>
      <c r="H67" s="38" t="s">
        <v>223</v>
      </c>
      <c r="I67" s="751" t="s">
        <v>228</v>
      </c>
      <c r="J67" s="759">
        <f>'Variante données'!$G$86</f>
        <v>110</v>
      </c>
      <c r="K67" s="44">
        <f>(K9+K10+('Variante données'!$D$86*K12))/J67</f>
        <v>43.18181818181818</v>
      </c>
      <c r="L67" s="42">
        <f>'Variante données'!$C$35</f>
        <v>25.25</v>
      </c>
      <c r="M67" s="43">
        <f>K67*L67</f>
        <v>1090.340909090909</v>
      </c>
      <c r="N67" s="733">
        <f>M67/$M$76</f>
        <v>7.8408949022346519E-2</v>
      </c>
      <c r="O67" s="38" t="s">
        <v>223</v>
      </c>
      <c r="P67" s="751" t="s">
        <v>228</v>
      </c>
      <c r="Q67" s="759">
        <f>'Variante données'!$G$86</f>
        <v>110</v>
      </c>
      <c r="R67" s="44">
        <f>(R9+R10+('Variante données'!$D$86*R12))/Q67</f>
        <v>155.45454545454547</v>
      </c>
      <c r="S67" s="42">
        <f>'Variante données'!$C$35</f>
        <v>25.25</v>
      </c>
      <c r="T67" s="43">
        <f>R67*S67</f>
        <v>3925.227272727273</v>
      </c>
      <c r="U67" s="733">
        <f>T67/$T$76</f>
        <v>0.14961118537924742</v>
      </c>
      <c r="V67" s="38" t="s">
        <v>223</v>
      </c>
      <c r="W67" s="751" t="s">
        <v>228</v>
      </c>
      <c r="X67" s="759">
        <f>'Variante données'!$G$86</f>
        <v>110</v>
      </c>
      <c r="Y67" s="44">
        <f>(Y9+Y10+('Variante données'!$D$86*Y12))/X67</f>
        <v>215.90909090909091</v>
      </c>
      <c r="Z67" s="42">
        <f>'Variante données'!$C$35</f>
        <v>25.25</v>
      </c>
      <c r="AA67" s="43">
        <f>Y67*Z67</f>
        <v>5451.704545454545</v>
      </c>
      <c r="AB67" s="733">
        <f>AA67/$AA$76</f>
        <v>0.1911283389312966</v>
      </c>
      <c r="AC67" s="38" t="s">
        <v>223</v>
      </c>
      <c r="AD67" s="751" t="s">
        <v>228</v>
      </c>
      <c r="AE67" s="759">
        <f>'Variante données'!$G$86</f>
        <v>110</v>
      </c>
      <c r="AF67" s="44">
        <f>(AF9+AF10+('Variante données'!$D$86*AF12))/AE67</f>
        <v>302.27272727272725</v>
      </c>
      <c r="AG67" s="42">
        <f>'Variante données'!$C$35</f>
        <v>25.25</v>
      </c>
      <c r="AH67" s="43">
        <f>AF67*AG67</f>
        <v>7632.3863636363631</v>
      </c>
      <c r="AI67" s="733">
        <f>AH67/$AH$76</f>
        <v>0.24489701599042249</v>
      </c>
      <c r="AJ67" s="38" t="s">
        <v>223</v>
      </c>
      <c r="AK67" s="751" t="s">
        <v>228</v>
      </c>
      <c r="AL67" s="759">
        <f>'Variante données'!$G$86</f>
        <v>110</v>
      </c>
      <c r="AM67" s="44">
        <f>(AM9+AM10+('Variante données'!$D$86*AM12))/AL67</f>
        <v>388.63636363636363</v>
      </c>
      <c r="AN67" s="42">
        <f>'Variante données'!$C$35</f>
        <v>25.25</v>
      </c>
      <c r="AO67" s="43">
        <f>AM67*AN67</f>
        <v>9813.068181818182</v>
      </c>
      <c r="AP67" s="733">
        <f>AO67/$AO$76</f>
        <v>0.29107940795231968</v>
      </c>
      <c r="AQ67" s="38" t="s">
        <v>223</v>
      </c>
      <c r="AR67" s="751" t="s">
        <v>228</v>
      </c>
      <c r="AS67" s="759">
        <f>'Variante données'!$G$86</f>
        <v>110</v>
      </c>
      <c r="AT67" s="44">
        <f>(AT9+AT10+('Variante données'!$D$86*AT12))/AS67</f>
        <v>388.63636363636363</v>
      </c>
      <c r="AU67" s="42">
        <f>'Variante données'!$C$35</f>
        <v>25.25</v>
      </c>
      <c r="AV67" s="43">
        <f>AT67*AU67</f>
        <v>9813.068181818182</v>
      </c>
      <c r="AW67" s="733">
        <f>AV67/$AV$76</f>
        <v>0.29208689960288875</v>
      </c>
      <c r="AX67" s="38" t="s">
        <v>223</v>
      </c>
      <c r="AY67" s="751" t="s">
        <v>228</v>
      </c>
      <c r="AZ67" s="759">
        <f>'Variante données'!$G$86</f>
        <v>110</v>
      </c>
      <c r="BA67" s="44">
        <f>(BA9+BA10+('Variante données'!$D$86*BA12))/AZ67</f>
        <v>388.63636363636363</v>
      </c>
      <c r="BB67" s="42">
        <f>'Variante données'!$C$35</f>
        <v>25.25</v>
      </c>
      <c r="BC67" s="43">
        <f>BA67*BB67</f>
        <v>9813.068181818182</v>
      </c>
      <c r="BD67" s="733">
        <f>BC67/$BC$76</f>
        <v>0.29311666079185411</v>
      </c>
      <c r="BE67" s="38" t="s">
        <v>223</v>
      </c>
      <c r="BF67" s="751" t="s">
        <v>228</v>
      </c>
      <c r="BG67" s="759">
        <f>'Variante données'!$G$86</f>
        <v>110</v>
      </c>
      <c r="BH67" s="44">
        <f>(BH9+BH10+('Variante données'!$D$86*BH12))/BG67</f>
        <v>388.63636363636363</v>
      </c>
      <c r="BI67" s="42">
        <f>'Variante données'!$C$35</f>
        <v>25.25</v>
      </c>
      <c r="BJ67" s="43">
        <f>BH67*BI67</f>
        <v>9813.068181818182</v>
      </c>
      <c r="BK67" s="733">
        <f>BJ67/$BJ$76</f>
        <v>0.29416932015978947</v>
      </c>
      <c r="BL67" s="38" t="s">
        <v>223</v>
      </c>
      <c r="BM67" s="751" t="s">
        <v>228</v>
      </c>
      <c r="BN67" s="759">
        <f>'Variante données'!$G$86</f>
        <v>110</v>
      </c>
      <c r="BO67" s="44">
        <f>(BO9+BO10+('Variante données'!$D$86*BO12))/BN67</f>
        <v>388.63636363636363</v>
      </c>
      <c r="BP67" s="42">
        <f>'Variante données'!$C$35</f>
        <v>25.25</v>
      </c>
      <c r="BQ67" s="43">
        <f>BO67*BP67</f>
        <v>9813.068181818182</v>
      </c>
      <c r="BR67" s="733">
        <f>BQ67/$BQ$76</f>
        <v>0.29524552942789112</v>
      </c>
      <c r="BS67" s="38" t="s">
        <v>223</v>
      </c>
      <c r="BT67" s="751" t="s">
        <v>228</v>
      </c>
      <c r="BU67" s="759">
        <f>'Variante données'!$G$86</f>
        <v>110</v>
      </c>
      <c r="BV67" s="44">
        <f>(BV9+BV10+('Variante données'!$D$86*BV12))/BU67</f>
        <v>388.63636363636363</v>
      </c>
      <c r="BW67" s="42">
        <f>'Variante données'!$C$35</f>
        <v>25.25</v>
      </c>
      <c r="BX67" s="43">
        <f>BV67*BW67</f>
        <v>9813.068181818182</v>
      </c>
      <c r="BY67" s="733">
        <f>BX67/$BX$76</f>
        <v>0.29614373458531801</v>
      </c>
      <c r="BZ67" s="38" t="s">
        <v>223</v>
      </c>
      <c r="CA67" s="751" t="s">
        <v>228</v>
      </c>
      <c r="CB67" s="759">
        <f>'Variante données'!$G$86</f>
        <v>110</v>
      </c>
      <c r="CC67" s="44">
        <f>(CC9+CC10+('Variante données'!$D$86*CC12))/CB67</f>
        <v>388.63636363636363</v>
      </c>
      <c r="CD67" s="42">
        <f>'Variante données'!$C$35</f>
        <v>25.25</v>
      </c>
      <c r="CE67" s="43">
        <f>CC67*CD67</f>
        <v>9813.068181818182</v>
      </c>
      <c r="CF67" s="733">
        <f>CE67/$CE$76</f>
        <v>0.29706101880558672</v>
      </c>
      <c r="CG67" s="38" t="s">
        <v>223</v>
      </c>
      <c r="CH67" s="751" t="s">
        <v>228</v>
      </c>
      <c r="CI67" s="759">
        <f>'Variante données'!$G$86</f>
        <v>110</v>
      </c>
      <c r="CJ67" s="44">
        <f>(CJ9+CJ10+('Variante données'!$D$86*CJ12))/CI67</f>
        <v>388.63636363636363</v>
      </c>
      <c r="CK67" s="42">
        <f>'Variante données'!$C$35</f>
        <v>25.25</v>
      </c>
      <c r="CL67" s="43">
        <f>CJ67*CK67</f>
        <v>9813.068181818182</v>
      </c>
      <c r="CM67" s="733">
        <f>CL67/$CL$76</f>
        <v>0.29799789155570527</v>
      </c>
      <c r="CN67" s="38" t="s">
        <v>223</v>
      </c>
      <c r="CO67" s="751" t="s">
        <v>228</v>
      </c>
      <c r="CP67" s="759">
        <f>'Variante données'!$G$86</f>
        <v>110</v>
      </c>
      <c r="CQ67" s="44">
        <f>(CQ9+CQ10+('Variante données'!$D$86*CQ12))/CP67</f>
        <v>388.63636363636363</v>
      </c>
      <c r="CR67" s="42">
        <f>'Variante données'!$C$35</f>
        <v>25.25</v>
      </c>
      <c r="CS67" s="43">
        <f>CQ67*CR67</f>
        <v>9813.068181818182</v>
      </c>
      <c r="CT67" s="733">
        <f>CS67/$CS$76</f>
        <v>0.29874907483266933</v>
      </c>
      <c r="CU67" s="38" t="s">
        <v>223</v>
      </c>
      <c r="CV67" s="751" t="s">
        <v>228</v>
      </c>
      <c r="CW67" s="759">
        <f>'Variante données'!$G$86</f>
        <v>110</v>
      </c>
      <c r="CX67" s="44">
        <f>(CX9+CX10+('Variante données'!$D$86*CX12))/CW67</f>
        <v>388.63636363636363</v>
      </c>
      <c r="CY67" s="42">
        <f>'Variante données'!$C$35</f>
        <v>25.25</v>
      </c>
      <c r="CZ67" s="43">
        <f>CX67*CY67</f>
        <v>9813.068181818182</v>
      </c>
      <c r="DA67" s="733">
        <f>CZ67/$CZ$76</f>
        <v>0.24993074282002936</v>
      </c>
    </row>
    <row r="68" spans="1:110" s="1" customFormat="1" ht="13" x14ac:dyDescent="0.3">
      <c r="A68" s="38"/>
      <c r="B68" s="301" t="s">
        <v>229</v>
      </c>
      <c r="C68" s="250">
        <f>'Variante données'!$H$86</f>
        <v>300</v>
      </c>
      <c r="D68" s="44">
        <f>('Variante données'!$E$86*D12)/C68</f>
        <v>0</v>
      </c>
      <c r="E68" s="42">
        <f>'Variante données'!$C$34</f>
        <v>21</v>
      </c>
      <c r="F68" s="43">
        <f>D68*E68</f>
        <v>0</v>
      </c>
      <c r="G68" s="733">
        <f>F68/$F$76</f>
        <v>0</v>
      </c>
      <c r="H68" s="38"/>
      <c r="I68" s="301" t="s">
        <v>229</v>
      </c>
      <c r="J68" s="250">
        <f>'Variante données'!$H$86</f>
        <v>300</v>
      </c>
      <c r="K68" s="44">
        <f>('Variante données'!$E$86*K12)/J68</f>
        <v>0.83333333333333326</v>
      </c>
      <c r="L68" s="42">
        <f>'Variante données'!$C$34</f>
        <v>21</v>
      </c>
      <c r="M68" s="43">
        <f>K68*L68</f>
        <v>17.5</v>
      </c>
      <c r="N68" s="733">
        <f>M68/$M$76</f>
        <v>1.2584656747724194E-3</v>
      </c>
      <c r="O68" s="38"/>
      <c r="P68" s="301" t="s">
        <v>229</v>
      </c>
      <c r="Q68" s="250">
        <f>'Variante données'!$H$86</f>
        <v>300</v>
      </c>
      <c r="R68" s="44">
        <f>('Variante données'!$E$86*R12)/Q68</f>
        <v>2.9999999999999996</v>
      </c>
      <c r="S68" s="42">
        <f>'Variante données'!$C$34</f>
        <v>21</v>
      </c>
      <c r="T68" s="43">
        <f>R68*S68</f>
        <v>62.999999999999993</v>
      </c>
      <c r="U68" s="733">
        <f>T68/$T$76</f>
        <v>2.4012634234918291E-3</v>
      </c>
      <c r="V68" s="38"/>
      <c r="W68" s="301" t="s">
        <v>229</v>
      </c>
      <c r="X68" s="250">
        <f>'Variante données'!$H$86</f>
        <v>300</v>
      </c>
      <c r="Y68" s="44">
        <f>('Variante données'!$E$86*Y12)/X68</f>
        <v>4.166666666666667</v>
      </c>
      <c r="Z68" s="42">
        <f>'Variante données'!$C$34</f>
        <v>21</v>
      </c>
      <c r="AA68" s="43">
        <f>Y68*Z68</f>
        <v>87.5</v>
      </c>
      <c r="AB68" s="733">
        <f>AA68/$AA$76</f>
        <v>3.0676148197414988E-3</v>
      </c>
      <c r="AC68" s="38"/>
      <c r="AD68" s="301" t="s">
        <v>229</v>
      </c>
      <c r="AE68" s="250">
        <f>'Variante données'!$H$86</f>
        <v>300</v>
      </c>
      <c r="AF68" s="44">
        <f>('Variante données'!$E$86*AF12)/AE68</f>
        <v>5.8333333333333321</v>
      </c>
      <c r="AG68" s="42">
        <f>'Variante données'!$C$34</f>
        <v>21</v>
      </c>
      <c r="AH68" s="43">
        <f>AF68*AG68</f>
        <v>122.49999999999997</v>
      </c>
      <c r="AI68" s="733">
        <f>AH68/$AH$76</f>
        <v>3.9306034874960977E-3</v>
      </c>
      <c r="AJ68" s="38"/>
      <c r="AK68" s="301" t="s">
        <v>229</v>
      </c>
      <c r="AL68" s="250">
        <f>'Variante données'!$H$86</f>
        <v>300</v>
      </c>
      <c r="AM68" s="44">
        <f>('Variante données'!$E$86*AM12)/AL68</f>
        <v>7.5</v>
      </c>
      <c r="AN68" s="42">
        <f>'Variante données'!$C$34</f>
        <v>21</v>
      </c>
      <c r="AO68" s="43">
        <f>AM68*AN68</f>
        <v>157.5</v>
      </c>
      <c r="AP68" s="733">
        <f>AO68/$AO$76</f>
        <v>4.6718320817777208E-3</v>
      </c>
      <c r="AQ68" s="38"/>
      <c r="AR68" s="301" t="s">
        <v>229</v>
      </c>
      <c r="AS68" s="250">
        <f>'Variante données'!$H$86</f>
        <v>300</v>
      </c>
      <c r="AT68" s="44">
        <f>('Variante données'!$E$86*AT12)/AS68</f>
        <v>7.5</v>
      </c>
      <c r="AU68" s="42">
        <f>'Variante données'!$C$34</f>
        <v>21</v>
      </c>
      <c r="AV68" s="43">
        <f>AT68*AU68</f>
        <v>157.5</v>
      </c>
      <c r="AW68" s="733">
        <f>AV68/$AV$76</f>
        <v>4.688002349019788E-3</v>
      </c>
      <c r="AX68" s="38"/>
      <c r="AY68" s="301" t="s">
        <v>229</v>
      </c>
      <c r="AZ68" s="250">
        <f>'Variante données'!$H$86</f>
        <v>300</v>
      </c>
      <c r="BA68" s="44">
        <f>('Variante données'!$E$86*BA12)/AZ68</f>
        <v>7.5</v>
      </c>
      <c r="BB68" s="42">
        <f>'Variante données'!$C$34</f>
        <v>21</v>
      </c>
      <c r="BC68" s="43">
        <f>BA68*BB68</f>
        <v>157.5</v>
      </c>
      <c r="BD68" s="733">
        <f>BC68/$BC$76</f>
        <v>4.7045300429333541E-3</v>
      </c>
      <c r="BE68" s="38"/>
      <c r="BF68" s="301" t="s">
        <v>229</v>
      </c>
      <c r="BG68" s="250">
        <f>'Variante données'!$H$86</f>
        <v>300</v>
      </c>
      <c r="BH68" s="44">
        <f>('Variante données'!$E$86*BH12)/BG68</f>
        <v>7.5</v>
      </c>
      <c r="BI68" s="42">
        <f>'Variante données'!$C$34</f>
        <v>21</v>
      </c>
      <c r="BJ68" s="43">
        <f>BH68*BI68</f>
        <v>157.5</v>
      </c>
      <c r="BK68" s="733">
        <f>BJ68/$BJ$76</f>
        <v>4.7214252532160059E-3</v>
      </c>
      <c r="BL68" s="38"/>
      <c r="BM68" s="301" t="s">
        <v>229</v>
      </c>
      <c r="BN68" s="250">
        <f>'Variante données'!$H$86</f>
        <v>300</v>
      </c>
      <c r="BO68" s="44">
        <f>('Variante données'!$E$86*BO12)/BN68</f>
        <v>7.5</v>
      </c>
      <c r="BP68" s="42">
        <f>'Variante données'!$C$34</f>
        <v>21</v>
      </c>
      <c r="BQ68" s="43">
        <f>BO68*BP68</f>
        <v>157.5</v>
      </c>
      <c r="BR68" s="733">
        <f>BQ68/$BQ$76</f>
        <v>4.7386984400099247E-3</v>
      </c>
      <c r="BS68" s="38"/>
      <c r="BT68" s="301" t="s">
        <v>229</v>
      </c>
      <c r="BU68" s="250">
        <f>'Variante données'!$H$86</f>
        <v>300</v>
      </c>
      <c r="BV68" s="44">
        <f>('Variante données'!$E$86*BV12)/BU68</f>
        <v>7.5</v>
      </c>
      <c r="BW68" s="42">
        <f>'Variante données'!$C$34</f>
        <v>21</v>
      </c>
      <c r="BX68" s="43">
        <f>BV68*BW68</f>
        <v>157.5</v>
      </c>
      <c r="BY68" s="733">
        <f>BX68/$BX$76</f>
        <v>4.753114656189575E-3</v>
      </c>
      <c r="BZ68" s="38"/>
      <c r="CA68" s="301" t="s">
        <v>229</v>
      </c>
      <c r="CB68" s="250">
        <f>'Variante données'!$H$86</f>
        <v>300</v>
      </c>
      <c r="CC68" s="44">
        <f>('Variante données'!$E$86*CC12)/CB68</f>
        <v>7.5</v>
      </c>
      <c r="CD68" s="42">
        <f>'Variante données'!$C$34</f>
        <v>21</v>
      </c>
      <c r="CE68" s="43">
        <f>CC68*CD68</f>
        <v>157.5</v>
      </c>
      <c r="CF68" s="733">
        <f>CE68/$CE$76</f>
        <v>4.7678370918249457E-3</v>
      </c>
      <c r="CG68" s="38"/>
      <c r="CH68" s="301" t="s">
        <v>229</v>
      </c>
      <c r="CI68" s="250">
        <f>'Variante données'!$H$86</f>
        <v>300</v>
      </c>
      <c r="CJ68" s="44">
        <f>('Variante données'!$E$86*CJ12)/CI68</f>
        <v>7.5</v>
      </c>
      <c r="CK68" s="42">
        <f>'Variante données'!$C$34</f>
        <v>21</v>
      </c>
      <c r="CL68" s="43">
        <f>CJ68*CK68</f>
        <v>157.5</v>
      </c>
      <c r="CM68" s="733">
        <f>CL68/$CL$76</f>
        <v>4.7828739238747909E-3</v>
      </c>
      <c r="CN68" s="38"/>
      <c r="CO68" s="301" t="s">
        <v>229</v>
      </c>
      <c r="CP68" s="250">
        <f>'Variante données'!$H$86</f>
        <v>300</v>
      </c>
      <c r="CQ68" s="44">
        <f>('Variante données'!$E$86*CQ12)/CP68</f>
        <v>7.5</v>
      </c>
      <c r="CR68" s="42">
        <f>'Variante données'!$C$34</f>
        <v>21</v>
      </c>
      <c r="CS68" s="43">
        <f>CQ68*CR68</f>
        <v>157.5</v>
      </c>
      <c r="CT68" s="733">
        <f>CS68/$CS$76</f>
        <v>4.7949304350423218E-3</v>
      </c>
      <c r="CU68" s="38"/>
      <c r="CV68" s="301" t="s">
        <v>229</v>
      </c>
      <c r="CW68" s="250">
        <f>'Variante données'!$H$86</f>
        <v>300</v>
      </c>
      <c r="CX68" s="44">
        <f>('Variante données'!$E$86*CX12)/CW68</f>
        <v>7.5</v>
      </c>
      <c r="CY68" s="42">
        <f>'Variante données'!$C$34</f>
        <v>21</v>
      </c>
      <c r="CZ68" s="43">
        <f>CX68*CY68</f>
        <v>157.5</v>
      </c>
      <c r="DA68" s="733">
        <f>CZ68/$CZ$76</f>
        <v>4.0113949342662344E-3</v>
      </c>
    </row>
    <row r="69" spans="1:110" s="1" customFormat="1" ht="13.5" thickBot="1" x14ac:dyDescent="0.35">
      <c r="A69" s="38"/>
      <c r="B69" s="39" t="s">
        <v>387</v>
      </c>
      <c r="C69" s="41"/>
      <c r="D69" s="728">
        <f>'Variante données'!F94+'Variante données'!G94</f>
        <v>20</v>
      </c>
      <c r="E69" s="42">
        <f>'Variante données'!$C$32</f>
        <v>35</v>
      </c>
      <c r="F69" s="464">
        <f>D69*E69</f>
        <v>700</v>
      </c>
      <c r="G69" s="733">
        <f>F69/$F$76</f>
        <v>5.9720389906942818E-2</v>
      </c>
      <c r="H69" s="38"/>
      <c r="I69" s="39" t="s">
        <v>387</v>
      </c>
      <c r="J69" s="41"/>
      <c r="K69" s="728">
        <f>'Variante données'!F95+'Variante données'!G95</f>
        <v>20</v>
      </c>
      <c r="L69" s="42">
        <f>'Variante données'!$C$32</f>
        <v>35</v>
      </c>
      <c r="M69" s="464">
        <f>K69*L69</f>
        <v>700</v>
      </c>
      <c r="N69" s="733">
        <f>M69/$M$76</f>
        <v>5.0338626990896779E-2</v>
      </c>
      <c r="O69" s="38"/>
      <c r="P69" s="39" t="s">
        <v>387</v>
      </c>
      <c r="Q69" s="41"/>
      <c r="R69" s="728">
        <f>'Variante données'!$F$93+'Variante données'!$G$93</f>
        <v>40</v>
      </c>
      <c r="S69" s="42">
        <f>'Variante données'!$C$32</f>
        <v>35</v>
      </c>
      <c r="T69" s="464">
        <f>R69*S69</f>
        <v>1400</v>
      </c>
      <c r="U69" s="733">
        <f>T69/$T$76</f>
        <v>5.3361409410929539E-2</v>
      </c>
      <c r="V69" s="38"/>
      <c r="W69" s="39" t="s">
        <v>387</v>
      </c>
      <c r="X69" s="41"/>
      <c r="Y69" s="728">
        <f>'Variante données'!$F$93+'Variante données'!$G$93</f>
        <v>40</v>
      </c>
      <c r="Z69" s="42">
        <f>'Variante données'!$C$32</f>
        <v>35</v>
      </c>
      <c r="AA69" s="464">
        <f>Y69*Z69</f>
        <v>1400</v>
      </c>
      <c r="AB69" s="733">
        <f>AA69/$AA$76</f>
        <v>4.9081837115863981E-2</v>
      </c>
      <c r="AC69" s="38"/>
      <c r="AD69" s="39" t="s">
        <v>387</v>
      </c>
      <c r="AE69" s="41"/>
      <c r="AF69" s="728">
        <f>'Variante données'!$F$93+'Variante données'!$G$93</f>
        <v>40</v>
      </c>
      <c r="AG69" s="42">
        <f>'Variante données'!$C$32</f>
        <v>35</v>
      </c>
      <c r="AH69" s="464">
        <f>AF69*AG69</f>
        <v>1400</v>
      </c>
      <c r="AI69" s="733">
        <f>AH69/$AH$76</f>
        <v>4.4921182714241129E-2</v>
      </c>
      <c r="AJ69" s="38"/>
      <c r="AK69" s="39" t="s">
        <v>387</v>
      </c>
      <c r="AL69" s="41"/>
      <c r="AM69" s="728">
        <f>'Variante données'!$F$93+'Variante données'!$G$93</f>
        <v>40</v>
      </c>
      <c r="AN69" s="42">
        <f>'Variante données'!$C$32</f>
        <v>35</v>
      </c>
      <c r="AO69" s="464">
        <f>AM69*AN69</f>
        <v>1400</v>
      </c>
      <c r="AP69" s="733">
        <f>AO69/$AO$76</f>
        <v>4.1527396282468626E-2</v>
      </c>
      <c r="AQ69" s="38"/>
      <c r="AR69" s="39" t="s">
        <v>387</v>
      </c>
      <c r="AS69" s="41"/>
      <c r="AT69" s="728">
        <f>'Variante données'!$F$93+'Variante données'!$G$93</f>
        <v>40</v>
      </c>
      <c r="AU69" s="42">
        <f>'Variante données'!$C$32</f>
        <v>35</v>
      </c>
      <c r="AV69" s="464">
        <f>AT69*AU69</f>
        <v>1400</v>
      </c>
      <c r="AW69" s="733">
        <f>AV69/$AV$76</f>
        <v>4.1671131991287004E-2</v>
      </c>
      <c r="AX69" s="38"/>
      <c r="AY69" s="39" t="s">
        <v>387</v>
      </c>
      <c r="AZ69" s="41"/>
      <c r="BA69" s="728">
        <f>'Variante données'!$F$93+'Variante données'!$G$93</f>
        <v>40</v>
      </c>
      <c r="BB69" s="42">
        <f>'Variante données'!$C$32</f>
        <v>35</v>
      </c>
      <c r="BC69" s="464">
        <f>BA69*BB69</f>
        <v>1400</v>
      </c>
      <c r="BD69" s="733">
        <f>BC69/$BC$76</f>
        <v>4.1818044826074256E-2</v>
      </c>
      <c r="BE69" s="38"/>
      <c r="BF69" s="39" t="s">
        <v>387</v>
      </c>
      <c r="BG69" s="41"/>
      <c r="BH69" s="728">
        <f>'Variante données'!$F$93+'Variante données'!$G$93</f>
        <v>40</v>
      </c>
      <c r="BI69" s="42">
        <f>'Variante données'!$C$32</f>
        <v>35</v>
      </c>
      <c r="BJ69" s="464">
        <f>BH69*BI69</f>
        <v>1400</v>
      </c>
      <c r="BK69" s="733">
        <f>BJ69/$BJ$76</f>
        <v>4.1968224473031161E-2</v>
      </c>
      <c r="BL69" s="38"/>
      <c r="BM69" s="39" t="s">
        <v>387</v>
      </c>
      <c r="BN69" s="41"/>
      <c r="BO69" s="728">
        <f>'Variante données'!$F$93+'Variante données'!$G$93</f>
        <v>40</v>
      </c>
      <c r="BP69" s="42">
        <f>'Variante données'!$C$32</f>
        <v>35</v>
      </c>
      <c r="BQ69" s="464">
        <f>BO69*BP69</f>
        <v>1400</v>
      </c>
      <c r="BR69" s="733">
        <f>BQ69/$BQ$76</f>
        <v>4.2121763911199331E-2</v>
      </c>
      <c r="BS69" s="38"/>
      <c r="BT69" s="39" t="s">
        <v>387</v>
      </c>
      <c r="BU69" s="41"/>
      <c r="BV69" s="728">
        <f>'Variante données'!$F$93+'Variante données'!$G$93</f>
        <v>40</v>
      </c>
      <c r="BW69" s="42">
        <f>'Variante données'!$C$32</f>
        <v>35</v>
      </c>
      <c r="BX69" s="464">
        <f>BV69*BW69</f>
        <v>1400</v>
      </c>
      <c r="BY69" s="733">
        <f>BX69/$BX$76</f>
        <v>4.2249908055018444E-2</v>
      </c>
      <c r="BZ69" s="38"/>
      <c r="CA69" s="39" t="s">
        <v>387</v>
      </c>
      <c r="CB69" s="41"/>
      <c r="CC69" s="728">
        <f>'Variante données'!$F$93+'Variante données'!$G$93</f>
        <v>40</v>
      </c>
      <c r="CD69" s="42">
        <f>'Variante données'!$C$32</f>
        <v>35</v>
      </c>
      <c r="CE69" s="464">
        <f>CC69*CD69</f>
        <v>1400</v>
      </c>
      <c r="CF69" s="733">
        <f>CE69/$CE$76</f>
        <v>4.2380774149555073E-2</v>
      </c>
      <c r="CG69" s="38"/>
      <c r="CH69" s="39" t="s">
        <v>387</v>
      </c>
      <c r="CI69" s="41"/>
      <c r="CJ69" s="728">
        <f>'Variante données'!$F$93+'Variante données'!$G$93</f>
        <v>40</v>
      </c>
      <c r="CK69" s="42">
        <f>'Variante données'!$C$32</f>
        <v>35</v>
      </c>
      <c r="CL69" s="464">
        <f>CJ69*CK69</f>
        <v>1400</v>
      </c>
      <c r="CM69" s="733">
        <f>CL69/$CL$76</f>
        <v>4.2514434878887029E-2</v>
      </c>
      <c r="CN69" s="38"/>
      <c r="CO69" s="39" t="s">
        <v>387</v>
      </c>
      <c r="CP69" s="41"/>
      <c r="CQ69" s="728">
        <f>'Variante données'!$F$93+'Variante données'!$G$93</f>
        <v>40</v>
      </c>
      <c r="CR69" s="42">
        <f>'Variante données'!$C$32</f>
        <v>35</v>
      </c>
      <c r="CS69" s="464">
        <f>CQ69*CR69</f>
        <v>1400</v>
      </c>
      <c r="CT69" s="733">
        <f>CS69/$CS$76</f>
        <v>4.2621603867042862E-2</v>
      </c>
      <c r="CU69" s="38"/>
      <c r="CV69" s="39" t="s">
        <v>387</v>
      </c>
      <c r="CW69" s="41"/>
      <c r="CX69" s="728">
        <f>'Variante données'!$F$93+'Variante données'!$G$93</f>
        <v>40</v>
      </c>
      <c r="CY69" s="42">
        <f>'Variante données'!$C$32</f>
        <v>35</v>
      </c>
      <c r="CZ69" s="464">
        <f>CX69*CY69</f>
        <v>1400</v>
      </c>
      <c r="DA69" s="733">
        <f>CZ69/$CZ$76</f>
        <v>3.5656843860144311E-2</v>
      </c>
    </row>
    <row r="70" spans="1:110" s="1" customFormat="1" ht="13" x14ac:dyDescent="0.3">
      <c r="A70" s="108" t="s">
        <v>376</v>
      </c>
      <c r="B70" s="1058">
        <f>('Variante données'!$F$34*D63)+('Variante données'!$F$34*D67)+D68</f>
        <v>0</v>
      </c>
      <c r="C70" s="108" t="s">
        <v>59</v>
      </c>
      <c r="D70" s="1059">
        <f>SUM(D59:D69)</f>
        <v>175</v>
      </c>
      <c r="E70" s="45"/>
      <c r="F70" s="52">
        <f>SUM(F67:F69)</f>
        <v>700</v>
      </c>
      <c r="G70" s="730">
        <f>F70/$F$76</f>
        <v>5.9720389906942818E-2</v>
      </c>
      <c r="H70" s="108" t="s">
        <v>376</v>
      </c>
      <c r="I70" s="1058">
        <f>('Variante données'!$F$34*K63)+('Variante données'!$F$34*K67)+K68</f>
        <v>32.424242424242422</v>
      </c>
      <c r="J70" s="108" t="s">
        <v>59</v>
      </c>
      <c r="K70" s="1059">
        <f>SUM(K59:K69)</f>
        <v>240.01515151515153</v>
      </c>
      <c r="L70" s="45"/>
      <c r="M70" s="52">
        <f>SUM(M67:M69)</f>
        <v>1807.840909090909</v>
      </c>
      <c r="N70" s="730">
        <f>M70/$M$76</f>
        <v>0.13000604168801572</v>
      </c>
      <c r="O70" s="108" t="s">
        <v>376</v>
      </c>
      <c r="P70" s="1058">
        <f>('Variante données'!$F$34*R63)+('Variante données'!$F$34*R67)+R68</f>
        <v>115.72727272727273</v>
      </c>
      <c r="Q70" s="108" t="s">
        <v>59</v>
      </c>
      <c r="R70" s="1059">
        <f>SUM(R59:R69)</f>
        <v>445.4545454545455</v>
      </c>
      <c r="S70" s="45"/>
      <c r="T70" s="52">
        <f>SUM(T67:T69)</f>
        <v>5388.227272727273</v>
      </c>
      <c r="U70" s="730">
        <f>T70/$T$76</f>
        <v>0.2053738582136688</v>
      </c>
      <c r="V70" s="108" t="s">
        <v>376</v>
      </c>
      <c r="W70" s="1058">
        <f>('Variante données'!$F$34*Y63)+('Variante données'!$F$34*Y67)+Y68</f>
        <v>147.1212121212121</v>
      </c>
      <c r="X70" s="108" t="s">
        <v>59</v>
      </c>
      <c r="Y70" s="1059">
        <f>SUM(Y59:Y69)</f>
        <v>509.07575757575756</v>
      </c>
      <c r="Z70" s="45"/>
      <c r="AA70" s="52">
        <f>SUM(AA67:AA69)</f>
        <v>6939.204545454545</v>
      </c>
      <c r="AB70" s="730">
        <f>AA70/$AA$76</f>
        <v>0.2432777908669021</v>
      </c>
      <c r="AC70" s="108" t="s">
        <v>376</v>
      </c>
      <c r="AD70" s="1058">
        <f>('Variante données'!$F$34*AF63)+('Variante données'!$F$34*AF67)+AF68</f>
        <v>191.96969696969697</v>
      </c>
      <c r="AE70" s="108" t="s">
        <v>59</v>
      </c>
      <c r="AF70" s="1059">
        <f>SUM(AF59:AF69)</f>
        <v>597.10606060606062</v>
      </c>
      <c r="AG70" s="45"/>
      <c r="AH70" s="52">
        <f>SUM(AH67:AH69)</f>
        <v>9154.886363636364</v>
      </c>
      <c r="AI70" s="730">
        <f>AH70/$AH$76</f>
        <v>0.29374880219215976</v>
      </c>
      <c r="AJ70" s="108" t="s">
        <v>376</v>
      </c>
      <c r="AK70" s="1058">
        <f>('Variante données'!$F$34*AM63)+('Variante données'!$F$34*AM67)+AM68</f>
        <v>236.81818181818181</v>
      </c>
      <c r="AL70" s="108" t="s">
        <v>59</v>
      </c>
      <c r="AM70" s="1059">
        <f>SUM(AM59:AM69)</f>
        <v>685.13636363636363</v>
      </c>
      <c r="AN70" s="45"/>
      <c r="AO70" s="52">
        <f>SUM(AO67:AO69)</f>
        <v>11370.568181818182</v>
      </c>
      <c r="AP70" s="730">
        <f>AO70/$AO$76</f>
        <v>0.33727863631656602</v>
      </c>
      <c r="AQ70" s="108" t="s">
        <v>376</v>
      </c>
      <c r="AR70" s="1058">
        <f>('Variante données'!$F$34*AT63)+('Variante données'!$F$34*AT67)+AT68</f>
        <v>236.81818181818181</v>
      </c>
      <c r="AS70" s="108" t="s">
        <v>59</v>
      </c>
      <c r="AT70" s="1059">
        <f>SUM(AT59:AT69)</f>
        <v>685.13636363636363</v>
      </c>
      <c r="AU70" s="45"/>
      <c r="AV70" s="52">
        <f>SUM(AV67:AV69)</f>
        <v>11370.568181818182</v>
      </c>
      <c r="AW70" s="730">
        <f>AV70/$AV$76</f>
        <v>0.3384460339431955</v>
      </c>
      <c r="AX70" s="108" t="s">
        <v>376</v>
      </c>
      <c r="AY70" s="1058">
        <f>('Variante données'!$F$34*BA63)+('Variante données'!$F$34*BA67)+BA68</f>
        <v>236.81818181818181</v>
      </c>
      <c r="AZ70" s="108" t="s">
        <v>59</v>
      </c>
      <c r="BA70" s="1059">
        <f>SUM(BA59:BA69)</f>
        <v>685.13636363636363</v>
      </c>
      <c r="BB70" s="45"/>
      <c r="BC70" s="52">
        <f>SUM(BC67:BC69)</f>
        <v>11370.568181818182</v>
      </c>
      <c r="BD70" s="730">
        <f>BC70/$BC$76</f>
        <v>0.33963923566086174</v>
      </c>
      <c r="BE70" s="108" t="s">
        <v>376</v>
      </c>
      <c r="BF70" s="1058">
        <f>('Variante données'!$F$34*BH63)+('Variante données'!$F$34*BH67)+BH68</f>
        <v>236.81818181818181</v>
      </c>
      <c r="BG70" s="108" t="s">
        <v>59</v>
      </c>
      <c r="BH70" s="1059">
        <f>SUM(BH59:BH69)</f>
        <v>685.13636363636363</v>
      </c>
      <c r="BI70" s="45"/>
      <c r="BJ70" s="52">
        <f>SUM(BJ67:BJ69)</f>
        <v>11370.568181818182</v>
      </c>
      <c r="BK70" s="730">
        <f>BJ70/$BJ$76</f>
        <v>0.34085896988603664</v>
      </c>
      <c r="BL70" s="108" t="s">
        <v>376</v>
      </c>
      <c r="BM70" s="1058">
        <f>('Variante données'!$F$34*BO63)+('Variante données'!$F$34*BO67)+BO68</f>
        <v>236.81818181818181</v>
      </c>
      <c r="BN70" s="108" t="s">
        <v>59</v>
      </c>
      <c r="BO70" s="1059">
        <f>SUM(BO59:BO69)</f>
        <v>685.13636363636363</v>
      </c>
      <c r="BP70" s="45"/>
      <c r="BQ70" s="52">
        <f>SUM(BQ67:BQ69)</f>
        <v>11370.568181818182</v>
      </c>
      <c r="BR70" s="730">
        <f>BQ70/$BQ$76</f>
        <v>0.34210599177910034</v>
      </c>
      <c r="BS70" s="108" t="s">
        <v>376</v>
      </c>
      <c r="BT70" s="1058">
        <f>('Variante données'!$F$34*BV63)+('Variante données'!$F$34*BV67)+BV68</f>
        <v>236.81818181818181</v>
      </c>
      <c r="BU70" s="108" t="s">
        <v>59</v>
      </c>
      <c r="BV70" s="1059">
        <f>SUM(BV59:BV69)</f>
        <v>685.13636363636363</v>
      </c>
      <c r="BW70" s="45"/>
      <c r="BX70" s="52">
        <f>SUM(BX67:BX69)</f>
        <v>11370.568181818182</v>
      </c>
      <c r="BY70" s="730">
        <f>BX70/$BX$76</f>
        <v>0.34314675729652599</v>
      </c>
      <c r="BZ70" s="108" t="s">
        <v>376</v>
      </c>
      <c r="CA70" s="1058">
        <f>('Variante données'!$F$34*CC63)+('Variante données'!$F$34*CC67)+CC68</f>
        <v>236.81818181818181</v>
      </c>
      <c r="CB70" s="108" t="s">
        <v>59</v>
      </c>
      <c r="CC70" s="1059">
        <f>SUM(CC59:CC69)</f>
        <v>685.13636363636363</v>
      </c>
      <c r="CD70" s="45"/>
      <c r="CE70" s="52">
        <f>SUM(CE67:CE69)</f>
        <v>11370.568181818182</v>
      </c>
      <c r="CF70" s="730">
        <f>CE70/$CE$76</f>
        <v>0.3442096300469667</v>
      </c>
      <c r="CG70" s="108" t="s">
        <v>376</v>
      </c>
      <c r="CH70" s="1058">
        <f>('Variante données'!$F$34*CJ63)+('Variante données'!$F$34*CJ67)+CJ68</f>
        <v>236.81818181818181</v>
      </c>
      <c r="CI70" s="108" t="s">
        <v>59</v>
      </c>
      <c r="CJ70" s="1059">
        <f>SUM(CJ59:CJ69)</f>
        <v>685.13636363636363</v>
      </c>
      <c r="CK70" s="45"/>
      <c r="CL70" s="52">
        <f>SUM(CL67:CL69)</f>
        <v>11370.568181818182</v>
      </c>
      <c r="CM70" s="730">
        <f>CL70/$CL$76</f>
        <v>0.34529520035846711</v>
      </c>
      <c r="CN70" s="108" t="s">
        <v>376</v>
      </c>
      <c r="CO70" s="1058">
        <f>('Variante données'!$F$34*CQ63)+('Variante données'!$F$34*CQ67)+CQ68</f>
        <v>236.81818181818181</v>
      </c>
      <c r="CP70" s="108" t="s">
        <v>59</v>
      </c>
      <c r="CQ70" s="1059">
        <f>SUM(CQ59:CQ69)</f>
        <v>685.13636363636363</v>
      </c>
      <c r="CR70" s="45"/>
      <c r="CS70" s="52">
        <f>SUM(CS67:CS69)</f>
        <v>11370.568181818182</v>
      </c>
      <c r="CT70" s="730">
        <f>CS70/$CS$76</f>
        <v>0.34616560913475453</v>
      </c>
      <c r="CU70" s="108" t="s">
        <v>376</v>
      </c>
      <c r="CV70" s="1058">
        <f>('Variante données'!$F$34*CX63)+('Variante données'!$F$34*CX67)+CX68</f>
        <v>236.81818181818181</v>
      </c>
      <c r="CW70" s="108" t="s">
        <v>59</v>
      </c>
      <c r="CX70" s="1059">
        <f>SUM(CX59:CX69)</f>
        <v>685.13636363636363</v>
      </c>
      <c r="CY70" s="45"/>
      <c r="CZ70" s="52">
        <f>SUM(CZ67:CZ69)</f>
        <v>11370.568181818182</v>
      </c>
      <c r="DA70" s="730">
        <f>CZ70/$CZ$76</f>
        <v>0.28959898161443992</v>
      </c>
    </row>
    <row r="71" spans="1:110" s="1" customFormat="1" ht="13" x14ac:dyDescent="0.3">
      <c r="A71" s="751"/>
      <c r="B71" s="760"/>
      <c r="C71" s="751"/>
      <c r="D71" s="761"/>
      <c r="E71" s="42"/>
      <c r="F71" s="80"/>
      <c r="G71" s="733"/>
      <c r="H71" s="751"/>
      <c r="I71" s="760"/>
      <c r="J71" s="751"/>
      <c r="K71" s="761"/>
      <c r="L71" s="42"/>
      <c r="M71" s="80"/>
      <c r="N71" s="733"/>
      <c r="O71" s="751"/>
      <c r="P71" s="760"/>
      <c r="Q71" s="751"/>
      <c r="R71" s="761"/>
      <c r="S71" s="42"/>
      <c r="T71" s="80"/>
      <c r="U71" s="733"/>
      <c r="V71" s="751"/>
      <c r="W71" s="760"/>
      <c r="X71" s="751"/>
      <c r="Y71" s="761"/>
      <c r="Z71" s="42"/>
      <c r="AA71" s="80"/>
      <c r="AB71" s="733"/>
      <c r="AC71" s="751"/>
      <c r="AD71" s="760"/>
      <c r="AE71" s="751"/>
      <c r="AF71" s="761"/>
      <c r="AG71" s="42"/>
      <c r="AH71" s="80"/>
      <c r="AI71" s="733"/>
      <c r="AJ71" s="751"/>
      <c r="AK71" s="760"/>
      <c r="AL71" s="751"/>
      <c r="AM71" s="761"/>
      <c r="AN71" s="42"/>
      <c r="AO71" s="80"/>
      <c r="AP71" s="733"/>
      <c r="AQ71" s="751"/>
      <c r="AR71" s="760"/>
      <c r="AS71" s="751"/>
      <c r="AT71" s="761"/>
      <c r="AU71" s="42"/>
      <c r="AV71" s="80"/>
      <c r="AW71" s="733"/>
      <c r="AX71" s="751"/>
      <c r="AY71" s="760"/>
      <c r="AZ71" s="751"/>
      <c r="BA71" s="761"/>
      <c r="BB71" s="42"/>
      <c r="BC71" s="80"/>
      <c r="BD71" s="733"/>
      <c r="BE71" s="751"/>
      <c r="BF71" s="760"/>
      <c r="BG71" s="751"/>
      <c r="BH71" s="761"/>
      <c r="BI71" s="42"/>
      <c r="BJ71" s="80"/>
      <c r="BK71" s="733"/>
      <c r="BL71" s="751"/>
      <c r="BM71" s="760"/>
      <c r="BN71" s="751"/>
      <c r="BO71" s="761"/>
      <c r="BP71" s="42"/>
      <c r="BQ71" s="80"/>
      <c r="BR71" s="733"/>
      <c r="BS71" s="751"/>
      <c r="BT71" s="760"/>
      <c r="BU71" s="751"/>
      <c r="BV71" s="761"/>
      <c r="BW71" s="42"/>
      <c r="BX71" s="80"/>
      <c r="BY71" s="733"/>
      <c r="BZ71" s="751"/>
      <c r="CA71" s="760"/>
      <c r="CB71" s="751"/>
      <c r="CC71" s="761"/>
      <c r="CD71" s="42"/>
      <c r="CE71" s="80"/>
      <c r="CF71" s="733"/>
      <c r="CG71" s="751"/>
      <c r="CH71" s="760"/>
      <c r="CI71" s="751"/>
      <c r="CJ71" s="761"/>
      <c r="CK71" s="42"/>
      <c r="CL71" s="80"/>
      <c r="CM71" s="733"/>
      <c r="CN71" s="751"/>
      <c r="CO71" s="760"/>
      <c r="CP71" s="751"/>
      <c r="CQ71" s="761"/>
      <c r="CR71" s="42"/>
      <c r="CS71" s="80"/>
      <c r="CT71" s="733"/>
      <c r="CU71" s="751"/>
      <c r="CV71" s="760"/>
      <c r="CW71" s="751"/>
      <c r="CX71" s="761"/>
      <c r="CY71" s="42"/>
      <c r="CZ71" s="80"/>
      <c r="DA71" s="733"/>
    </row>
    <row r="72" spans="1:110" s="1" customFormat="1" ht="18" customHeight="1" x14ac:dyDescent="0.3">
      <c r="A72" s="38" t="s">
        <v>377</v>
      </c>
      <c r="B72" s="39" t="s">
        <v>144</v>
      </c>
      <c r="C72" s="41"/>
      <c r="D72" s="41"/>
      <c r="E72" s="42"/>
      <c r="F72" s="43">
        <f>'Variante données'!$C$42</f>
        <v>660</v>
      </c>
      <c r="G72" s="733">
        <f>F72/$F$76</f>
        <v>5.6307796197974658E-2</v>
      </c>
      <c r="H72" s="38" t="s">
        <v>377</v>
      </c>
      <c r="I72" s="39" t="s">
        <v>144</v>
      </c>
      <c r="J72" s="41"/>
      <c r="K72" s="41"/>
      <c r="L72" s="42"/>
      <c r="M72" s="43">
        <f>'Variante données'!$C$42</f>
        <v>660</v>
      </c>
      <c r="N72" s="733">
        <f>M72/$M$76</f>
        <v>4.7462134019988396E-2</v>
      </c>
      <c r="O72" s="38" t="s">
        <v>377</v>
      </c>
      <c r="P72" s="39" t="s">
        <v>144</v>
      </c>
      <c r="Q72" s="41"/>
      <c r="R72" s="41"/>
      <c r="S72" s="42"/>
      <c r="T72" s="43">
        <f>'Variante données'!$C$42</f>
        <v>660</v>
      </c>
      <c r="U72" s="733">
        <f>T72/$T$76</f>
        <v>2.5156093008009642E-2</v>
      </c>
      <c r="V72" s="38" t="s">
        <v>377</v>
      </c>
      <c r="W72" s="39" t="s">
        <v>144</v>
      </c>
      <c r="X72" s="41"/>
      <c r="Y72" s="41"/>
      <c r="Z72" s="42"/>
      <c r="AA72" s="43">
        <f>'Variante données'!$C$42</f>
        <v>660</v>
      </c>
      <c r="AB72" s="733">
        <f>AA72/$AA$76</f>
        <v>2.3138580354621591E-2</v>
      </c>
      <c r="AC72" s="38" t="s">
        <v>377</v>
      </c>
      <c r="AD72" s="39" t="s">
        <v>144</v>
      </c>
      <c r="AE72" s="41"/>
      <c r="AF72" s="41"/>
      <c r="AG72" s="42"/>
      <c r="AH72" s="43">
        <f>'Variante données'!$C$42</f>
        <v>660</v>
      </c>
      <c r="AI72" s="733">
        <f>AH72/$AH$76</f>
        <v>2.1177128993856532E-2</v>
      </c>
      <c r="AJ72" s="38" t="s">
        <v>377</v>
      </c>
      <c r="AK72" s="39" t="s">
        <v>144</v>
      </c>
      <c r="AL72" s="41"/>
      <c r="AM72" s="41"/>
      <c r="AN72" s="42"/>
      <c r="AO72" s="43">
        <f>'Variante données'!$C$42</f>
        <v>660</v>
      </c>
      <c r="AP72" s="733">
        <f>AO72/$AO$76</f>
        <v>1.9577201104592355E-2</v>
      </c>
      <c r="AQ72" s="38" t="s">
        <v>377</v>
      </c>
      <c r="AR72" s="39" t="s">
        <v>144</v>
      </c>
      <c r="AS72" s="41"/>
      <c r="AT72" s="41"/>
      <c r="AU72" s="42"/>
      <c r="AV72" s="43">
        <f>'Variante données'!$C$42</f>
        <v>660</v>
      </c>
      <c r="AW72" s="733">
        <f>AV72/$AV$76</f>
        <v>1.9644962224463873E-2</v>
      </c>
      <c r="AX72" s="38" t="s">
        <v>377</v>
      </c>
      <c r="AY72" s="39" t="s">
        <v>144</v>
      </c>
      <c r="AZ72" s="41"/>
      <c r="BA72" s="41"/>
      <c r="BB72" s="42"/>
      <c r="BC72" s="43">
        <f>'Variante données'!$C$42</f>
        <v>660</v>
      </c>
      <c r="BD72" s="733">
        <f>BC72/$BC$76</f>
        <v>1.971422113229215E-2</v>
      </c>
      <c r="BE72" s="38" t="s">
        <v>377</v>
      </c>
      <c r="BF72" s="39" t="s">
        <v>144</v>
      </c>
      <c r="BG72" s="41"/>
      <c r="BH72" s="41"/>
      <c r="BI72" s="42"/>
      <c r="BJ72" s="43">
        <f>'Variante données'!$C$42</f>
        <v>660</v>
      </c>
      <c r="BK72" s="733">
        <f>BJ72/$BJ$76</f>
        <v>1.978502010871469E-2</v>
      </c>
      <c r="BL72" s="38" t="s">
        <v>377</v>
      </c>
      <c r="BM72" s="39" t="s">
        <v>144</v>
      </c>
      <c r="BN72" s="41"/>
      <c r="BO72" s="41"/>
      <c r="BP72" s="42"/>
      <c r="BQ72" s="43">
        <f>'Variante données'!$C$42</f>
        <v>660</v>
      </c>
      <c r="BR72" s="733">
        <f>BQ72/$BQ$76</f>
        <v>1.9857402986708256E-2</v>
      </c>
      <c r="BS72" s="38" t="s">
        <v>377</v>
      </c>
      <c r="BT72" s="39" t="s">
        <v>144</v>
      </c>
      <c r="BU72" s="41"/>
      <c r="BV72" s="41"/>
      <c r="BW72" s="42"/>
      <c r="BX72" s="43">
        <f>'Variante données'!$C$42</f>
        <v>660</v>
      </c>
      <c r="BY72" s="733">
        <f>BX72/$BX$76</f>
        <v>1.9917813797365836E-2</v>
      </c>
      <c r="BZ72" s="38" t="s">
        <v>377</v>
      </c>
      <c r="CA72" s="39" t="s">
        <v>144</v>
      </c>
      <c r="CB72" s="41"/>
      <c r="CC72" s="41"/>
      <c r="CD72" s="42"/>
      <c r="CE72" s="43">
        <f>'Variante données'!$C$42</f>
        <v>660</v>
      </c>
      <c r="CF72" s="733">
        <f>CE72/$CE$76</f>
        <v>1.9979507813361677E-2</v>
      </c>
      <c r="CG72" s="38" t="s">
        <v>377</v>
      </c>
      <c r="CH72" s="39" t="s">
        <v>144</v>
      </c>
      <c r="CI72" s="41"/>
      <c r="CJ72" s="41"/>
      <c r="CK72" s="42"/>
      <c r="CL72" s="43">
        <f>'Variante données'!$C$42</f>
        <v>660</v>
      </c>
      <c r="CM72" s="733">
        <f>CL72/$CL$76</f>
        <v>2.0042519300046743E-2</v>
      </c>
      <c r="CN72" s="38" t="s">
        <v>377</v>
      </c>
      <c r="CO72" s="39" t="s">
        <v>144</v>
      </c>
      <c r="CP72" s="41"/>
      <c r="CQ72" s="41"/>
      <c r="CR72" s="42"/>
      <c r="CS72" s="43">
        <f>'Variante données'!$C$42</f>
        <v>660</v>
      </c>
      <c r="CT72" s="733">
        <f>CS72/$CS$76</f>
        <v>2.009304182303449E-2</v>
      </c>
      <c r="CU72" s="38" t="s">
        <v>377</v>
      </c>
      <c r="CV72" s="39" t="s">
        <v>144</v>
      </c>
      <c r="CW72" s="41"/>
      <c r="CX72" s="41"/>
      <c r="CY72" s="42"/>
      <c r="CZ72" s="43">
        <f>'Variante données'!$C$42</f>
        <v>660</v>
      </c>
      <c r="DA72" s="733">
        <f>CZ72/$CZ$76</f>
        <v>1.6809654962639458E-2</v>
      </c>
    </row>
    <row r="73" spans="1:110" s="1" customFormat="1" ht="13" thickBot="1" x14ac:dyDescent="0.3">
      <c r="A73" s="18"/>
      <c r="B73" s="18" t="s">
        <v>386</v>
      </c>
      <c r="C73" s="1060">
        <f>'Variante données'!$C$41</f>
        <v>0.6</v>
      </c>
      <c r="D73" s="763">
        <f>'Variante données'!$C$40</f>
        <v>2.5000000000000001E-2</v>
      </c>
      <c r="E73" s="148">
        <f>(F79)*(-1)</f>
        <v>59539.32327272727</v>
      </c>
      <c r="F73" s="582">
        <f>D73*E73*C73</f>
        <v>893.08984909090907</v>
      </c>
      <c r="G73" s="733">
        <f>F73/$F$76</f>
        <v>7.6193820013774019E-2</v>
      </c>
      <c r="H73" s="18"/>
      <c r="I73" s="18" t="s">
        <v>386</v>
      </c>
      <c r="J73" s="1060">
        <f>'Variante données'!$C$41</f>
        <v>0.6</v>
      </c>
      <c r="K73" s="763">
        <f>'Variante données'!$C$40</f>
        <v>2.5000000000000001E-2</v>
      </c>
      <c r="L73" s="148">
        <f>(M79)*(-1)</f>
        <v>70160.613121818184</v>
      </c>
      <c r="M73" s="582">
        <f>K73*L73*J73</f>
        <v>1052.4091968272728</v>
      </c>
      <c r="N73" s="733">
        <f>M73/$M$76</f>
        <v>7.5681191429824796E-2</v>
      </c>
      <c r="O73" s="18"/>
      <c r="P73" s="18" t="s">
        <v>386</v>
      </c>
      <c r="Q73" s="1060">
        <f>'Variante données'!$C$41</f>
        <v>0.6</v>
      </c>
      <c r="R73" s="763">
        <f>'Variante données'!$C$40</f>
        <v>2.5000000000000001E-2</v>
      </c>
      <c r="S73" s="148">
        <f>(T79)*(-1)</f>
        <v>78481.435386827274</v>
      </c>
      <c r="T73" s="582">
        <f>R73*S73*Q73</f>
        <v>1177.2215308024092</v>
      </c>
      <c r="U73" s="733">
        <f>T73/$T$76</f>
        <v>4.4870142908934686E-2</v>
      </c>
      <c r="V73" s="18"/>
      <c r="W73" s="18" t="s">
        <v>386</v>
      </c>
      <c r="X73" s="1060">
        <f>'Variante données'!$C$41</f>
        <v>0.6</v>
      </c>
      <c r="Y73" s="763">
        <f>'Variante données'!$C$40</f>
        <v>2.5000000000000001E-2</v>
      </c>
      <c r="Z73" s="148">
        <f>(AA79)*(-1)</f>
        <v>87471.623963084232</v>
      </c>
      <c r="AA73" s="582">
        <f>Y73*Z73*X73</f>
        <v>1312.0743594462635</v>
      </c>
      <c r="AB73" s="733">
        <f>AA73/$AA$76</f>
        <v>4.5999299995887907E-2</v>
      </c>
      <c r="AC73" s="18"/>
      <c r="AD73" s="18" t="s">
        <v>386</v>
      </c>
      <c r="AE73" s="1060">
        <f>'Variante données'!$C$41</f>
        <v>0.6</v>
      </c>
      <c r="AF73" s="763">
        <f>'Variante données'!$C$40</f>
        <v>2.5000000000000001E-2</v>
      </c>
      <c r="AG73" s="148">
        <f>(AH79)*(-1)</f>
        <v>92470.413663439584</v>
      </c>
      <c r="AH73" s="582">
        <f>AF73*AG73*AE73</f>
        <v>1387.0562049515938</v>
      </c>
      <c r="AI73" s="733">
        <f>AH73/$AH$76</f>
        <v>4.4505860869680308E-2</v>
      </c>
      <c r="AJ73" s="18"/>
      <c r="AK73" s="18" t="s">
        <v>386</v>
      </c>
      <c r="AL73" s="1060">
        <f>'Variante données'!$C$41</f>
        <v>0.6</v>
      </c>
      <c r="AM73" s="763">
        <f>'Variante données'!$C$40</f>
        <v>2.5000000000000001E-2</v>
      </c>
      <c r="AN73" s="148">
        <f>(AO79)*(-1)</f>
        <v>91141.1113456639</v>
      </c>
      <c r="AO73" s="582">
        <f>AM73*AN73*AL73</f>
        <v>1367.1166701849586</v>
      </c>
      <c r="AP73" s="733">
        <f>AO73/$AO$76</f>
        <v>4.0551996947956956E-2</v>
      </c>
      <c r="AQ73" s="18"/>
      <c r="AR73" s="18" t="s">
        <v>386</v>
      </c>
      <c r="AS73" s="1060">
        <f>'Variante données'!$C$41</f>
        <v>0.6</v>
      </c>
      <c r="AT73" s="763">
        <f>'Variante données'!$C$40</f>
        <v>2.5000000000000001E-2</v>
      </c>
      <c r="AU73" s="148">
        <f>(AV79)*(-1)</f>
        <v>83388.795629485219</v>
      </c>
      <c r="AV73" s="582">
        <f>AT73*AU73*AS73</f>
        <v>1250.8319344422785</v>
      </c>
      <c r="AW73" s="733">
        <f>AV73/$AV$76</f>
        <v>3.7231130456472167E-2</v>
      </c>
      <c r="AX73" s="18"/>
      <c r="AY73" s="18" t="s">
        <v>386</v>
      </c>
      <c r="AZ73" s="1060">
        <f>'Variante données'!$C$41</f>
        <v>0.6</v>
      </c>
      <c r="BA73" s="763">
        <f>'Variante données'!$C$40</f>
        <v>2.5000000000000001E-2</v>
      </c>
      <c r="BB73" s="148">
        <f>(BC79)*(-1)</f>
        <v>75520.195177563859</v>
      </c>
      <c r="BC73" s="582">
        <f>BA73*BB73*AZ73</f>
        <v>1132.8029276634579</v>
      </c>
      <c r="BD73" s="733">
        <f>BC73/$BC$76</f>
        <v>3.3836859720099026E-2</v>
      </c>
      <c r="BE73" s="18"/>
      <c r="BF73" s="18" t="s">
        <v>386</v>
      </c>
      <c r="BG73" s="1060">
        <f>'Variante données'!$C$41</f>
        <v>0.6</v>
      </c>
      <c r="BH73" s="763">
        <f>'Variante données'!$C$40</f>
        <v>2.5000000000000001E-2</v>
      </c>
      <c r="BI73" s="148">
        <f>(BJ79)*(-1)</f>
        <v>67533.565718863683</v>
      </c>
      <c r="BJ73" s="582">
        <f>BH73*BI73*BG73</f>
        <v>1013.0034857829552</v>
      </c>
      <c r="BK73" s="733">
        <f>BJ73/$BJ$76</f>
        <v>3.0367112630930067E-2</v>
      </c>
      <c r="BL73" s="18"/>
      <c r="BM73" s="18" t="s">
        <v>386</v>
      </c>
      <c r="BN73" s="1060">
        <f>'Variante données'!$C$41</f>
        <v>0.6</v>
      </c>
      <c r="BO73" s="763">
        <f>'Variante données'!$C$40</f>
        <v>2.5000000000000001E-2</v>
      </c>
      <c r="BP73" s="148">
        <f>(BQ79)*(-1)</f>
        <v>59427.136818283005</v>
      </c>
      <c r="BQ73" s="582">
        <f>BO73*BP73*BN73</f>
        <v>891.40705227424507</v>
      </c>
      <c r="BR73" s="733">
        <f>BQ73/$BQ$76</f>
        <v>2.681974100333848E-2</v>
      </c>
      <c r="BS73" s="18"/>
      <c r="BT73" s="18" t="s">
        <v>386</v>
      </c>
      <c r="BU73" s="1060">
        <f>'Variante données'!$C$41</f>
        <v>0.6</v>
      </c>
      <c r="BV73" s="763">
        <f>'Variante données'!$C$40</f>
        <v>2.5000000000000001E-2</v>
      </c>
      <c r="BW73" s="148">
        <f>(BX79)*(-1)</f>
        <v>52706.611484193621</v>
      </c>
      <c r="BX73" s="582">
        <f>BV73*BW73*BU73</f>
        <v>790.5991722629044</v>
      </c>
      <c r="BY73" s="733">
        <f>BX73/$BX$76</f>
        <v>2.3859101668915285E-2</v>
      </c>
      <c r="BZ73" s="18"/>
      <c r="CA73" s="18" t="s">
        <v>386</v>
      </c>
      <c r="CB73" s="1060">
        <f>'Variante données'!$C$41</f>
        <v>0.6</v>
      </c>
      <c r="CC73" s="763">
        <f>'Variante données'!$C$40</f>
        <v>2.5000000000000001E-2</v>
      </c>
      <c r="CD73" s="148">
        <f>(CE79)*(-1)</f>
        <v>45885.27827009288</v>
      </c>
      <c r="CE73" s="582">
        <f>CC73*CD73*CB73</f>
        <v>688.27917405139328</v>
      </c>
      <c r="CF73" s="733">
        <f>CE73/$CE$76</f>
        <v>2.0835574448081717E-2</v>
      </c>
      <c r="CG73" s="18"/>
      <c r="CH73" s="18" t="s">
        <v>386</v>
      </c>
      <c r="CI73" s="1060">
        <f>'Variante données'!$C$41</f>
        <v>0.6</v>
      </c>
      <c r="CJ73" s="763">
        <f>'Variante données'!$C$40</f>
        <v>2.5000000000000001E-2</v>
      </c>
      <c r="CK73" s="148">
        <f>(CL79)*(-1)</f>
        <v>38961.625057780635</v>
      </c>
      <c r="CL73" s="582">
        <f>CJ73*CK73*CI73</f>
        <v>584.42437586670951</v>
      </c>
      <c r="CM73" s="733">
        <f>CL73/$CL$76</f>
        <v>1.7747480049585297E-2</v>
      </c>
      <c r="CN73" s="18"/>
      <c r="CO73" s="18" t="s">
        <v>386</v>
      </c>
      <c r="CP73" s="1060">
        <f>'Variante données'!$C$41</f>
        <v>0.6</v>
      </c>
      <c r="CQ73" s="763">
        <f>'Variante données'!$C$40</f>
        <v>2.5000000000000001E-2</v>
      </c>
      <c r="CR73" s="148">
        <f>(CS79)*(-1)</f>
        <v>33441.617047283711</v>
      </c>
      <c r="CS73" s="582">
        <f>CQ73*CR73*CP73</f>
        <v>501.62425570925564</v>
      </c>
      <c r="CT73" s="733">
        <f>CS73/$CS$76</f>
        <v>1.5271450226385791E-2</v>
      </c>
      <c r="CU73" s="18"/>
      <c r="CV73" s="18" t="s">
        <v>386</v>
      </c>
      <c r="CW73" s="1060">
        <f>'Variante données'!$C$41</f>
        <v>0.6</v>
      </c>
      <c r="CX73" s="763">
        <f>'Variante données'!$C$40</f>
        <v>2.5000000000000001E-2</v>
      </c>
      <c r="CY73" s="148">
        <f>(CZ79)*(-1)</f>
        <v>27838.808916629321</v>
      </c>
      <c r="CZ73" s="582">
        <f>CX73*CY73*CW73</f>
        <v>417.58213374943983</v>
      </c>
      <c r="DA73" s="733">
        <f>CZ73/$CZ$76</f>
        <v>1.0635472101349765E-2</v>
      </c>
    </row>
    <row r="74" spans="1:110" s="1" customFormat="1" ht="13" x14ac:dyDescent="0.3">
      <c r="A74" s="18"/>
      <c r="B74" s="18"/>
      <c r="C74" s="762"/>
      <c r="D74" s="763"/>
      <c r="E74" s="290"/>
      <c r="F74" s="82">
        <f>SUM(F72:F73)</f>
        <v>1553.089849090909</v>
      </c>
      <c r="G74" s="730">
        <f>F74/$F$76</f>
        <v>0.13250161621174866</v>
      </c>
      <c r="H74" s="18"/>
      <c r="I74" s="18"/>
      <c r="J74" s="762"/>
      <c r="K74" s="763"/>
      <c r="L74" s="290"/>
      <c r="M74" s="82">
        <f>SUM(M72:M73)</f>
        <v>1712.4091968272728</v>
      </c>
      <c r="N74" s="730">
        <f>M74/$M$76</f>
        <v>0.12314332544981318</v>
      </c>
      <c r="O74" s="18"/>
      <c r="P74" s="18"/>
      <c r="Q74" s="762"/>
      <c r="R74" s="763"/>
      <c r="S74" s="290"/>
      <c r="T74" s="82">
        <f>SUM(T72:T73)</f>
        <v>1837.2215308024092</v>
      </c>
      <c r="U74" s="730">
        <f>T74/$T$76</f>
        <v>7.0026235916944332E-2</v>
      </c>
      <c r="V74" s="18"/>
      <c r="W74" s="18"/>
      <c r="X74" s="762"/>
      <c r="Y74" s="763"/>
      <c r="Z74" s="290"/>
      <c r="AA74" s="82">
        <f>SUM(AA72:AA73)</f>
        <v>1972.0743594462635</v>
      </c>
      <c r="AB74" s="730">
        <f>AA74/$AA$76</f>
        <v>6.9137880350509495E-2</v>
      </c>
      <c r="AC74" s="18"/>
      <c r="AD74" s="18"/>
      <c r="AE74" s="762"/>
      <c r="AF74" s="763"/>
      <c r="AG74" s="290"/>
      <c r="AH74" s="82">
        <f>SUM(AH72:AH73)</f>
        <v>2047.0562049515938</v>
      </c>
      <c r="AI74" s="730">
        <f>AH74/$AH$76</f>
        <v>6.5682989863536836E-2</v>
      </c>
      <c r="AJ74" s="18"/>
      <c r="AK74" s="18"/>
      <c r="AL74" s="762"/>
      <c r="AM74" s="763"/>
      <c r="AN74" s="290"/>
      <c r="AO74" s="82">
        <f>SUM(AO72:AO73)</f>
        <v>2027.1166701849586</v>
      </c>
      <c r="AP74" s="730">
        <f>AO74/$AO$76</f>
        <v>6.0129198052549307E-2</v>
      </c>
      <c r="AQ74" s="18"/>
      <c r="AR74" s="18"/>
      <c r="AS74" s="762"/>
      <c r="AT74" s="763"/>
      <c r="AU74" s="290"/>
      <c r="AV74" s="82">
        <f>SUM(AV72:AV73)</f>
        <v>1910.8319344422785</v>
      </c>
      <c r="AW74" s="730">
        <f>AV74/$AV$76</f>
        <v>5.687609268093604E-2</v>
      </c>
      <c r="AX74" s="18"/>
      <c r="AY74" s="18"/>
      <c r="AZ74" s="762"/>
      <c r="BA74" s="763"/>
      <c r="BB74" s="290"/>
      <c r="BC74" s="82">
        <f>SUM(BC72:BC73)</f>
        <v>1792.8029276634579</v>
      </c>
      <c r="BD74" s="730">
        <f>BC74/$BC$76</f>
        <v>5.3551080852391179E-2</v>
      </c>
      <c r="BE74" s="18"/>
      <c r="BF74" s="18"/>
      <c r="BG74" s="762"/>
      <c r="BH74" s="763"/>
      <c r="BI74" s="290"/>
      <c r="BJ74" s="82">
        <f>SUM(BJ72:BJ73)</f>
        <v>1673.0034857829551</v>
      </c>
      <c r="BK74" s="730">
        <f>BJ74/$BJ$76</f>
        <v>5.0152132739644757E-2</v>
      </c>
      <c r="BL74" s="18"/>
      <c r="BM74" s="18"/>
      <c r="BN74" s="762"/>
      <c r="BO74" s="763"/>
      <c r="BP74" s="290"/>
      <c r="BQ74" s="82">
        <f>SUM(BQ72:BQ73)</f>
        <v>1551.407052274245</v>
      </c>
      <c r="BR74" s="730">
        <f>BQ74/$BQ$76</f>
        <v>4.6677143990046736E-2</v>
      </c>
      <c r="BS74" s="18"/>
      <c r="BT74" s="18"/>
      <c r="BU74" s="762"/>
      <c r="BV74" s="763"/>
      <c r="BW74" s="290"/>
      <c r="BX74" s="82">
        <f>SUM(BX72:BX73)</f>
        <v>1450.5991722629044</v>
      </c>
      <c r="BY74" s="730">
        <f>BX74/$BX$76</f>
        <v>4.3776915466281124E-2</v>
      </c>
      <c r="BZ74" s="18"/>
      <c r="CA74" s="18"/>
      <c r="CB74" s="762"/>
      <c r="CC74" s="763"/>
      <c r="CD74" s="290"/>
      <c r="CE74" s="82">
        <f>SUM(CE72:CE73)</f>
        <v>1348.2791740513933</v>
      </c>
      <c r="CF74" s="730">
        <f>CE74/$CE$76</f>
        <v>4.081508226144339E-2</v>
      </c>
      <c r="CG74" s="18"/>
      <c r="CH74" s="18"/>
      <c r="CI74" s="762"/>
      <c r="CJ74" s="763"/>
      <c r="CK74" s="290"/>
      <c r="CL74" s="82">
        <f>SUM(CL72:CL73)</f>
        <v>1244.4243758667094</v>
      </c>
      <c r="CM74" s="730">
        <f>CL74/$CL$76</f>
        <v>3.7789999349632036E-2</v>
      </c>
      <c r="CN74" s="18"/>
      <c r="CO74" s="18"/>
      <c r="CP74" s="762"/>
      <c r="CQ74" s="763"/>
      <c r="CR74" s="290"/>
      <c r="CS74" s="82">
        <f>SUM(CS72:CS73)</f>
        <v>1161.6242557092555</v>
      </c>
      <c r="CT74" s="730">
        <f>CS74/$CS$76</f>
        <v>3.5364492049420278E-2</v>
      </c>
      <c r="CU74" s="18"/>
      <c r="CV74" s="18"/>
      <c r="CW74" s="762"/>
      <c r="CX74" s="763"/>
      <c r="CY74" s="290"/>
      <c r="CZ74" s="82">
        <f>SUM(CZ72:CZ73)</f>
        <v>1077.5821337494399</v>
      </c>
      <c r="DA74" s="730">
        <f>CZ74/$CZ$76</f>
        <v>2.7445127063989227E-2</v>
      </c>
    </row>
    <row r="75" spans="1:110" s="16" customFormat="1" ht="15.5" x14ac:dyDescent="0.35">
      <c r="A75" s="592" t="s">
        <v>158</v>
      </c>
      <c r="B75" s="600"/>
      <c r="C75" s="617"/>
      <c r="D75" s="601"/>
      <c r="E75" s="602"/>
      <c r="F75" s="676">
        <f>F42+F57+F66+F70+F74</f>
        <v>8679.2898490909083</v>
      </c>
      <c r="G75" s="735">
        <f>F75/$F$76</f>
        <v>0.74047224843297133</v>
      </c>
      <c r="H75" s="592" t="s">
        <v>158</v>
      </c>
      <c r="I75" s="600"/>
      <c r="J75" s="617"/>
      <c r="K75" s="601"/>
      <c r="L75" s="602"/>
      <c r="M75" s="676">
        <f>M74+M70+M57+M42+M66</f>
        <v>10711.07226500909</v>
      </c>
      <c r="N75" s="735">
        <f>M75/$M$76</f>
        <v>0.77025810202976075</v>
      </c>
      <c r="O75" s="592" t="s">
        <v>158</v>
      </c>
      <c r="P75" s="600"/>
      <c r="Q75" s="617"/>
      <c r="R75" s="601"/>
      <c r="S75" s="602"/>
      <c r="T75" s="676">
        <f>T74+T70+T57+T42+T66</f>
        <v>18702.988576256954</v>
      </c>
      <c r="U75" s="735">
        <f>T75/$T$76</f>
        <v>0.71286987901827537</v>
      </c>
      <c r="V75" s="592" t="s">
        <v>158</v>
      </c>
      <c r="W75" s="600"/>
      <c r="X75" s="617"/>
      <c r="Y75" s="601"/>
      <c r="Z75" s="602"/>
      <c r="AA75" s="676">
        <f>AA74+AA70+AA57+AA42+AA66</f>
        <v>20920.789700355352</v>
      </c>
      <c r="AB75" s="735">
        <f>AA75/$AA$76</f>
        <v>0.73345056600577585</v>
      </c>
      <c r="AC75" s="592" t="s">
        <v>158</v>
      </c>
      <c r="AD75" s="600"/>
      <c r="AE75" s="617"/>
      <c r="AF75" s="601"/>
      <c r="AG75" s="602"/>
      <c r="AH75" s="676">
        <f>AH74+AH70+AH57+AH42+AH66</f>
        <v>23553.697682224323</v>
      </c>
      <c r="AI75" s="735">
        <f>AH75/$AH$76</f>
        <v>0.75575711227085463</v>
      </c>
      <c r="AJ75" s="592" t="s">
        <v>158</v>
      </c>
      <c r="AK75" s="600"/>
      <c r="AL75" s="617"/>
      <c r="AM75" s="601"/>
      <c r="AN75" s="602"/>
      <c r="AO75" s="676">
        <f>AO74+AO70+AO57+AO42+AO66</f>
        <v>26091.68428382132</v>
      </c>
      <c r="AP75" s="735">
        <f>AO75/$AO$76</f>
        <v>0.77394265209379043</v>
      </c>
      <c r="AQ75" s="592" t="s">
        <v>158</v>
      </c>
      <c r="AR75" s="600"/>
      <c r="AS75" s="617"/>
      <c r="AT75" s="601"/>
      <c r="AU75" s="602"/>
      <c r="AV75" s="676">
        <f>AV74+AV70+AV57+AV42+AV66</f>
        <v>25975.39954807864</v>
      </c>
      <c r="AW75" s="735">
        <f>AV75/$AV$76</f>
        <v>0.77316021649600131</v>
      </c>
      <c r="AX75" s="592" t="s">
        <v>158</v>
      </c>
      <c r="AY75" s="600"/>
      <c r="AZ75" s="617"/>
      <c r="BA75" s="601"/>
      <c r="BB75" s="602"/>
      <c r="BC75" s="676">
        <f>BC74+BC70+BC57+BC42+BC66</f>
        <v>25857.370541299821</v>
      </c>
      <c r="BD75" s="735">
        <f>BC75/$BC$76</f>
        <v>0.77236048598606277</v>
      </c>
      <c r="BE75" s="592" t="s">
        <v>158</v>
      </c>
      <c r="BF75" s="600"/>
      <c r="BG75" s="617"/>
      <c r="BH75" s="601"/>
      <c r="BI75" s="602"/>
      <c r="BJ75" s="676">
        <f>BJ74+BJ70+BJ57+BJ42+BJ66</f>
        <v>25737.571099419318</v>
      </c>
      <c r="BK75" s="735">
        <f>BJ75/$BJ$76</f>
        <v>0.77154297235073521</v>
      </c>
      <c r="BL75" s="592" t="s">
        <v>158</v>
      </c>
      <c r="BM75" s="600"/>
      <c r="BN75" s="617"/>
      <c r="BO75" s="601"/>
      <c r="BP75" s="602"/>
      <c r="BQ75" s="676">
        <f>BQ74+BQ70+BQ57+BQ42+BQ66</f>
        <v>25615.974665910609</v>
      </c>
      <c r="BR75" s="735">
        <f>BQ75/$BQ$76</f>
        <v>0.77070716945196416</v>
      </c>
      <c r="BS75" s="592" t="s">
        <v>158</v>
      </c>
      <c r="BT75" s="600"/>
      <c r="BU75" s="617"/>
      <c r="BV75" s="601"/>
      <c r="BW75" s="602"/>
      <c r="BX75" s="676">
        <f>BX74+BX70+BX57+BX42+BX66</f>
        <v>25515.166785899266</v>
      </c>
      <c r="BY75" s="735">
        <f>BX75/$BX$76</f>
        <v>0.77000960765193172</v>
      </c>
      <c r="BZ75" s="592" t="s">
        <v>158</v>
      </c>
      <c r="CA75" s="600"/>
      <c r="CB75" s="617"/>
      <c r="CC75" s="601"/>
      <c r="CD75" s="602"/>
      <c r="CE75" s="676">
        <f>CE74+CE70+CE57+CE42+CE66</f>
        <v>25412.846787687755</v>
      </c>
      <c r="CF75" s="735">
        <f>CE75/$CE$76</f>
        <v>0.7692972287187434</v>
      </c>
      <c r="CG75" s="592" t="s">
        <v>158</v>
      </c>
      <c r="CH75" s="600"/>
      <c r="CI75" s="617"/>
      <c r="CJ75" s="601"/>
      <c r="CK75" s="602"/>
      <c r="CL75" s="676">
        <f>CL74+CL70+CL57+CL42+CL66</f>
        <v>25308.991989503073</v>
      </c>
      <c r="CM75" s="735">
        <f>CL75/$CL$76</f>
        <v>0.76856963699142988</v>
      </c>
      <c r="CN75" s="592" t="s">
        <v>158</v>
      </c>
      <c r="CO75" s="600"/>
      <c r="CP75" s="617"/>
      <c r="CQ75" s="601"/>
      <c r="CR75" s="602"/>
      <c r="CS75" s="676">
        <f>CS74+CS70+CS57+CS42+CS66</f>
        <v>25226.191869345617</v>
      </c>
      <c r="CT75" s="735">
        <f>CS75/$CS$76</f>
        <v>0.76798625494947592</v>
      </c>
      <c r="CU75" s="592" t="s">
        <v>158</v>
      </c>
      <c r="CV75" s="600"/>
      <c r="CW75" s="617"/>
      <c r="CX75" s="601"/>
      <c r="CY75" s="602"/>
      <c r="CZ75" s="676">
        <f>CZ74+CZ70+CZ57+CZ42+CZ66</f>
        <v>25142.149747385803</v>
      </c>
      <c r="DA75" s="735">
        <f>CZ75/$CZ$76</f>
        <v>0.64034979132207304</v>
      </c>
    </row>
    <row r="76" spans="1:110" s="302" customFormat="1" ht="20" x14ac:dyDescent="0.4">
      <c r="A76" s="589" t="s">
        <v>378</v>
      </c>
      <c r="B76" s="618"/>
      <c r="C76" s="619"/>
      <c r="D76" s="620"/>
      <c r="E76" s="621"/>
      <c r="F76" s="590">
        <f>F75+F41</f>
        <v>11721.289849090908</v>
      </c>
      <c r="G76" s="322">
        <f>F76/$F$76</f>
        <v>1</v>
      </c>
      <c r="H76" s="589" t="s">
        <v>501</v>
      </c>
      <c r="I76" s="618"/>
      <c r="J76" s="619"/>
      <c r="K76" s="620"/>
      <c r="L76" s="621"/>
      <c r="M76" s="590">
        <f>M75+M41</f>
        <v>13905.82226500909</v>
      </c>
      <c r="N76" s="322">
        <f>M76/$M$76</f>
        <v>1</v>
      </c>
      <c r="O76" s="589" t="s">
        <v>500</v>
      </c>
      <c r="P76" s="618"/>
      <c r="Q76" s="619"/>
      <c r="R76" s="620"/>
      <c r="S76" s="621"/>
      <c r="T76" s="590">
        <f>T75+T41</f>
        <v>26236.188576256955</v>
      </c>
      <c r="U76" s="322">
        <f>T76/$T$76</f>
        <v>1</v>
      </c>
      <c r="V76" s="589" t="s">
        <v>502</v>
      </c>
      <c r="W76" s="618"/>
      <c r="X76" s="619"/>
      <c r="Y76" s="620"/>
      <c r="Z76" s="621"/>
      <c r="AA76" s="590">
        <f>AA75+AA41</f>
        <v>28523.789700355352</v>
      </c>
      <c r="AB76" s="322">
        <f>AA76/$AA$76</f>
        <v>1</v>
      </c>
      <c r="AC76" s="589" t="s">
        <v>503</v>
      </c>
      <c r="AD76" s="618"/>
      <c r="AE76" s="619"/>
      <c r="AF76" s="620"/>
      <c r="AG76" s="621"/>
      <c r="AH76" s="590">
        <f>AH75+AH41</f>
        <v>31165.697682224323</v>
      </c>
      <c r="AI76" s="322">
        <f>AH76/$AH$76</f>
        <v>1</v>
      </c>
      <c r="AJ76" s="589" t="s">
        <v>504</v>
      </c>
      <c r="AK76" s="618"/>
      <c r="AL76" s="619"/>
      <c r="AM76" s="620"/>
      <c r="AN76" s="621"/>
      <c r="AO76" s="590">
        <f>AO75+AO41</f>
        <v>33712.68428382132</v>
      </c>
      <c r="AP76" s="322">
        <f>AO76/$AO$76</f>
        <v>1</v>
      </c>
      <c r="AQ76" s="589" t="s">
        <v>505</v>
      </c>
      <c r="AR76" s="618"/>
      <c r="AS76" s="619"/>
      <c r="AT76" s="620"/>
      <c r="AU76" s="621"/>
      <c r="AV76" s="590">
        <f>AV75+AV41</f>
        <v>33596.39954807864</v>
      </c>
      <c r="AW76" s="322">
        <f>AV76/$AV$76</f>
        <v>1</v>
      </c>
      <c r="AX76" s="589" t="s">
        <v>506</v>
      </c>
      <c r="AY76" s="618"/>
      <c r="AZ76" s="619"/>
      <c r="BA76" s="620"/>
      <c r="BB76" s="621"/>
      <c r="BC76" s="590">
        <f>BC75+BC41</f>
        <v>33478.370541299824</v>
      </c>
      <c r="BD76" s="322">
        <f>BC76/$BC$76</f>
        <v>1</v>
      </c>
      <c r="BE76" s="589" t="s">
        <v>507</v>
      </c>
      <c r="BF76" s="618"/>
      <c r="BG76" s="619"/>
      <c r="BH76" s="620"/>
      <c r="BI76" s="621"/>
      <c r="BJ76" s="590">
        <f>BJ75+BJ41</f>
        <v>33358.571099419321</v>
      </c>
      <c r="BK76" s="322">
        <f>BJ76/$BJ$76</f>
        <v>1</v>
      </c>
      <c r="BL76" s="589" t="s">
        <v>508</v>
      </c>
      <c r="BM76" s="618"/>
      <c r="BN76" s="619"/>
      <c r="BO76" s="620"/>
      <c r="BP76" s="621"/>
      <c r="BQ76" s="590">
        <f>BQ75+BQ41</f>
        <v>33236.974665910609</v>
      </c>
      <c r="BR76" s="322">
        <f>BQ76/$BQ$76</f>
        <v>1</v>
      </c>
      <c r="BS76" s="589" t="s">
        <v>509</v>
      </c>
      <c r="BT76" s="618"/>
      <c r="BU76" s="619"/>
      <c r="BV76" s="620"/>
      <c r="BW76" s="621"/>
      <c r="BX76" s="590">
        <f>BX75+BX41</f>
        <v>33136.166785899266</v>
      </c>
      <c r="BY76" s="322">
        <f>BX76/$BX$76</f>
        <v>1</v>
      </c>
      <c r="BZ76" s="589" t="s">
        <v>510</v>
      </c>
      <c r="CA76" s="618"/>
      <c r="CB76" s="619"/>
      <c r="CC76" s="620"/>
      <c r="CD76" s="621"/>
      <c r="CE76" s="590">
        <f>CE75+CE41</f>
        <v>33033.846787687755</v>
      </c>
      <c r="CF76" s="322">
        <f>CE76/$CE$76</f>
        <v>1</v>
      </c>
      <c r="CG76" s="589" t="s">
        <v>511</v>
      </c>
      <c r="CH76" s="618"/>
      <c r="CI76" s="619"/>
      <c r="CJ76" s="620"/>
      <c r="CK76" s="621"/>
      <c r="CL76" s="590">
        <f>CL75+CL41</f>
        <v>32929.991989503076</v>
      </c>
      <c r="CM76" s="322">
        <f>CL76/$CL$76</f>
        <v>1</v>
      </c>
      <c r="CN76" s="589" t="s">
        <v>512</v>
      </c>
      <c r="CO76" s="618"/>
      <c r="CP76" s="619"/>
      <c r="CQ76" s="620"/>
      <c r="CR76" s="621"/>
      <c r="CS76" s="590">
        <f>CS75+CS41</f>
        <v>32847.191869345617</v>
      </c>
      <c r="CT76" s="322">
        <f>CS76/$CS$76</f>
        <v>1</v>
      </c>
      <c r="CU76" s="589" t="s">
        <v>513</v>
      </c>
      <c r="CV76" s="618"/>
      <c r="CW76" s="619"/>
      <c r="CX76" s="620"/>
      <c r="CY76" s="621"/>
      <c r="CZ76" s="590">
        <f>CZ75+CZ41+CV82</f>
        <v>39263.149747385803</v>
      </c>
      <c r="DA76" s="322">
        <f>CZ76/$CZ$76</f>
        <v>1</v>
      </c>
    </row>
    <row r="77" spans="1:110" s="16" customFormat="1" ht="15.5" x14ac:dyDescent="0.35">
      <c r="A77" s="303" t="s">
        <v>367</v>
      </c>
      <c r="F77" s="304">
        <f>F15</f>
        <v>1100</v>
      </c>
      <c r="G77" s="305"/>
      <c r="H77" s="303" t="s">
        <v>367</v>
      </c>
      <c r="M77" s="304">
        <f>M15</f>
        <v>5585</v>
      </c>
      <c r="N77" s="305"/>
      <c r="O77" s="303" t="s">
        <v>367</v>
      </c>
      <c r="T77" s="304">
        <f>T15</f>
        <v>17246</v>
      </c>
      <c r="U77" s="305"/>
      <c r="V77" s="303" t="s">
        <v>367</v>
      </c>
      <c r="AA77" s="304">
        <f>AA15</f>
        <v>23525.000000000004</v>
      </c>
      <c r="AB77" s="305"/>
      <c r="AC77" s="303" t="s">
        <v>367</v>
      </c>
      <c r="AH77" s="304">
        <f>AH15</f>
        <v>32495.000000000004</v>
      </c>
      <c r="AI77" s="305"/>
      <c r="AJ77" s="303" t="s">
        <v>367</v>
      </c>
      <c r="AO77" s="304">
        <f>AO15</f>
        <v>41465</v>
      </c>
      <c r="AP77" s="305"/>
      <c r="AQ77" s="303" t="s">
        <v>367</v>
      </c>
      <c r="AV77" s="304">
        <f>AV15</f>
        <v>41465</v>
      </c>
      <c r="AW77" s="305"/>
      <c r="AX77" s="303" t="s">
        <v>367</v>
      </c>
      <c r="BC77" s="304">
        <f>BC15</f>
        <v>41465</v>
      </c>
      <c r="BD77" s="305"/>
      <c r="BE77" s="303" t="s">
        <v>367</v>
      </c>
      <c r="BJ77" s="304">
        <f>BJ15</f>
        <v>41465</v>
      </c>
      <c r="BK77" s="305"/>
      <c r="BL77" s="303" t="s">
        <v>367</v>
      </c>
      <c r="BQ77" s="304">
        <f>BQ15</f>
        <v>39957.5</v>
      </c>
      <c r="BR77" s="305"/>
      <c r="BS77" s="303" t="s">
        <v>367</v>
      </c>
      <c r="BX77" s="304">
        <f>BX15</f>
        <v>39957.5</v>
      </c>
      <c r="BY77" s="305"/>
      <c r="BZ77" s="303" t="s">
        <v>367</v>
      </c>
      <c r="CE77" s="304">
        <f>CE15</f>
        <v>39957.5</v>
      </c>
      <c r="CF77" s="305"/>
      <c r="CG77" s="303" t="s">
        <v>367</v>
      </c>
      <c r="CL77" s="304">
        <f>CL15</f>
        <v>38450</v>
      </c>
      <c r="CM77" s="305"/>
      <c r="CN77" s="303" t="s">
        <v>367</v>
      </c>
      <c r="CS77" s="304">
        <f>CS15</f>
        <v>38450</v>
      </c>
      <c r="CT77" s="305"/>
      <c r="CU77" s="303" t="s">
        <v>367</v>
      </c>
      <c r="CZ77" s="304">
        <f>CZ15</f>
        <v>38450</v>
      </c>
      <c r="DA77" s="305"/>
    </row>
    <row r="78" spans="1:110" s="16" customFormat="1" ht="15.5" x14ac:dyDescent="0.35">
      <c r="A78" s="303" t="s">
        <v>379</v>
      </c>
      <c r="F78" s="304">
        <f>F77-F76</f>
        <v>-10621.289849090908</v>
      </c>
      <c r="G78" s="305"/>
      <c r="H78" s="303" t="s">
        <v>379</v>
      </c>
      <c r="M78" s="304">
        <f>M77-M76</f>
        <v>-8320.8222650090902</v>
      </c>
      <c r="N78" s="305"/>
      <c r="O78" s="303" t="s">
        <v>379</v>
      </c>
      <c r="T78" s="304">
        <f>T77-T76</f>
        <v>-8990.1885762569545</v>
      </c>
      <c r="U78" s="305"/>
      <c r="V78" s="303" t="s">
        <v>379</v>
      </c>
      <c r="AA78" s="304">
        <f>AA77-AA76</f>
        <v>-4998.789700355348</v>
      </c>
      <c r="AB78" s="305"/>
      <c r="AC78" s="303" t="s">
        <v>379</v>
      </c>
      <c r="AH78" s="304">
        <f>AH77-AH76</f>
        <v>1329.3023177756804</v>
      </c>
      <c r="AI78" s="305"/>
      <c r="AJ78" s="303" t="s">
        <v>379</v>
      </c>
      <c r="AO78" s="304">
        <f>AO77-AO76</f>
        <v>7752.3157161786803</v>
      </c>
      <c r="AP78" s="305"/>
      <c r="AQ78" s="303" t="s">
        <v>379</v>
      </c>
      <c r="AV78" s="304">
        <f>AV77-AV76</f>
        <v>7868.6004519213602</v>
      </c>
      <c r="AW78" s="305"/>
      <c r="AX78" s="303" t="s">
        <v>379</v>
      </c>
      <c r="BC78" s="304">
        <f>BC77-BC76</f>
        <v>7986.6294587001757</v>
      </c>
      <c r="BD78" s="305"/>
      <c r="BE78" s="303" t="s">
        <v>379</v>
      </c>
      <c r="BJ78" s="304">
        <f>BJ77-BJ76</f>
        <v>8106.4289005806786</v>
      </c>
      <c r="BK78" s="305"/>
      <c r="BL78" s="303" t="s">
        <v>379</v>
      </c>
      <c r="BQ78" s="304">
        <f>BQ77-BQ76</f>
        <v>6720.5253340893905</v>
      </c>
      <c r="BR78" s="305"/>
      <c r="BS78" s="303" t="s">
        <v>379</v>
      </c>
      <c r="BX78" s="304">
        <f>BX77-BX76</f>
        <v>6821.333214100734</v>
      </c>
      <c r="BY78" s="305"/>
      <c r="BZ78" s="303" t="s">
        <v>379</v>
      </c>
      <c r="CE78" s="304">
        <f>CE77-CE76</f>
        <v>6923.6532123122452</v>
      </c>
      <c r="CF78" s="305"/>
      <c r="CG78" s="303" t="s">
        <v>379</v>
      </c>
      <c r="CL78" s="304">
        <f>CL77-CL76</f>
        <v>5520.0080104969238</v>
      </c>
      <c r="CM78" s="305"/>
      <c r="CN78" s="303" t="s">
        <v>379</v>
      </c>
      <c r="CS78" s="304">
        <f>CS77-CS76</f>
        <v>5602.8081306543827</v>
      </c>
      <c r="CT78" s="305"/>
      <c r="CU78" s="303" t="s">
        <v>379</v>
      </c>
      <c r="CZ78" s="304">
        <f>CZ77-CZ76</f>
        <v>-813.14974738580349</v>
      </c>
      <c r="DA78" s="305"/>
    </row>
    <row r="79" spans="1:110" s="22" customFormat="1" ht="18.5" thickBot="1" x14ac:dyDescent="0.45">
      <c r="A79" s="287" t="s">
        <v>465</v>
      </c>
      <c r="B79" s="101"/>
      <c r="C79" s="255"/>
      <c r="D79" s="255"/>
      <c r="E79" s="352"/>
      <c r="F79" s="764">
        <f>'Variante plantation'!E156*(-1)</f>
        <v>-59539.32327272727</v>
      </c>
      <c r="G79" s="327"/>
      <c r="H79" s="287" t="s">
        <v>380</v>
      </c>
      <c r="I79" s="101"/>
      <c r="J79" s="255"/>
      <c r="K79" s="255"/>
      <c r="L79" s="352"/>
      <c r="M79" s="764">
        <f>F80</f>
        <v>-70160.613121818184</v>
      </c>
      <c r="N79" s="327"/>
      <c r="O79" s="287" t="s">
        <v>419</v>
      </c>
      <c r="P79" s="101"/>
      <c r="Q79" s="255"/>
      <c r="R79" s="255"/>
      <c r="S79" s="352"/>
      <c r="T79" s="764">
        <f>M80</f>
        <v>-78481.435386827274</v>
      </c>
      <c r="U79" s="327"/>
      <c r="V79" s="287" t="s">
        <v>420</v>
      </c>
      <c r="W79" s="101"/>
      <c r="X79" s="255"/>
      <c r="Y79" s="255"/>
      <c r="Z79" s="352"/>
      <c r="AA79" s="764">
        <f>T80</f>
        <v>-87471.623963084232</v>
      </c>
      <c r="AB79" s="327"/>
      <c r="AC79" s="287" t="s">
        <v>0</v>
      </c>
      <c r="AD79" s="101"/>
      <c r="AE79" s="255"/>
      <c r="AF79" s="255"/>
      <c r="AG79" s="352"/>
      <c r="AH79" s="764">
        <f>AA80</f>
        <v>-92470.413663439584</v>
      </c>
      <c r="AI79" s="327"/>
      <c r="AJ79" s="287" t="s">
        <v>1</v>
      </c>
      <c r="AK79" s="101"/>
      <c r="AL79" s="255"/>
      <c r="AM79" s="255"/>
      <c r="AN79" s="352"/>
      <c r="AO79" s="764">
        <f>AH80</f>
        <v>-91141.1113456639</v>
      </c>
      <c r="AP79" s="327"/>
      <c r="AQ79" s="287" t="s">
        <v>2</v>
      </c>
      <c r="AR79" s="101"/>
      <c r="AS79" s="255"/>
      <c r="AT79" s="255"/>
      <c r="AU79" s="352"/>
      <c r="AV79" s="764">
        <f>AO80</f>
        <v>-83388.795629485219</v>
      </c>
      <c r="AW79" s="327"/>
      <c r="AX79" s="287" t="s">
        <v>3</v>
      </c>
      <c r="AY79" s="101"/>
      <c r="AZ79" s="255"/>
      <c r="BA79" s="255"/>
      <c r="BB79" s="352"/>
      <c r="BC79" s="764">
        <f>AV80</f>
        <v>-75520.195177563859</v>
      </c>
      <c r="BD79" s="327"/>
      <c r="BE79" s="287" t="s">
        <v>4</v>
      </c>
      <c r="BF79" s="101"/>
      <c r="BG79" s="255"/>
      <c r="BH79" s="255"/>
      <c r="BI79" s="352"/>
      <c r="BJ79" s="764">
        <f>BC80</f>
        <v>-67533.565718863683</v>
      </c>
      <c r="BK79" s="327"/>
      <c r="BL79" s="287" t="s">
        <v>5</v>
      </c>
      <c r="BM79" s="101"/>
      <c r="BN79" s="255"/>
      <c r="BO79" s="255"/>
      <c r="BP79" s="352"/>
      <c r="BQ79" s="764">
        <f>BJ80</f>
        <v>-59427.136818283005</v>
      </c>
      <c r="BR79" s="327"/>
      <c r="BS79" s="287" t="s">
        <v>6</v>
      </c>
      <c r="BT79" s="101"/>
      <c r="BU79" s="255"/>
      <c r="BV79" s="255"/>
      <c r="BW79" s="352"/>
      <c r="BX79" s="764">
        <f>BQ80</f>
        <v>-52706.611484193621</v>
      </c>
      <c r="BY79" s="327"/>
      <c r="BZ79" s="287" t="s">
        <v>7</v>
      </c>
      <c r="CA79" s="101"/>
      <c r="CB79" s="255"/>
      <c r="CC79" s="255"/>
      <c r="CD79" s="352"/>
      <c r="CE79" s="764">
        <f>BX80</f>
        <v>-45885.27827009288</v>
      </c>
      <c r="CF79" s="327"/>
      <c r="CG79" s="287" t="s">
        <v>8</v>
      </c>
      <c r="CH79" s="101"/>
      <c r="CI79" s="255"/>
      <c r="CJ79" s="255"/>
      <c r="CK79" s="352"/>
      <c r="CL79" s="764">
        <f>CE80</f>
        <v>-38961.625057780635</v>
      </c>
      <c r="CM79" s="327"/>
      <c r="CN79" s="287" t="s">
        <v>9</v>
      </c>
      <c r="CO79" s="101"/>
      <c r="CP79" s="255"/>
      <c r="CQ79" s="255"/>
      <c r="CR79" s="352"/>
      <c r="CS79" s="764">
        <f>CL80</f>
        <v>-33441.617047283711</v>
      </c>
      <c r="CT79" s="327"/>
      <c r="CU79" s="287" t="s">
        <v>10</v>
      </c>
      <c r="CV79" s="101"/>
      <c r="CW79" s="255"/>
      <c r="CX79" s="255"/>
      <c r="CY79" s="352"/>
      <c r="CZ79" s="764">
        <f>CS80</f>
        <v>-27838.808916629321</v>
      </c>
      <c r="DA79" s="327"/>
    </row>
    <row r="80" spans="1:110" s="313" customFormat="1" ht="24" customHeight="1" x14ac:dyDescent="0.4">
      <c r="A80" s="316" t="s">
        <v>380</v>
      </c>
      <c r="B80" s="317"/>
      <c r="C80" s="317"/>
      <c r="D80" s="317"/>
      <c r="E80" s="317"/>
      <c r="F80" s="318">
        <f>F79-F76+F77</f>
        <v>-70160.613121818184</v>
      </c>
      <c r="G80" s="323"/>
      <c r="H80" s="316" t="s">
        <v>419</v>
      </c>
      <c r="I80" s="317"/>
      <c r="J80" s="317"/>
      <c r="K80" s="317"/>
      <c r="L80" s="317"/>
      <c r="M80" s="318">
        <f>((M76)*(-1))+M79+M77</f>
        <v>-78481.435386827274</v>
      </c>
      <c r="N80" s="323"/>
      <c r="O80" s="316" t="s">
        <v>420</v>
      </c>
      <c r="P80" s="317"/>
      <c r="Q80" s="317"/>
      <c r="R80" s="317"/>
      <c r="S80" s="317"/>
      <c r="T80" s="318">
        <f>((T76)*(-1))+T79+T77</f>
        <v>-87471.623963084232</v>
      </c>
      <c r="U80" s="323"/>
      <c r="V80" s="316" t="s">
        <v>0</v>
      </c>
      <c r="W80" s="317"/>
      <c r="X80" s="317"/>
      <c r="Y80" s="317"/>
      <c r="Z80" s="317"/>
      <c r="AA80" s="318">
        <f>((AA76)*(-1))+AA79+AA77</f>
        <v>-92470.413663439584</v>
      </c>
      <c r="AB80" s="323"/>
      <c r="AC80" s="316" t="s">
        <v>1</v>
      </c>
      <c r="AD80" s="317"/>
      <c r="AE80" s="317"/>
      <c r="AF80" s="317"/>
      <c r="AG80" s="317"/>
      <c r="AH80" s="318">
        <f>((AH76)*(-1))+AH79+AH77</f>
        <v>-91141.1113456639</v>
      </c>
      <c r="AI80" s="323"/>
      <c r="AJ80" s="316" t="s">
        <v>2</v>
      </c>
      <c r="AK80" s="317"/>
      <c r="AL80" s="317"/>
      <c r="AM80" s="317"/>
      <c r="AN80" s="317"/>
      <c r="AO80" s="318">
        <f>((AO76)*(-1))+AO79+AO77</f>
        <v>-83388.795629485219</v>
      </c>
      <c r="AP80" s="323"/>
      <c r="AQ80" s="316" t="s">
        <v>3</v>
      </c>
      <c r="AR80" s="317"/>
      <c r="AS80" s="317"/>
      <c r="AT80" s="317"/>
      <c r="AU80" s="317"/>
      <c r="AV80" s="318">
        <f>((AV76)*(-1))+AV79+AV77</f>
        <v>-75520.195177563859</v>
      </c>
      <c r="AW80" s="323"/>
      <c r="AX80" s="316" t="s">
        <v>4</v>
      </c>
      <c r="AY80" s="317"/>
      <c r="AZ80" s="317"/>
      <c r="BA80" s="317"/>
      <c r="BB80" s="317"/>
      <c r="BC80" s="318">
        <f>((BC76)*(-1))+BC79+BC77</f>
        <v>-67533.565718863683</v>
      </c>
      <c r="BD80" s="323"/>
      <c r="BE80" s="316" t="s">
        <v>5</v>
      </c>
      <c r="BF80" s="317"/>
      <c r="BG80" s="317"/>
      <c r="BH80" s="317"/>
      <c r="BI80" s="317"/>
      <c r="BJ80" s="318">
        <f>((BJ76)*(-1))+BJ79+BJ77</f>
        <v>-59427.136818283005</v>
      </c>
      <c r="BK80" s="323"/>
      <c r="BL80" s="316" t="s">
        <v>6</v>
      </c>
      <c r="BM80" s="317"/>
      <c r="BN80" s="317"/>
      <c r="BO80" s="317"/>
      <c r="BP80" s="317"/>
      <c r="BQ80" s="318">
        <f>((BQ76)*(-1))+BQ79+BQ77</f>
        <v>-52706.611484193621</v>
      </c>
      <c r="BR80" s="323"/>
      <c r="BS80" s="316" t="s">
        <v>7</v>
      </c>
      <c r="BT80" s="317"/>
      <c r="BU80" s="317"/>
      <c r="BV80" s="317"/>
      <c r="BW80" s="317"/>
      <c r="BX80" s="318">
        <f>((BX76)*(-1))+BX79+BX77</f>
        <v>-45885.27827009288</v>
      </c>
      <c r="BY80" s="323"/>
      <c r="BZ80" s="316" t="s">
        <v>8</v>
      </c>
      <c r="CA80" s="317"/>
      <c r="CB80" s="317"/>
      <c r="CC80" s="317"/>
      <c r="CD80" s="317"/>
      <c r="CE80" s="318">
        <f>((CE76)*(-1))+CE79+CE77</f>
        <v>-38961.625057780635</v>
      </c>
      <c r="CF80" s="323"/>
      <c r="CG80" s="316" t="s">
        <v>9</v>
      </c>
      <c r="CH80" s="317"/>
      <c r="CI80" s="317"/>
      <c r="CJ80" s="317"/>
      <c r="CK80" s="317"/>
      <c r="CL80" s="318">
        <f>((CL76)*(-1))+CL79+CL77</f>
        <v>-33441.617047283711</v>
      </c>
      <c r="CM80" s="323"/>
      <c r="CN80" s="316" t="s">
        <v>10</v>
      </c>
      <c r="CO80" s="317"/>
      <c r="CP80" s="317"/>
      <c r="CQ80" s="317"/>
      <c r="CR80" s="317"/>
      <c r="CS80" s="318">
        <f>((CS76)*(-1))+CS79+CS77</f>
        <v>-27838.808916629321</v>
      </c>
      <c r="CT80" s="323"/>
      <c r="CU80" s="316" t="s">
        <v>11</v>
      </c>
      <c r="CV80" s="317"/>
      <c r="CW80" s="317"/>
      <c r="CX80" s="317"/>
      <c r="CY80" s="317"/>
      <c r="CZ80" s="318">
        <f>((CZ76)*(-1))+CZ79+CZ77</f>
        <v>-28651.958664015125</v>
      </c>
      <c r="DA80" s="323"/>
      <c r="DB80" s="310"/>
      <c r="DC80" s="310"/>
      <c r="DD80" s="310"/>
      <c r="DE80" s="310"/>
      <c r="DF80" s="310"/>
    </row>
    <row r="81" spans="1:105" s="321" customFormat="1" ht="15.5" x14ac:dyDescent="0.35">
      <c r="A81" s="319" t="s">
        <v>381</v>
      </c>
      <c r="B81" s="319"/>
      <c r="C81" s="320"/>
      <c r="D81" s="320"/>
      <c r="E81" s="320"/>
      <c r="F81" s="320">
        <f>F80*(-1)</f>
        <v>70160.613121818184</v>
      </c>
      <c r="G81" s="320"/>
      <c r="H81" s="319" t="s">
        <v>381</v>
      </c>
      <c r="I81" s="319"/>
      <c r="J81" s="320"/>
      <c r="K81" s="320"/>
      <c r="L81" s="320"/>
      <c r="M81" s="320">
        <f>M80*(-1)</f>
        <v>78481.435386827274</v>
      </c>
      <c r="N81" s="320"/>
      <c r="O81" s="319" t="s">
        <v>381</v>
      </c>
      <c r="P81" s="319"/>
      <c r="Q81" s="320"/>
      <c r="R81" s="320"/>
      <c r="S81" s="320"/>
      <c r="T81" s="320">
        <f>T80*(-1)</f>
        <v>87471.623963084232</v>
      </c>
      <c r="U81" s="320"/>
      <c r="V81" s="319" t="s">
        <v>381</v>
      </c>
      <c r="W81" s="319"/>
      <c r="X81" s="320"/>
      <c r="Y81" s="320"/>
      <c r="Z81" s="320"/>
      <c r="AA81" s="320">
        <f>T81-($T$81/'Variante données'!$B$29)</f>
        <v>80182.32196616054</v>
      </c>
      <c r="AB81" s="320"/>
      <c r="AC81" s="319" t="s">
        <v>381</v>
      </c>
      <c r="AD81" s="319"/>
      <c r="AE81" s="320"/>
      <c r="AF81" s="320"/>
      <c r="AG81" s="320"/>
      <c r="AH81" s="320">
        <f>AA81-($T$81/'Variante données'!$B$29)</f>
        <v>72893.019969236848</v>
      </c>
      <c r="AI81" s="320"/>
      <c r="AJ81" s="319" t="s">
        <v>381</v>
      </c>
      <c r="AK81" s="319"/>
      <c r="AL81" s="320"/>
      <c r="AM81" s="320"/>
      <c r="AN81" s="320"/>
      <c r="AO81" s="320">
        <f>AH81-($T$81/'Variante données'!$B$29)</f>
        <v>65603.717972313156</v>
      </c>
      <c r="AP81" s="320"/>
      <c r="AQ81" s="319" t="s">
        <v>381</v>
      </c>
      <c r="AR81" s="319"/>
      <c r="AS81" s="320"/>
      <c r="AT81" s="320"/>
      <c r="AU81" s="320"/>
      <c r="AV81" s="320">
        <f>AO81-($T$81/'Variante données'!$B$29)</f>
        <v>58314.415975389471</v>
      </c>
      <c r="AW81" s="320"/>
      <c r="AX81" s="319" t="s">
        <v>381</v>
      </c>
      <c r="AY81" s="319"/>
      <c r="AZ81" s="320"/>
      <c r="BA81" s="320"/>
      <c r="BB81" s="320"/>
      <c r="BC81" s="320">
        <f>AV81-($T$81/'Variante données'!$B$29)</f>
        <v>51025.113978465786</v>
      </c>
      <c r="BD81" s="320"/>
      <c r="BE81" s="319" t="s">
        <v>381</v>
      </c>
      <c r="BF81" s="319"/>
      <c r="BG81" s="320"/>
      <c r="BH81" s="320"/>
      <c r="BI81" s="320"/>
      <c r="BJ81" s="320">
        <f>BC81-($T$81/'Variante données'!$B$29)</f>
        <v>43735.811981542101</v>
      </c>
      <c r="BK81" s="320"/>
      <c r="BL81" s="319" t="s">
        <v>381</v>
      </c>
      <c r="BM81" s="319"/>
      <c r="BN81" s="320"/>
      <c r="BO81" s="320"/>
      <c r="BP81" s="320"/>
      <c r="BQ81" s="320">
        <f>BJ81-($T$81/'Variante données'!$B$29)</f>
        <v>36446.509984618417</v>
      </c>
      <c r="BR81" s="320"/>
      <c r="BS81" s="319" t="s">
        <v>381</v>
      </c>
      <c r="BT81" s="319"/>
      <c r="BU81" s="320"/>
      <c r="BV81" s="320"/>
      <c r="BW81" s="320"/>
      <c r="BX81" s="320">
        <f>BQ81-($T$81/'Variante données'!$B$29)</f>
        <v>29157.207987694732</v>
      </c>
      <c r="BY81" s="320"/>
      <c r="BZ81" s="319" t="s">
        <v>381</v>
      </c>
      <c r="CA81" s="319"/>
      <c r="CB81" s="320"/>
      <c r="CC81" s="320"/>
      <c r="CD81" s="320"/>
      <c r="CE81" s="320">
        <f>BX81-($T$81/'Variante données'!$B$29)</f>
        <v>21867.905990771047</v>
      </c>
      <c r="CF81" s="320"/>
      <c r="CG81" s="319" t="s">
        <v>381</v>
      </c>
      <c r="CH81" s="319"/>
      <c r="CI81" s="320"/>
      <c r="CJ81" s="320"/>
      <c r="CK81" s="320"/>
      <c r="CL81" s="320">
        <f>CE81-($T$81/'Variante données'!$B$29)</f>
        <v>14578.603993847362</v>
      </c>
      <c r="CM81" s="320"/>
      <c r="CN81" s="319" t="s">
        <v>381</v>
      </c>
      <c r="CO81" s="319"/>
      <c r="CP81" s="320"/>
      <c r="CQ81" s="320"/>
      <c r="CR81" s="320"/>
      <c r="CS81" s="320">
        <f>CL81-($T$81/'Variante données'!$B$29)</f>
        <v>7289.3019969236766</v>
      </c>
      <c r="CT81" s="320"/>
      <c r="CU81" s="319" t="s">
        <v>381</v>
      </c>
      <c r="CV81" s="319"/>
      <c r="CW81" s="320"/>
      <c r="CX81" s="320"/>
      <c r="CY81" s="320"/>
      <c r="CZ81" s="320">
        <f>CS81-($T$81/'Variante données'!$B$29)</f>
        <v>-9.0949470177292824E-12</v>
      </c>
      <c r="DA81" s="320"/>
    </row>
    <row r="82" spans="1:105" x14ac:dyDescent="0.3">
      <c r="A82"/>
      <c r="B82"/>
      <c r="C82"/>
      <c r="D82"/>
      <c r="E82"/>
      <c r="F82"/>
      <c r="G82"/>
      <c r="H82" s="211"/>
      <c r="I82"/>
      <c r="O82" s="218"/>
      <c r="P82" s="17"/>
      <c r="Q82" s="17"/>
      <c r="R82" s="17"/>
      <c r="S82" s="17"/>
      <c r="T82" s="109"/>
      <c r="CU82" s="328" t="s">
        <v>473</v>
      </c>
      <c r="CV82" s="145">
        <f>'Variante données'!C38</f>
        <v>6500</v>
      </c>
    </row>
  </sheetData>
  <mergeCells count="75">
    <mergeCell ref="BG6:BK6"/>
    <mergeCell ref="BN6:BR6"/>
    <mergeCell ref="BU6:BY6"/>
    <mergeCell ref="CB6:CF6"/>
    <mergeCell ref="DA7:DA8"/>
    <mergeCell ref="CP7:CQ7"/>
    <mergeCell ref="CI6:CM6"/>
    <mergeCell ref="CW7:CX7"/>
    <mergeCell ref="BN7:BO7"/>
    <mergeCell ref="BU7:BV7"/>
    <mergeCell ref="CB7:CC7"/>
    <mergeCell ref="CP6:CT6"/>
    <mergeCell ref="CW6:DA6"/>
    <mergeCell ref="CM7:CM8"/>
    <mergeCell ref="BK7:BK8"/>
    <mergeCell ref="BR7:BR8"/>
    <mergeCell ref="BY7:BY8"/>
    <mergeCell ref="CF7:CF8"/>
    <mergeCell ref="U7:U8"/>
    <mergeCell ref="AB7:AB8"/>
    <mergeCell ref="J7:K7"/>
    <mergeCell ref="Q7:R7"/>
    <mergeCell ref="X7:Y7"/>
    <mergeCell ref="N7:N8"/>
    <mergeCell ref="AZ6:BD6"/>
    <mergeCell ref="J6:N6"/>
    <mergeCell ref="Q6:U6"/>
    <mergeCell ref="X6:AB6"/>
    <mergeCell ref="AE6:AI6"/>
    <mergeCell ref="AL6:AP6"/>
    <mergeCell ref="AS6:AW6"/>
    <mergeCell ref="H33:H34"/>
    <mergeCell ref="O33:O34"/>
    <mergeCell ref="A33:A34"/>
    <mergeCell ref="C7:D7"/>
    <mergeCell ref="C6:G6"/>
    <mergeCell ref="G7:G8"/>
    <mergeCell ref="CU33:CU34"/>
    <mergeCell ref="BZ33:BZ34"/>
    <mergeCell ref="CG33:CG34"/>
    <mergeCell ref="AI7:AI8"/>
    <mergeCell ref="V33:V34"/>
    <mergeCell ref="AC33:AC34"/>
    <mergeCell ref="AE7:AF7"/>
    <mergeCell ref="CT7:CT8"/>
    <mergeCell ref="AL7:AM7"/>
    <mergeCell ref="AS7:AT7"/>
    <mergeCell ref="AZ7:BA7"/>
    <mergeCell ref="BG7:BH7"/>
    <mergeCell ref="AP7:AP8"/>
    <mergeCell ref="AW7:AW8"/>
    <mergeCell ref="BD7:BD8"/>
    <mergeCell ref="CI7:CJ7"/>
    <mergeCell ref="O54:O55"/>
    <mergeCell ref="H54:H55"/>
    <mergeCell ref="A54:A55"/>
    <mergeCell ref="V54:V55"/>
    <mergeCell ref="AC54:AC55"/>
    <mergeCell ref="AJ54:AJ55"/>
    <mergeCell ref="CN33:CN34"/>
    <mergeCell ref="BL33:BL34"/>
    <mergeCell ref="BS33:BS34"/>
    <mergeCell ref="AX33:AX34"/>
    <mergeCell ref="BE33:BE34"/>
    <mergeCell ref="AQ54:AQ55"/>
    <mergeCell ref="AX54:AX55"/>
    <mergeCell ref="CG54:CG55"/>
    <mergeCell ref="CN54:CN55"/>
    <mergeCell ref="AJ33:AJ34"/>
    <mergeCell ref="AQ33:AQ34"/>
    <mergeCell ref="CU54:CU55"/>
    <mergeCell ref="BE54:BE55"/>
    <mergeCell ref="BL54:BL55"/>
    <mergeCell ref="BS54:BS55"/>
    <mergeCell ref="BZ54:BZ55"/>
  </mergeCells>
  <phoneticPr fontId="0" type="noConversion"/>
  <printOptions gridLines="1" gridLinesSet="0"/>
  <pageMargins left="0.39370078740157483" right="0.39370078740157483" top="0.39370078740157483" bottom="0.16" header="0.17" footer="0.16"/>
  <pageSetup paperSize="9" scale="60" orientation="portrait" r:id="rId1"/>
  <headerFooter alignWithMargins="0">
    <oddFooter>&amp;LArbokost 2004&amp;RMatthias Zürcher, Agroscope FAW Wädenswil</oddFooter>
  </headerFooter>
  <colBreaks count="4" manualBreakCount="4">
    <brk id="7" max="1048575" man="1"/>
    <brk id="14" max="1048575" man="1"/>
    <brk id="21" max="1048575" man="1"/>
    <brk id="42" max="1048575" man="1"/>
  </colBreak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tandardErtragsphase1">
    <tabColor indexed="50"/>
  </sheetPr>
  <dimension ref="A1:M201"/>
  <sheetViews>
    <sheetView zoomScale="75" workbookViewId="0">
      <selection activeCell="F80" sqref="F80"/>
    </sheetView>
  </sheetViews>
  <sheetFormatPr baseColWidth="10" defaultRowHeight="12.5" x14ac:dyDescent="0.25"/>
  <cols>
    <col min="1" max="1" width="41.7265625" customWidth="1"/>
    <col min="2" max="2" width="35" customWidth="1"/>
    <col min="3" max="3" width="21" customWidth="1"/>
    <col min="4" max="4" width="19.26953125" customWidth="1"/>
    <col min="5" max="5" width="18.26953125" customWidth="1"/>
    <col min="6" max="6" width="20.7265625" customWidth="1"/>
    <col min="7" max="7" width="10.81640625" style="1" customWidth="1"/>
    <col min="8" max="8" width="6.453125" customWidth="1"/>
    <col min="9" max="9" width="20.08984375" bestFit="1" customWidth="1"/>
    <col min="10" max="10" width="32.7265625" style="10" bestFit="1" customWidth="1"/>
    <col min="11" max="11" width="11.453125" style="14" customWidth="1"/>
    <col min="12" max="12" width="14.08984375" bestFit="1" customWidth="1"/>
  </cols>
  <sheetData>
    <row r="1" spans="1:11" ht="42.75" customHeight="1" x14ac:dyDescent="0.5">
      <c r="A1" s="1441" t="str">
        <f>'Variante données'!A1</f>
        <v>Arbokost 2023</v>
      </c>
      <c r="B1" s="746" t="str">
        <f>'Variante données'!B7</f>
        <v>Pomme de table</v>
      </c>
      <c r="C1" s="766"/>
      <c r="D1" s="767"/>
      <c r="E1" s="768"/>
      <c r="F1" s="769"/>
      <c r="G1" s="770"/>
      <c r="J1"/>
      <c r="K1"/>
    </row>
    <row r="2" spans="1:11" ht="23.25" customHeight="1" x14ac:dyDescent="0.35">
      <c r="A2" s="973" t="s">
        <v>91</v>
      </c>
      <c r="B2" s="990"/>
      <c r="C2" s="766"/>
      <c r="D2" s="767"/>
      <c r="E2" s="768"/>
      <c r="F2" s="769"/>
      <c r="G2" s="770"/>
      <c r="J2"/>
      <c r="K2"/>
    </row>
    <row r="3" spans="1:11" ht="18" customHeight="1" x14ac:dyDescent="0.8">
      <c r="A3" s="803"/>
      <c r="B3" s="990"/>
      <c r="C3" s="766"/>
      <c r="D3" s="767"/>
      <c r="E3" s="768"/>
      <c r="F3" s="769"/>
      <c r="G3" s="770"/>
      <c r="J3"/>
      <c r="K3"/>
    </row>
    <row r="4" spans="1:11" ht="18.75" customHeight="1" x14ac:dyDescent="0.25">
      <c r="A4" s="826"/>
      <c r="B4" s="1061">
        <f>'Variante données'!B24</f>
        <v>2000</v>
      </c>
      <c r="C4" s="970"/>
      <c r="D4" s="970"/>
      <c r="E4" s="970"/>
      <c r="F4" s="144"/>
      <c r="G4" s="41"/>
      <c r="H4" s="1"/>
      <c r="I4" s="1"/>
    </row>
    <row r="5" spans="1:11" ht="24" x14ac:dyDescent="0.5">
      <c r="A5" s="1509" t="s">
        <v>474</v>
      </c>
      <c r="B5" s="1509"/>
      <c r="C5" s="1509"/>
      <c r="D5" s="1509"/>
      <c r="E5" s="1509"/>
      <c r="F5" s="1509"/>
      <c r="G5" s="1510"/>
    </row>
    <row r="6" spans="1:11" s="1" customFormat="1" ht="20" x14ac:dyDescent="0.4">
      <c r="A6" s="18"/>
      <c r="B6" s="271"/>
      <c r="C6" s="18"/>
      <c r="D6" s="827"/>
      <c r="E6" s="828"/>
      <c r="F6" s="828"/>
      <c r="G6" s="829"/>
      <c r="J6" s="33"/>
      <c r="K6" s="121"/>
    </row>
    <row r="7" spans="1:11" s="1" customFormat="1" ht="15.75" customHeight="1" x14ac:dyDescent="0.35">
      <c r="A7" s="18"/>
      <c r="B7" s="18"/>
      <c r="C7" s="1514" t="s">
        <v>367</v>
      </c>
      <c r="D7" s="1514"/>
      <c r="E7" s="830" t="s">
        <v>421</v>
      </c>
      <c r="F7" s="806" t="s">
        <v>422</v>
      </c>
      <c r="G7" s="1488" t="s">
        <v>423</v>
      </c>
      <c r="I7" s="2"/>
      <c r="J7" s="33"/>
      <c r="K7" s="121"/>
    </row>
    <row r="8" spans="1:11" s="1" customFormat="1" x14ac:dyDescent="0.25">
      <c r="C8" s="186" t="s">
        <v>369</v>
      </c>
      <c r="D8" s="186" t="s">
        <v>55</v>
      </c>
      <c r="E8" s="219" t="s">
        <v>64</v>
      </c>
      <c r="F8" s="831" t="s">
        <v>53</v>
      </c>
      <c r="G8" s="1511"/>
      <c r="J8" s="33"/>
      <c r="K8" s="121"/>
    </row>
    <row r="9" spans="1:11" s="1" customFormat="1" ht="13" x14ac:dyDescent="0.3">
      <c r="A9" s="72"/>
      <c r="B9" s="84" t="str">
        <f>'Variante données'!B47</f>
        <v>Catégorie I</v>
      </c>
      <c r="C9" s="79">
        <f>D9/$B$4</f>
        <v>14.078125</v>
      </c>
      <c r="D9" s="44">
        <f>D12*G9</f>
        <v>28156.25</v>
      </c>
      <c r="E9" s="42">
        <f>'Variante données'!B65</f>
        <v>1.1200000000000003</v>
      </c>
      <c r="F9" s="43">
        <f>D9*E9</f>
        <v>31535.000000000011</v>
      </c>
      <c r="G9" s="58">
        <f>'Variante données'!B86</f>
        <v>0.66249999999999998</v>
      </c>
      <c r="J9" s="33"/>
      <c r="K9" s="121"/>
    </row>
    <row r="10" spans="1:11" s="1" customFormat="1" ht="13" x14ac:dyDescent="0.3">
      <c r="B10" s="72" t="str">
        <f>'Variante données'!C47</f>
        <v>Catégorie II</v>
      </c>
      <c r="C10" s="79">
        <f>D10/$B$4</f>
        <v>5.0468749999999991</v>
      </c>
      <c r="D10" s="44">
        <f>$D$12*G10</f>
        <v>10093.749999999998</v>
      </c>
      <c r="E10" s="42">
        <f>'Variante données'!C65</f>
        <v>0.45000000000000012</v>
      </c>
      <c r="F10" s="43">
        <f>D10*E10</f>
        <v>4542.1875</v>
      </c>
      <c r="G10" s="58">
        <f>'Variante données'!C86</f>
        <v>0.23749999999999996</v>
      </c>
      <c r="J10" s="33"/>
      <c r="K10" s="121"/>
    </row>
    <row r="11" spans="1:11" s="18" customFormat="1" ht="13.5" thickBot="1" x14ac:dyDescent="0.35">
      <c r="A11" s="144"/>
      <c r="B11" s="84" t="str">
        <f>'Variante données'!D47</f>
        <v>Cidre</v>
      </c>
      <c r="C11" s="832">
        <f>D11/$B$4</f>
        <v>2.125</v>
      </c>
      <c r="D11" s="257">
        <f>D12*G11</f>
        <v>4250</v>
      </c>
      <c r="E11" s="387">
        <f>'Variante données'!D65</f>
        <v>0.23</v>
      </c>
      <c r="F11" s="464">
        <f>D11*E11</f>
        <v>977.5</v>
      </c>
      <c r="G11" s="833">
        <f>'Variante données'!F86</f>
        <v>9.9999999999999992E-2</v>
      </c>
      <c r="J11" s="41"/>
      <c r="K11" s="128"/>
    </row>
    <row r="12" spans="1:11" s="1" customFormat="1" ht="19.5" customHeight="1" x14ac:dyDescent="0.3">
      <c r="B12" s="84"/>
      <c r="C12" s="56">
        <f>SUM(C9:C11)</f>
        <v>21.25</v>
      </c>
      <c r="D12" s="307">
        <f>'Variante données'!E65</f>
        <v>42500</v>
      </c>
      <c r="E12" s="57">
        <f>F12/D12</f>
        <v>0.87187500000000029</v>
      </c>
      <c r="F12" s="80">
        <f>SUM(F9:F11)</f>
        <v>37054.687500000015</v>
      </c>
      <c r="G12" s="58">
        <f>SUM(G8:G11)</f>
        <v>0.99999999999999989</v>
      </c>
      <c r="I12" s="8"/>
      <c r="J12" s="33"/>
      <c r="K12" s="121"/>
    </row>
    <row r="13" spans="1:11" s="1" customFormat="1" ht="19.5" customHeight="1" x14ac:dyDescent="0.3">
      <c r="B13" s="84"/>
      <c r="C13" s="56"/>
      <c r="D13" s="307"/>
      <c r="E13" s="57"/>
      <c r="F13" s="80"/>
      <c r="G13" s="58"/>
      <c r="I13" s="8"/>
      <c r="J13" s="33"/>
      <c r="K13" s="121"/>
    </row>
    <row r="14" spans="1:11" s="1" customFormat="1" ht="12.15" customHeight="1" thickBot="1" x14ac:dyDescent="0.35">
      <c r="A14" s="38"/>
      <c r="B14" s="84" t="str">
        <f>'Variante données'!A39</f>
        <v>Paiements directs PER</v>
      </c>
      <c r="C14" s="55"/>
      <c r="D14" s="56"/>
      <c r="E14" s="57"/>
      <c r="F14" s="625">
        <f>'Variante données'!C39</f>
        <v>1100</v>
      </c>
      <c r="G14" s="58"/>
      <c r="I14" s="335"/>
      <c r="J14" s="33"/>
      <c r="K14" s="121"/>
    </row>
    <row r="15" spans="1:11" ht="24" customHeight="1" x14ac:dyDescent="0.5">
      <c r="A15" s="834" t="s">
        <v>13</v>
      </c>
      <c r="B15" s="816"/>
      <c r="C15" s="816"/>
      <c r="D15" s="816"/>
      <c r="E15" s="816"/>
      <c r="F15" s="590">
        <f>SUM(F12:F14)</f>
        <v>38154.687500000015</v>
      </c>
      <c r="G15" s="816"/>
    </row>
    <row r="16" spans="1:11" ht="24" customHeight="1" x14ac:dyDescent="0.3">
      <c r="A16" s="38" t="s">
        <v>353</v>
      </c>
      <c r="B16" s="39"/>
      <c r="C16" s="186" t="s">
        <v>244</v>
      </c>
      <c r="D16" s="186" t="s">
        <v>14</v>
      </c>
      <c r="E16" s="219" t="s">
        <v>240</v>
      </c>
      <c r="F16" s="835" t="s">
        <v>343</v>
      </c>
      <c r="G16" s="186" t="s">
        <v>56</v>
      </c>
    </row>
    <row r="17" spans="1:11" ht="13" x14ac:dyDescent="0.3">
      <c r="A17" s="38"/>
      <c r="B17" s="39" t="str">
        <f>'Variante données'!B100</f>
        <v>Nitrate d'ammoniaque</v>
      </c>
      <c r="C17" s="106">
        <v>1</v>
      </c>
      <c r="D17" s="11">
        <f>'Variante données'!B111</f>
        <v>200</v>
      </c>
      <c r="E17" s="105">
        <f>'Variante données'!$B$101*(1+'Page variable'!$C$35)</f>
        <v>0.42</v>
      </c>
      <c r="F17" s="29">
        <f>D17*E17*C17</f>
        <v>84</v>
      </c>
      <c r="G17" s="133">
        <f>F17/$F$84</f>
        <v>2.1051218265923754E-3</v>
      </c>
    </row>
    <row r="18" spans="1:11" ht="13.5" thickBot="1" x14ac:dyDescent="0.35">
      <c r="A18" s="17"/>
      <c r="B18" s="39" t="str">
        <f>'Variante données'!C100</f>
        <v>Engrais mixte</v>
      </c>
      <c r="C18" s="909">
        <f>'Variante données'!C112</f>
        <v>1</v>
      </c>
      <c r="D18" s="11">
        <f>'Variante données'!C111</f>
        <v>250</v>
      </c>
      <c r="E18" s="105">
        <f>'Variante données'!$C$101*(1+'Page variable'!$C$35)</f>
        <v>0.85</v>
      </c>
      <c r="F18" s="758">
        <f>D18*E18</f>
        <v>212.5</v>
      </c>
      <c r="G18" s="133">
        <f>F18/$F$84</f>
        <v>5.3254570017961878E-3</v>
      </c>
    </row>
    <row r="19" spans="1:11" ht="13" x14ac:dyDescent="0.3">
      <c r="A19" s="69"/>
      <c r="B19" s="39"/>
      <c r="C19" s="11">
        <f>SUM(C17:C18)</f>
        <v>2</v>
      </c>
      <c r="D19" s="11"/>
      <c r="E19" s="105"/>
      <c r="F19" s="1008">
        <f>SUM(F17:F18)</f>
        <v>296.5</v>
      </c>
      <c r="G19" s="553">
        <f>F19/$F$84</f>
        <v>7.4305788283885628E-3</v>
      </c>
    </row>
    <row r="20" spans="1:11" ht="13" x14ac:dyDescent="0.3">
      <c r="A20" s="69" t="s">
        <v>471</v>
      </c>
      <c r="B20" s="28"/>
      <c r="C20" s="11"/>
      <c r="D20" s="11"/>
      <c r="E20" s="105"/>
      <c r="F20" s="105"/>
      <c r="G20" s="133"/>
    </row>
    <row r="21" spans="1:11" ht="18.75" customHeight="1" x14ac:dyDescent="0.25">
      <c r="A21" s="1466" t="str">
        <f>'Variante données'!A118</f>
        <v>Fongicides</v>
      </c>
      <c r="B21" s="686"/>
      <c r="C21" s="212"/>
      <c r="D21" s="11"/>
      <c r="E21" s="273"/>
      <c r="F21" s="43">
        <f>'Variante données'!D118</f>
        <v>2844</v>
      </c>
      <c r="G21" s="133">
        <f t="shared" ref="G21:G28" si="0">F21/$F$84</f>
        <v>7.1273410414627564E-2</v>
      </c>
    </row>
    <row r="22" spans="1:11" x14ac:dyDescent="0.25">
      <c r="A22" s="1466" t="str">
        <f>'Variante données'!A119</f>
        <v>Lutte contre le feu bactérien</v>
      </c>
      <c r="B22" s="686"/>
      <c r="C22" s="212"/>
      <c r="D22" s="11"/>
      <c r="E22" s="273"/>
      <c r="F22" s="43">
        <f>'Variante données'!D119</f>
        <v>1057</v>
      </c>
      <c r="G22" s="133">
        <f t="shared" si="0"/>
        <v>2.648944965128739E-2</v>
      </c>
    </row>
    <row r="23" spans="1:11" x14ac:dyDescent="0.25">
      <c r="A23" s="1466" t="str">
        <f>'Variante données'!A120</f>
        <v>Insecticides</v>
      </c>
      <c r="B23" s="686"/>
      <c r="C23" s="212"/>
      <c r="D23" s="11"/>
      <c r="E23" s="273"/>
      <c r="F23" s="43">
        <f>'Variante données'!D120</f>
        <v>1241</v>
      </c>
      <c r="G23" s="133">
        <f t="shared" si="0"/>
        <v>3.1100668890489735E-2</v>
      </c>
    </row>
    <row r="24" spans="1:11" ht="13" x14ac:dyDescent="0.3">
      <c r="A24" s="1466" t="str">
        <f>'Variante données'!A121</f>
        <v>Herbicides</v>
      </c>
      <c r="B24" s="686"/>
      <c r="C24" s="212"/>
      <c r="D24" s="11"/>
      <c r="E24" s="273"/>
      <c r="F24" s="43">
        <f>'Variante données'!D121</f>
        <v>430</v>
      </c>
      <c r="G24" s="133">
        <f t="shared" si="0"/>
        <v>1.0776218874222874E-2</v>
      </c>
      <c r="H24" s="46"/>
    </row>
    <row r="25" spans="1:11" x14ac:dyDescent="0.25">
      <c r="A25" s="1466" t="str">
        <f>'Variante données'!A122</f>
        <v>Régulation de la végétation</v>
      </c>
      <c r="B25" s="686"/>
      <c r="C25" s="212"/>
      <c r="D25" s="11"/>
      <c r="E25" s="273"/>
      <c r="F25" s="43">
        <f>'Variante données'!D122</f>
        <v>10</v>
      </c>
      <c r="G25" s="133">
        <f t="shared" si="0"/>
        <v>2.5060974126099708E-4</v>
      </c>
    </row>
    <row r="26" spans="1:11" ht="13" thickBot="1" x14ac:dyDescent="0.3">
      <c r="A26" s="1466" t="str">
        <f>'Variante données'!A123</f>
        <v>Fertilisation foliaire</v>
      </c>
      <c r="B26" s="686"/>
      <c r="C26" s="212"/>
      <c r="D26" s="11"/>
      <c r="E26" s="273"/>
      <c r="F26" s="464">
        <f>'Variante données'!D123</f>
        <v>360</v>
      </c>
      <c r="G26" s="133">
        <f t="shared" si="0"/>
        <v>9.0219506853958936E-3</v>
      </c>
    </row>
    <row r="27" spans="1:11" ht="13" x14ac:dyDescent="0.3">
      <c r="A27" s="68"/>
      <c r="B27" s="296"/>
      <c r="C27" s="814"/>
      <c r="D27" s="41"/>
      <c r="E27" s="42"/>
      <c r="F27" s="80">
        <f>SUM(F21:F26)*0.9</f>
        <v>5347.8</v>
      </c>
      <c r="G27" s="553">
        <f t="shared" si="0"/>
        <v>0.134021077431556</v>
      </c>
    </row>
    <row r="28" spans="1:11" s="1" customFormat="1" ht="13" x14ac:dyDescent="0.3">
      <c r="A28" s="144" t="str">
        <f>'Variante grêle'!A77</f>
        <v>Assurance grêle</v>
      </c>
      <c r="B28" s="296">
        <f>'Page variable'!D38</f>
        <v>0</v>
      </c>
      <c r="C28" s="613">
        <f>'Variante grêle'!D80</f>
        <v>0.112</v>
      </c>
      <c r="D28" s="128">
        <f>'Variante grêle'!C95*(1+'Page variable'!C38)</f>
        <v>31430</v>
      </c>
      <c r="E28" s="42">
        <f>'Variante grêle'!E80</f>
        <v>0.8</v>
      </c>
      <c r="F28" s="80">
        <f>B28*C28*D28*E28</f>
        <v>0</v>
      </c>
      <c r="G28" s="133">
        <f t="shared" si="0"/>
        <v>0</v>
      </c>
      <c r="J28" s="33"/>
      <c r="K28" s="121"/>
    </row>
    <row r="29" spans="1:11" s="66" customFormat="1" ht="13" x14ac:dyDescent="0.3">
      <c r="A29" s="229" t="s">
        <v>409</v>
      </c>
      <c r="B29" s="836"/>
      <c r="C29" s="214"/>
      <c r="D29" s="837"/>
      <c r="E29" s="213"/>
      <c r="F29" s="82"/>
      <c r="G29" s="214"/>
      <c r="J29" s="264"/>
      <c r="K29" s="687"/>
    </row>
    <row r="30" spans="1:11" s="66" customFormat="1" x14ac:dyDescent="0.25">
      <c r="A30" s="1503" t="str">
        <f>'Variante données'!E38</f>
        <v>Contributions d'organisation</v>
      </c>
      <c r="B30" s="144" t="str">
        <f>'Variante données'!F38</f>
        <v>Catégorie I+II</v>
      </c>
      <c r="C30" s="144"/>
      <c r="D30" s="144" t="s">
        <v>245</v>
      </c>
      <c r="E30" s="213">
        <f>'Variante données'!G38</f>
        <v>300</v>
      </c>
      <c r="F30" s="148">
        <f>E30</f>
        <v>300</v>
      </c>
      <c r="G30" s="214">
        <f t="shared" ref="G30:G35" si="1">F30/$F$84</f>
        <v>7.5182922378299114E-3</v>
      </c>
      <c r="J30" s="264"/>
      <c r="K30" s="687"/>
    </row>
    <row r="31" spans="1:11" s="66" customFormat="1" x14ac:dyDescent="0.25">
      <c r="A31" s="1503"/>
      <c r="B31" s="144" t="str">
        <f>'Variante données'!F39</f>
        <v>Cidre</v>
      </c>
      <c r="C31" s="144"/>
      <c r="D31" s="144" t="s">
        <v>382</v>
      </c>
      <c r="E31" s="213">
        <f>'Variante données'!G39</f>
        <v>0.9</v>
      </c>
      <c r="F31" s="148">
        <f>E31*$D$11/100</f>
        <v>38.25</v>
      </c>
      <c r="G31" s="214">
        <f t="shared" si="1"/>
        <v>9.5858226032331372E-4</v>
      </c>
      <c r="J31" s="264"/>
      <c r="K31" s="687"/>
    </row>
    <row r="32" spans="1:11" s="66" customFormat="1" x14ac:dyDescent="0.25">
      <c r="A32" s="751" t="str">
        <f>'Variante données'!E41</f>
        <v>Coûts d'emballage</v>
      </c>
      <c r="B32" s="688" t="str">
        <f>'Variante données'!F41</f>
        <v>Catégorie I+II</v>
      </c>
      <c r="C32" s="144"/>
      <c r="D32" s="144" t="s">
        <v>382</v>
      </c>
      <c r="E32" s="689">
        <f>'Variante données'!G41</f>
        <v>0</v>
      </c>
      <c r="F32" s="148">
        <f>($D$9+$D$10)/100*E32</f>
        <v>0</v>
      </c>
      <c r="G32" s="214">
        <f t="shared" si="1"/>
        <v>0</v>
      </c>
      <c r="J32" s="264"/>
      <c r="K32" s="687"/>
    </row>
    <row r="33" spans="1:13" s="66" customFormat="1" x14ac:dyDescent="0.25">
      <c r="A33" s="751" t="str">
        <f>'Variante données'!E42</f>
        <v>Coûts de triage</v>
      </c>
      <c r="B33" s="144" t="str">
        <f>'Variante données'!F42</f>
        <v>Catégorie I+II</v>
      </c>
      <c r="C33" s="144"/>
      <c r="D33" s="144" t="s">
        <v>382</v>
      </c>
      <c r="E33" s="213">
        <f>'Variante données'!G42</f>
        <v>0</v>
      </c>
      <c r="F33" s="148">
        <f>($D$9+$D$10)/100*E33</f>
        <v>0</v>
      </c>
      <c r="G33" s="214">
        <f t="shared" si="1"/>
        <v>0</v>
      </c>
      <c r="J33" s="264"/>
      <c r="K33" s="687"/>
    </row>
    <row r="34" spans="1:13" s="66" customFormat="1" ht="13" thickBot="1" x14ac:dyDescent="0.3">
      <c r="A34" s="751"/>
      <c r="B34" s="144" t="str">
        <f>'Variante données'!F43</f>
        <v>Déchets</v>
      </c>
      <c r="C34" s="144"/>
      <c r="D34" s="144" t="s">
        <v>382</v>
      </c>
      <c r="E34" s="213">
        <f>'Variante données'!G43</f>
        <v>0</v>
      </c>
      <c r="F34" s="582">
        <f>(E34/100)*('Variante données'!D86*D12)</f>
        <v>0</v>
      </c>
      <c r="G34" s="214">
        <f t="shared" si="1"/>
        <v>0</v>
      </c>
      <c r="J34" s="264"/>
      <c r="K34" s="687"/>
    </row>
    <row r="35" spans="1:13" s="66" customFormat="1" ht="13" x14ac:dyDescent="0.3">
      <c r="A35" s="612"/>
      <c r="B35" s="144"/>
      <c r="C35" s="144"/>
      <c r="D35" s="144"/>
      <c r="E35" s="213"/>
      <c r="F35" s="82">
        <f>SUM(F30:F34)</f>
        <v>338.25</v>
      </c>
      <c r="G35" s="553">
        <f t="shared" si="1"/>
        <v>8.4768744981532258E-3</v>
      </c>
      <c r="J35" s="264"/>
      <c r="K35" s="687"/>
    </row>
    <row r="36" spans="1:13" s="66" customFormat="1" ht="13" x14ac:dyDescent="0.3">
      <c r="A36" s="612"/>
      <c r="B36" s="144"/>
      <c r="C36" s="144"/>
      <c r="D36" s="144"/>
      <c r="E36" s="213"/>
      <c r="F36" s="82"/>
      <c r="G36" s="214"/>
      <c r="J36" s="264"/>
      <c r="K36" s="687"/>
    </row>
    <row r="37" spans="1:13" s="66" customFormat="1" ht="25" x14ac:dyDescent="0.25">
      <c r="A37" s="1100" t="s">
        <v>122</v>
      </c>
      <c r="B37" s="846" t="s">
        <v>15</v>
      </c>
      <c r="C37" s="840">
        <f>'Variante années de végétation'!T81</f>
        <v>87471.623963084232</v>
      </c>
      <c r="D37" s="1086">
        <f>'Variante données'!B29</f>
        <v>12</v>
      </c>
      <c r="E37" s="842"/>
      <c r="F37" s="840">
        <f>C37/D37</f>
        <v>7289.3019969236857</v>
      </c>
      <c r="G37" s="852">
        <f>F37/$F$84</f>
        <v>0.18267700874223142</v>
      </c>
      <c r="J37" s="264"/>
      <c r="K37" s="687"/>
    </row>
    <row r="38" spans="1:13" s="66" customFormat="1" ht="18.75" customHeight="1" x14ac:dyDescent="0.25">
      <c r="A38" s="838"/>
      <c r="B38" s="158"/>
      <c r="C38" s="840"/>
      <c r="D38" s="841"/>
      <c r="E38" s="842"/>
      <c r="F38" s="840"/>
      <c r="G38" s="843"/>
      <c r="J38" s="264"/>
      <c r="K38" s="687"/>
    </row>
    <row r="39" spans="1:13" s="66" customFormat="1" ht="21.15" customHeight="1" x14ac:dyDescent="0.3">
      <c r="A39" s="84" t="s">
        <v>154</v>
      </c>
      <c r="B39" s="626" t="s">
        <v>392</v>
      </c>
      <c r="C39" s="755"/>
      <c r="D39" s="751"/>
      <c r="E39" s="756"/>
      <c r="F39" s="82">
        <f>'Variante données'!E163</f>
        <v>600</v>
      </c>
      <c r="G39" s="553">
        <f>F39/$F$84</f>
        <v>1.5036584475659823E-2</v>
      </c>
      <c r="J39" s="264"/>
      <c r="K39" s="687"/>
    </row>
    <row r="40" spans="1:13" s="66" customFormat="1" ht="11" customHeight="1" x14ac:dyDescent="0.3">
      <c r="A40" s="84"/>
      <c r="B40" s="844"/>
      <c r="C40" s="755"/>
      <c r="D40" s="751"/>
      <c r="E40" s="756"/>
      <c r="F40" s="82"/>
      <c r="G40" s="214"/>
      <c r="J40" s="264"/>
      <c r="K40" s="687"/>
    </row>
    <row r="41" spans="1:13" s="66" customFormat="1" ht="21.15" customHeight="1" x14ac:dyDescent="0.3">
      <c r="A41" s="84"/>
      <c r="B41" s="276" t="s">
        <v>16</v>
      </c>
      <c r="C41" s="755"/>
      <c r="D41" s="751"/>
      <c r="E41" s="756">
        <f>(PMT('Variante données'!C40,'Variante données'!B29,'Variante données'!C38))*(-1)</f>
        <v>633.66632542419666</v>
      </c>
      <c r="F41" s="82">
        <f>E41</f>
        <v>633.66632542419666</v>
      </c>
      <c r="G41" s="214"/>
      <c r="J41" s="264"/>
      <c r="K41" s="687"/>
    </row>
    <row r="42" spans="1:13" s="66" customFormat="1" ht="21.15" customHeight="1" x14ac:dyDescent="0.3">
      <c r="A42" s="72"/>
      <c r="B42" s="276"/>
      <c r="C42" s="276"/>
      <c r="D42" s="108"/>
      <c r="E42" s="277"/>
      <c r="F42" s="132"/>
      <c r="G42" s="214"/>
      <c r="J42" s="264"/>
      <c r="K42" s="687"/>
    </row>
    <row r="43" spans="1:13" s="16" customFormat="1" ht="27" customHeight="1" x14ac:dyDescent="0.4">
      <c r="A43" s="589" t="s">
        <v>157</v>
      </c>
      <c r="B43" s="618"/>
      <c r="C43" s="690"/>
      <c r="D43" s="690"/>
      <c r="E43" s="691"/>
      <c r="F43" s="590">
        <f>F39+F37+F28+F35+F27+F19+F41</f>
        <v>14505.518322347882</v>
      </c>
      <c r="G43" s="1023">
        <f>F43/$F$84</f>
        <v>0.36352241936202545</v>
      </c>
      <c r="J43" s="120"/>
      <c r="K43" s="124"/>
    </row>
    <row r="44" spans="1:13" ht="18.75" customHeight="1" x14ac:dyDescent="0.35">
      <c r="A44" s="17" t="s">
        <v>277</v>
      </c>
      <c r="B44" s="13"/>
      <c r="C44" s="149" t="s">
        <v>191</v>
      </c>
      <c r="D44" s="757">
        <f>'Variante données'!C159</f>
        <v>10</v>
      </c>
      <c r="E44" s="42">
        <f>'Variante données'!D159</f>
        <v>15</v>
      </c>
      <c r="F44" s="283">
        <f>D44*E44</f>
        <v>150</v>
      </c>
      <c r="G44" s="553">
        <f>F44/$F$84</f>
        <v>3.7591461189149557E-3</v>
      </c>
      <c r="J44" s="1512"/>
      <c r="K44" s="1512"/>
      <c r="L44" s="1508"/>
      <c r="M44" s="1508"/>
    </row>
    <row r="45" spans="1:13" s="1" customFormat="1" ht="18.75" customHeight="1" x14ac:dyDescent="0.3">
      <c r="A45" s="38"/>
      <c r="B45" s="18"/>
      <c r="C45" s="149"/>
      <c r="D45" s="757"/>
      <c r="E45" s="42"/>
      <c r="F45" s="80"/>
      <c r="G45" s="133"/>
      <c r="J45" s="264"/>
      <c r="K45" s="264"/>
      <c r="L45" s="33"/>
      <c r="M45" s="33"/>
    </row>
    <row r="46" spans="1:13" ht="18" customHeight="1" x14ac:dyDescent="0.3">
      <c r="C46" s="36" t="s">
        <v>244</v>
      </c>
      <c r="D46" s="117" t="s">
        <v>266</v>
      </c>
      <c r="E46" s="300" t="s">
        <v>267</v>
      </c>
      <c r="F46" s="298" t="s">
        <v>53</v>
      </c>
      <c r="G46" s="133"/>
      <c r="J46" s="36" t="s">
        <v>428</v>
      </c>
      <c r="K46" s="143" t="s">
        <v>59</v>
      </c>
      <c r="L46" s="1"/>
      <c r="M46" s="142"/>
    </row>
    <row r="47" spans="1:13" s="1" customFormat="1" ht="13" x14ac:dyDescent="0.3">
      <c r="A47" s="38" t="s">
        <v>153</v>
      </c>
      <c r="B47" s="144" t="str">
        <f>'Variante données'!B135</f>
        <v>Pulvérisateur traîné avec ventilateur, 1000 l</v>
      </c>
      <c r="C47" s="814">
        <f>'Variante données'!D124</f>
        <v>22</v>
      </c>
      <c r="D47" s="37">
        <f>'Variante données'!C135</f>
        <v>1</v>
      </c>
      <c r="E47" s="42">
        <f>'Variante données'!$D$135*(1+'Page variable'!$C$33)</f>
        <v>50.3</v>
      </c>
      <c r="F47" s="43">
        <f>C47*D47*E47</f>
        <v>1106.5999999999999</v>
      </c>
      <c r="G47" s="133">
        <f>F47/$F$84</f>
        <v>2.7732473967941932E-2</v>
      </c>
      <c r="J47" s="684">
        <f>'Variante données'!G135</f>
        <v>11.01</v>
      </c>
      <c r="K47" s="121">
        <f>C47*J47</f>
        <v>242.22</v>
      </c>
      <c r="L47" s="335"/>
    </row>
    <row r="48" spans="1:13" s="1" customFormat="1" ht="13" x14ac:dyDescent="0.3">
      <c r="A48" s="38"/>
      <c r="B48" s="144" t="str">
        <f>'Variante données'!B136</f>
        <v>Rampe de pulvérisation pour herbicides avec tank</v>
      </c>
      <c r="C48" s="814">
        <f>'Variante données'!D125</f>
        <v>6</v>
      </c>
      <c r="D48" s="37">
        <f>'Variante données'!C136</f>
        <v>1</v>
      </c>
      <c r="E48" s="42">
        <f>'Variante données'!$D$136*(1+'Page variable'!$C$33)</f>
        <v>69</v>
      </c>
      <c r="F48" s="43">
        <f>C48*D48*E48</f>
        <v>414</v>
      </c>
      <c r="G48" s="133">
        <f>F48/$F$84</f>
        <v>1.0375243288205278E-2</v>
      </c>
      <c r="J48" s="684">
        <f>'Variante données'!G136</f>
        <v>13</v>
      </c>
      <c r="K48" s="121">
        <f>C48*J48</f>
        <v>78</v>
      </c>
      <c r="L48" s="335"/>
    </row>
    <row r="49" spans="1:12" s="1" customFormat="1" ht="13" x14ac:dyDescent="0.3">
      <c r="A49" s="38"/>
      <c r="B49" s="144" t="str">
        <f>'Variante données'!B137</f>
        <v>Distributeur d'engrais à simple trémie, 2.5 m</v>
      </c>
      <c r="C49" s="613">
        <f>C19</f>
        <v>2</v>
      </c>
      <c r="D49" s="37">
        <f>'Variante données'!C137</f>
        <v>1</v>
      </c>
      <c r="E49" s="42">
        <f>'Variante données'!$D$137*(1+'Page variable'!$C$33)</f>
        <v>18</v>
      </c>
      <c r="F49" s="43">
        <f>C49*D49*E49</f>
        <v>36</v>
      </c>
      <c r="G49" s="133">
        <f>F49/$F$84</f>
        <v>9.0219506853958943E-4</v>
      </c>
      <c r="J49" s="684">
        <f>'Variante données'!G137</f>
        <v>9</v>
      </c>
      <c r="K49" s="121">
        <f>C49*J49</f>
        <v>18</v>
      </c>
      <c r="L49" s="335"/>
    </row>
    <row r="50" spans="1:12" s="1" customFormat="1" ht="13" x14ac:dyDescent="0.3">
      <c r="A50" s="38"/>
      <c r="B50" s="144" t="str">
        <f>'Variante données'!B138</f>
        <v>Char d'arboriculture</v>
      </c>
      <c r="C50" s="1066">
        <f>'Variante données'!C138</f>
        <v>960</v>
      </c>
      <c r="D50" s="18"/>
      <c r="E50" s="1055">
        <f>'Variante données'!$D$138*(1+'Page variable'!$C$33)</f>
        <v>11.2</v>
      </c>
      <c r="F50" s="43">
        <f>D51*E50</f>
        <v>471.04166666666663</v>
      </c>
      <c r="G50" s="133">
        <f>F50/$F$84</f>
        <v>1.1804763020648215E-2</v>
      </c>
      <c r="J50" s="684">
        <f>'Variante données'!G138</f>
        <v>1.54</v>
      </c>
      <c r="K50" s="121">
        <f>D51*J50</f>
        <v>64.768229166666671</v>
      </c>
      <c r="L50" s="335"/>
    </row>
    <row r="51" spans="1:12" s="1" customFormat="1" ht="13" x14ac:dyDescent="0.3">
      <c r="A51" s="38"/>
      <c r="B51" s="293" t="s">
        <v>384</v>
      </c>
      <c r="C51" s="1067">
        <f>'Variante données'!E138</f>
        <v>4</v>
      </c>
      <c r="D51" s="1057">
        <f>((D9+D10)+('Variante données'!D86*D12))/C50</f>
        <v>42.057291666666664</v>
      </c>
      <c r="E51" s="1056">
        <f>C50/C72/C51*(1+'Page variable'!$C$33)</f>
        <v>2.1818181818181817</v>
      </c>
      <c r="F51" s="43"/>
      <c r="G51" s="133"/>
      <c r="J51" s="33"/>
      <c r="K51" s="128"/>
      <c r="L51" s="692"/>
    </row>
    <row r="52" spans="1:12" s="1" customFormat="1" ht="13" x14ac:dyDescent="0.3">
      <c r="A52" s="38"/>
      <c r="B52" s="293" t="s">
        <v>385</v>
      </c>
      <c r="C52" s="1067">
        <f>'Variante données'!E138</f>
        <v>4</v>
      </c>
      <c r="D52" s="1057">
        <f>'Variante données'!E86*D12/C50</f>
        <v>2.2135416666666665</v>
      </c>
      <c r="E52" s="1056">
        <f>C50/C73/C52*(1+'Page variable'!$C$33)</f>
        <v>0.8</v>
      </c>
      <c r="F52" s="43">
        <f>D52*E50</f>
        <v>24.791666666666664</v>
      </c>
      <c r="G52" s="133">
        <f t="shared" ref="G52:G60" si="2">F52/$F$84</f>
        <v>6.2130331687622179E-4</v>
      </c>
      <c r="J52" s="33"/>
      <c r="K52" s="128"/>
      <c r="L52" s="692"/>
    </row>
    <row r="53" spans="1:12" s="1099" customFormat="1" ht="25.5" x14ac:dyDescent="0.3">
      <c r="A53" s="1051"/>
      <c r="B53" s="281" t="str">
        <f>'Variante données'!B139</f>
        <v>Faucheuse à mulching, avec bras pivotant des deux côtés</v>
      </c>
      <c r="C53" s="1105">
        <f>'Variante données'!E139</f>
        <v>7</v>
      </c>
      <c r="D53" s="1095">
        <f>'Variante données'!C139</f>
        <v>1</v>
      </c>
      <c r="E53" s="1096">
        <f>'Variante données'!$D$139*(1+'Page variable'!$C$33)</f>
        <v>62.2</v>
      </c>
      <c r="F53" s="1097">
        <f>C53*D53*E53</f>
        <v>435.40000000000003</v>
      </c>
      <c r="G53" s="1106">
        <f t="shared" si="2"/>
        <v>1.0911548134503813E-2</v>
      </c>
      <c r="J53" s="1107">
        <f>'Variante données'!G139</f>
        <v>22.68</v>
      </c>
      <c r="K53" s="1108">
        <f>C53*J53</f>
        <v>158.76</v>
      </c>
      <c r="L53" s="1109"/>
    </row>
    <row r="54" spans="1:12" s="1" customFormat="1" ht="13.5" thickBot="1" x14ac:dyDescent="0.35">
      <c r="A54" s="38"/>
      <c r="B54" s="144" t="str">
        <f>'Variante données'!B140</f>
        <v>Hacheuse de bois</v>
      </c>
      <c r="C54" s="215">
        <f>'Variante données'!E140</f>
        <v>1</v>
      </c>
      <c r="D54" s="728">
        <f>'Variante données'!C140</f>
        <v>2</v>
      </c>
      <c r="E54" s="42">
        <f>'Variante données'!$D$140*(1+'Page variable'!$C$33)</f>
        <v>75.7</v>
      </c>
      <c r="F54" s="464">
        <f>E54*D54*C54</f>
        <v>151.4</v>
      </c>
      <c r="G54" s="133">
        <f t="shared" si="2"/>
        <v>3.7942314826914956E-3</v>
      </c>
      <c r="J54" s="684">
        <f>'Variante données'!G140</f>
        <v>30.2</v>
      </c>
      <c r="K54" s="128">
        <f>C54*J54</f>
        <v>30.2</v>
      </c>
      <c r="L54" s="692"/>
    </row>
    <row r="55" spans="1:12" s="1" customFormat="1" ht="13" x14ac:dyDescent="0.3">
      <c r="A55" s="38"/>
      <c r="B55" s="144" t="s">
        <v>391</v>
      </c>
      <c r="C55" s="215"/>
      <c r="D55" s="614">
        <f>(C47*D47)+(C48*D48)+(C49*D49)+(D51*E51*'Variante données'!H132)+(C53*D53)+(C54*D54)+(D52*E52*'Variante données'!H132)</f>
        <v>62.383049242424242</v>
      </c>
      <c r="E55" s="42"/>
      <c r="F55" s="82">
        <f>SUM(F47:F54)</f>
        <v>2639.2333333333331</v>
      </c>
      <c r="G55" s="133">
        <f t="shared" si="2"/>
        <v>6.6141758279406548E-2</v>
      </c>
      <c r="J55" s="684"/>
      <c r="K55" s="128"/>
      <c r="L55" s="692"/>
    </row>
    <row r="56" spans="1:12" s="1" customFormat="1" ht="13" x14ac:dyDescent="0.3">
      <c r="A56" s="853"/>
      <c r="B56" s="84" t="str">
        <f>'Variante données'!B132</f>
        <v>Tracteur arboricole 4 roues motrices</v>
      </c>
      <c r="C56" s="41"/>
      <c r="D56" s="614">
        <f>D55</f>
        <v>62.383049242424242</v>
      </c>
      <c r="E56" s="42">
        <f>'Variante données'!$D$132*(1+'Page variable'!$C$33)</f>
        <v>41</v>
      </c>
      <c r="F56" s="148">
        <f>D56*E56</f>
        <v>2557.705018939394</v>
      </c>
      <c r="G56" s="133">
        <f t="shared" si="2"/>
        <v>6.4098579301835518E-2</v>
      </c>
      <c r="H56" s="630">
        <f>(D51*E51*'Variante données'!H132)+(D52*E52*'Variante données'!H132)</f>
        <v>23.383049242424239</v>
      </c>
      <c r="I56" s="1" t="s">
        <v>17</v>
      </c>
      <c r="J56" s="259">
        <f>'Variante données'!G145</f>
        <v>17.64</v>
      </c>
      <c r="K56" s="128">
        <f>D56*J56</f>
        <v>1100.4369886363636</v>
      </c>
      <c r="L56" s="692"/>
    </row>
    <row r="57" spans="1:12" s="1" customFormat="1" ht="13" x14ac:dyDescent="0.3">
      <c r="A57" s="1515" t="s">
        <v>374</v>
      </c>
      <c r="B57" s="144" t="str">
        <f>'Variante données'!$B$132</f>
        <v>Tracteur arboricole 4 roues motrices</v>
      </c>
      <c r="C57" s="562">
        <v>10</v>
      </c>
      <c r="D57" s="614"/>
      <c r="E57" s="42">
        <f>'Variante données'!$D$132*(1+'Page variable'!$C$33)</f>
        <v>41</v>
      </c>
      <c r="F57" s="148">
        <f>E57*C57</f>
        <v>410</v>
      </c>
      <c r="G57" s="133">
        <f t="shared" si="2"/>
        <v>1.027499939170088E-2</v>
      </c>
      <c r="H57" s="630"/>
      <c r="J57" s="259"/>
      <c r="K57" s="128"/>
      <c r="L57" s="692"/>
    </row>
    <row r="58" spans="1:12" s="1" customFormat="1" ht="13" x14ac:dyDescent="0.3">
      <c r="A58" s="1515"/>
      <c r="B58" s="144" t="s">
        <v>308</v>
      </c>
      <c r="C58" s="562">
        <v>10</v>
      </c>
      <c r="D58" s="614"/>
      <c r="E58" s="42">
        <f>'Variante données'!$D$152*(1+'Page variable'!$C$33)</f>
        <v>19.100000000000001</v>
      </c>
      <c r="F58" s="148">
        <f>E58*C58</f>
        <v>191</v>
      </c>
      <c r="G58" s="133">
        <f t="shared" si="2"/>
        <v>4.786646058085044E-3</v>
      </c>
      <c r="H58" s="630"/>
      <c r="J58" s="259"/>
      <c r="K58" s="128"/>
      <c r="L58" s="692"/>
    </row>
    <row r="59" spans="1:12" s="1" customFormat="1" ht="13" thickBot="1" x14ac:dyDescent="0.3">
      <c r="A59" s="752"/>
      <c r="B59" s="39" t="str">
        <f>'Variante données'!B142</f>
        <v>Divers petits appareils</v>
      </c>
      <c r="C59" s="41"/>
      <c r="D59" s="41"/>
      <c r="E59" s="42"/>
      <c r="F59" s="582">
        <f>'Variante données'!$D$142*(1+'Page variable'!$C$33)</f>
        <v>350</v>
      </c>
      <c r="G59" s="133">
        <f t="shared" si="2"/>
        <v>8.7713409441348977E-3</v>
      </c>
      <c r="J59" s="33"/>
      <c r="K59" s="334">
        <f>SUM(K47:K56)</f>
        <v>1692.3852178030304</v>
      </c>
      <c r="L59" s="18"/>
    </row>
    <row r="60" spans="1:12" s="1" customFormat="1" ht="15.5" x14ac:dyDescent="0.35">
      <c r="A60" s="616"/>
      <c r="B60" s="4"/>
      <c r="C60" s="33"/>
      <c r="D60" s="33"/>
      <c r="E60" s="45"/>
      <c r="F60" s="629">
        <f>SUM(F55:F59)</f>
        <v>6147.9383522727276</v>
      </c>
      <c r="G60" s="553">
        <f t="shared" si="2"/>
        <v>0.15407332397516288</v>
      </c>
      <c r="J60" s="33"/>
      <c r="K60" s="128"/>
      <c r="L60" s="18"/>
    </row>
    <row r="61" spans="1:12" ht="13" x14ac:dyDescent="0.3">
      <c r="A61" s="74"/>
      <c r="B61" s="15"/>
      <c r="C61" s="33"/>
      <c r="D61" s="33"/>
      <c r="E61" s="45"/>
      <c r="F61" s="52"/>
      <c r="G61" s="133"/>
      <c r="K61" s="128"/>
      <c r="L61" s="13"/>
    </row>
    <row r="62" spans="1:12" x14ac:dyDescent="0.25">
      <c r="B62" s="15"/>
      <c r="C62" s="41"/>
      <c r="D62" s="117" t="s">
        <v>309</v>
      </c>
      <c r="E62" s="300" t="s">
        <v>52</v>
      </c>
      <c r="F62" s="298" t="s">
        <v>53</v>
      </c>
      <c r="G62" s="133"/>
      <c r="K62" s="128"/>
      <c r="L62" s="13"/>
    </row>
    <row r="63" spans="1:12" s="1" customFormat="1" ht="13" x14ac:dyDescent="0.3">
      <c r="A63" s="38" t="s">
        <v>375</v>
      </c>
      <c r="B63" s="39" t="s">
        <v>353</v>
      </c>
      <c r="C63" s="41"/>
      <c r="D63" s="360">
        <f>C49*D49</f>
        <v>2</v>
      </c>
      <c r="E63" s="42">
        <f>'Variante données'!$C$36</f>
        <v>29.5</v>
      </c>
      <c r="F63" s="43">
        <f>D63*E63</f>
        <v>59</v>
      </c>
      <c r="G63" s="133">
        <f t="shared" ref="G63:G70" si="3">F63/$F$84</f>
        <v>1.4785974734398827E-3</v>
      </c>
      <c r="J63" s="33"/>
      <c r="K63" s="121"/>
    </row>
    <row r="64" spans="1:12" s="1" customFormat="1" ht="13" x14ac:dyDescent="0.3">
      <c r="A64" s="38"/>
      <c r="B64" s="39" t="s">
        <v>453</v>
      </c>
      <c r="C64" s="18"/>
      <c r="D64" s="44">
        <f>((C47*D47)+(C48*D48))+'Variante données'!B93+'Variante données'!C93</f>
        <v>43</v>
      </c>
      <c r="E64" s="42">
        <f>'Variante données'!$C$36</f>
        <v>29.5</v>
      </c>
      <c r="F64" s="43">
        <f>D64*E64</f>
        <v>1268.5</v>
      </c>
      <c r="G64" s="133">
        <f t="shared" si="3"/>
        <v>3.1789845678957478E-2</v>
      </c>
      <c r="J64" s="33"/>
      <c r="K64" s="121"/>
    </row>
    <row r="65" spans="1:11" s="1" customFormat="1" ht="13" x14ac:dyDescent="0.3">
      <c r="A65" s="38"/>
      <c r="B65" s="39" t="str">
        <f>'Variante données'!D90</f>
        <v>Taille 
(été + hiver)</v>
      </c>
      <c r="C65" s="41"/>
      <c r="D65" s="128">
        <f>'Variante données'!D93</f>
        <v>100</v>
      </c>
      <c r="E65" s="42">
        <f>'Variante données'!$C$36</f>
        <v>29.5</v>
      </c>
      <c r="F65" s="43">
        <f>D65*E65</f>
        <v>2950</v>
      </c>
      <c r="G65" s="133">
        <f t="shared" si="3"/>
        <v>7.3929873671994134E-2</v>
      </c>
      <c r="J65" s="33"/>
      <c r="K65" s="121"/>
    </row>
    <row r="66" spans="1:11" s="1" customFormat="1" ht="13" x14ac:dyDescent="0.3">
      <c r="A66" s="38"/>
      <c r="B66" s="39" t="s">
        <v>390</v>
      </c>
      <c r="C66" s="41"/>
      <c r="D66" s="215">
        <f>(C53*D53)+(C54*D54)</f>
        <v>9</v>
      </c>
      <c r="E66" s="42">
        <f>'Variante données'!$C$36</f>
        <v>29.5</v>
      </c>
      <c r="F66" s="43">
        <f>D66*E66</f>
        <v>265.5</v>
      </c>
      <c r="G66" s="133">
        <f t="shared" si="3"/>
        <v>6.6536886304794721E-3</v>
      </c>
      <c r="J66" s="33"/>
      <c r="K66" s="121"/>
    </row>
    <row r="67" spans="1:11" s="1" customFormat="1" ht="13" x14ac:dyDescent="0.3">
      <c r="A67" s="38"/>
      <c r="B67" s="315" t="str">
        <f>'Variante données'!E90</f>
        <v>Régulation de la charge (manuelle)</v>
      </c>
      <c r="C67" s="18" t="s">
        <v>429</v>
      </c>
      <c r="D67" s="44">
        <f>'Variante données'!E93</f>
        <v>70</v>
      </c>
      <c r="E67" s="42">
        <f>'Variante données'!C35</f>
        <v>25.25</v>
      </c>
      <c r="F67" s="43">
        <f>D67*E67</f>
        <v>1767.5</v>
      </c>
      <c r="G67" s="133">
        <f t="shared" si="3"/>
        <v>4.4295271767881228E-2</v>
      </c>
      <c r="J67" s="33"/>
      <c r="K67" s="121"/>
    </row>
    <row r="68" spans="1:11" s="1" customFormat="1" ht="13" x14ac:dyDescent="0.3">
      <c r="A68" s="38"/>
      <c r="B68" s="315" t="s">
        <v>388</v>
      </c>
      <c r="C68" s="44">
        <f>'Page variable'!$D$37</f>
        <v>0</v>
      </c>
      <c r="D68" s="905">
        <v>15</v>
      </c>
      <c r="E68" s="42">
        <f>'Variante données'!C35</f>
        <v>25.25</v>
      </c>
      <c r="F68" s="43">
        <f>C68*D68*E68</f>
        <v>0</v>
      </c>
      <c r="G68" s="133">
        <f t="shared" si="3"/>
        <v>0</v>
      </c>
      <c r="J68" s="33"/>
      <c r="K68" s="121"/>
    </row>
    <row r="69" spans="1:11" s="1" customFormat="1" ht="13" x14ac:dyDescent="0.3">
      <c r="A69" s="38"/>
      <c r="B69" s="315" t="s">
        <v>389</v>
      </c>
      <c r="C69" s="44">
        <f>'Page variable'!$D$37</f>
        <v>0</v>
      </c>
      <c r="D69" s="905">
        <v>10</v>
      </c>
      <c r="E69" s="42">
        <f>'Variante données'!C35</f>
        <v>25.25</v>
      </c>
      <c r="F69" s="43">
        <f>C69*D69*E69</f>
        <v>0</v>
      </c>
      <c r="G69" s="133">
        <f t="shared" si="3"/>
        <v>0</v>
      </c>
      <c r="J69" s="33"/>
      <c r="K69" s="121"/>
    </row>
    <row r="70" spans="1:11" s="1" customFormat="1" ht="15.5" x14ac:dyDescent="0.35">
      <c r="A70" s="38"/>
      <c r="B70" s="315"/>
      <c r="C70" s="18"/>
      <c r="D70" s="336"/>
      <c r="E70" s="45"/>
      <c r="F70" s="283">
        <f>SUM(F63:F69)</f>
        <v>6310.5</v>
      </c>
      <c r="G70" s="214">
        <f t="shared" si="3"/>
        <v>0.15814727722275218</v>
      </c>
      <c r="J70" s="33"/>
      <c r="K70" s="121"/>
    </row>
    <row r="71" spans="1:11" s="1" customFormat="1" ht="13" x14ac:dyDescent="0.3">
      <c r="A71" s="38"/>
      <c r="B71" s="315"/>
      <c r="C71" s="18"/>
      <c r="D71" s="336"/>
      <c r="E71" s="45"/>
      <c r="F71" s="32"/>
      <c r="G71" s="133"/>
      <c r="J71" s="33"/>
      <c r="K71" s="121"/>
    </row>
    <row r="72" spans="1:11" s="1" customFormat="1" ht="13" x14ac:dyDescent="0.3">
      <c r="A72" s="38" t="s">
        <v>223</v>
      </c>
      <c r="B72" s="751" t="s">
        <v>228</v>
      </c>
      <c r="C72" s="759">
        <f>'Variante données'!G86</f>
        <v>110</v>
      </c>
      <c r="D72" s="44">
        <f>(D9+D10+('Variante données'!D86*D12))/C72</f>
        <v>367.04545454545456</v>
      </c>
      <c r="E72" s="42">
        <f>'Variante données'!$C$35</f>
        <v>25.25</v>
      </c>
      <c r="F72" s="43">
        <f>D72*E72</f>
        <v>9267.8977272727279</v>
      </c>
      <c r="G72" s="133">
        <f>F72/$F$84</f>
        <v>0.23226254514652012</v>
      </c>
      <c r="J72" s="33"/>
      <c r="K72" s="121"/>
    </row>
    <row r="73" spans="1:11" s="1" customFormat="1" ht="13" x14ac:dyDescent="0.3">
      <c r="A73" s="38"/>
      <c r="B73" s="301" t="s">
        <v>229</v>
      </c>
      <c r="C73" s="250">
        <f>'Variante données'!H86</f>
        <v>300</v>
      </c>
      <c r="D73" s="44">
        <f>('Variante données'!E86*D12)/C73</f>
        <v>7.083333333333333</v>
      </c>
      <c r="E73" s="42">
        <f>'Variante données'!$C$34</f>
        <v>21</v>
      </c>
      <c r="F73" s="43">
        <f>D73*E73</f>
        <v>148.75</v>
      </c>
      <c r="G73" s="133">
        <f>F73/$F$84</f>
        <v>3.7278199012573312E-3</v>
      </c>
      <c r="I73" s="1" t="s">
        <v>693</v>
      </c>
      <c r="J73" s="33"/>
      <c r="K73" s="121"/>
    </row>
    <row r="74" spans="1:11" s="1" customFormat="1" ht="13.5" thickBot="1" x14ac:dyDescent="0.35">
      <c r="A74" s="38"/>
      <c r="B74" s="39" t="s">
        <v>387</v>
      </c>
      <c r="C74" s="41"/>
      <c r="D74" s="44">
        <f>'Variante données'!F93+'Variante données'!G93</f>
        <v>40</v>
      </c>
      <c r="E74" s="42">
        <f>'Variante données'!$C$32</f>
        <v>35</v>
      </c>
      <c r="F74" s="464">
        <f>D74*E74</f>
        <v>1400</v>
      </c>
      <c r="G74" s="133">
        <f>F74/$F$84</f>
        <v>3.5085363776539591E-2</v>
      </c>
      <c r="J74" s="33"/>
      <c r="K74" s="121"/>
    </row>
    <row r="75" spans="1:11" s="1" customFormat="1" ht="15.5" x14ac:dyDescent="0.35">
      <c r="A75" s="751" t="s">
        <v>376</v>
      </c>
      <c r="B75" s="1062">
        <f>('Variante données'!F34*D67)+('Variante données'!F34*D72)+D73</f>
        <v>225.60606060606062</v>
      </c>
      <c r="C75" s="751" t="s">
        <v>59</v>
      </c>
      <c r="D75" s="1063">
        <f>SUM(D63:D74)</f>
        <v>663.12878787878788</v>
      </c>
      <c r="E75" s="42"/>
      <c r="F75" s="283">
        <f>SUM(F70:F74)</f>
        <v>17127.147727272728</v>
      </c>
      <c r="G75" s="553">
        <f>F75/$F$84</f>
        <v>0.4292230060470692</v>
      </c>
      <c r="J75" s="33"/>
      <c r="K75" s="121"/>
    </row>
    <row r="76" spans="1:11" s="1" customFormat="1" ht="13" x14ac:dyDescent="0.3">
      <c r="A76" s="751"/>
      <c r="B76" s="760"/>
      <c r="C76" s="751"/>
      <c r="D76" s="849"/>
      <c r="E76" s="42"/>
      <c r="F76" s="80"/>
      <c r="G76" s="133"/>
      <c r="J76" s="33"/>
      <c r="K76" s="121"/>
    </row>
    <row r="77" spans="1:11" s="1" customFormat="1" ht="13" x14ac:dyDescent="0.3">
      <c r="A77" s="751"/>
      <c r="B77" s="760"/>
      <c r="C77" s="751"/>
      <c r="D77" s="849"/>
      <c r="E77" s="42"/>
      <c r="F77" s="80"/>
      <c r="G77" s="133"/>
      <c r="J77" s="33"/>
      <c r="K77" s="121"/>
    </row>
    <row r="78" spans="1:11" s="1" customFormat="1" ht="13" x14ac:dyDescent="0.3">
      <c r="A78" s="38" t="s">
        <v>377</v>
      </c>
      <c r="B78" s="39" t="s">
        <v>144</v>
      </c>
      <c r="C78" s="41"/>
      <c r="D78" s="41"/>
      <c r="E78" s="42"/>
      <c r="F78" s="43">
        <f>'Variante données'!C42</f>
        <v>660</v>
      </c>
      <c r="G78" s="133">
        <f>F78/$F$84</f>
        <v>1.6540242923225805E-2</v>
      </c>
      <c r="J78" s="33"/>
      <c r="K78" s="121"/>
    </row>
    <row r="79" spans="1:11" s="1" customFormat="1" ht="13" thickBot="1" x14ac:dyDescent="0.3">
      <c r="A79" s="18"/>
      <c r="B79" s="18" t="s">
        <v>145</v>
      </c>
      <c r="C79" s="1064">
        <f>'Variante données'!C41</f>
        <v>0.6</v>
      </c>
      <c r="D79" s="850">
        <f>'Variante données'!C40</f>
        <v>2.5000000000000001E-2</v>
      </c>
      <c r="E79" s="148">
        <f>C37</f>
        <v>87471.623963084232</v>
      </c>
      <c r="F79" s="464">
        <f>$D$79*E79*$C$79</f>
        <v>1312.0743594462635</v>
      </c>
      <c r="G79" s="133">
        <f>F79/$F$84</f>
        <v>3.2881861573601658E-2</v>
      </c>
      <c r="J79" s="33"/>
      <c r="K79" s="121"/>
    </row>
    <row r="80" spans="1:11" s="1" customFormat="1" ht="15.5" x14ac:dyDescent="0.35">
      <c r="A80" s="18"/>
      <c r="B80" s="18"/>
      <c r="C80" s="18"/>
      <c r="D80" s="18"/>
      <c r="E80" s="18"/>
      <c r="F80" s="283">
        <f>SUM(F78:F79)</f>
        <v>1972.0743594462635</v>
      </c>
      <c r="G80" s="553">
        <f>F80/$F$84</f>
        <v>4.9422104496827463E-2</v>
      </c>
      <c r="J80" s="33"/>
      <c r="K80" s="121"/>
    </row>
    <row r="81" spans="1:11" s="1" customFormat="1" ht="13" x14ac:dyDescent="0.3">
      <c r="F81" s="132"/>
      <c r="G81" s="133"/>
      <c r="J81" s="33"/>
      <c r="K81" s="121"/>
    </row>
    <row r="82" spans="1:11" ht="20" x14ac:dyDescent="0.4">
      <c r="A82" s="589" t="s">
        <v>158</v>
      </c>
      <c r="B82" s="618"/>
      <c r="C82" s="619"/>
      <c r="D82" s="620"/>
      <c r="E82" s="621"/>
      <c r="F82" s="590">
        <f>F80+F75+F60+F44</f>
        <v>25397.160438991719</v>
      </c>
      <c r="G82" s="1025">
        <f>F82/$F$84</f>
        <v>0.63647758063797455</v>
      </c>
    </row>
    <row r="83" spans="1:11" s="1" customFormat="1" ht="20" x14ac:dyDescent="0.4">
      <c r="A83" s="627"/>
      <c r="B83" s="628"/>
      <c r="C83" s="1026"/>
      <c r="D83" s="1027"/>
      <c r="E83" s="1028"/>
      <c r="F83" s="639"/>
      <c r="G83" s="998"/>
      <c r="J83" s="33"/>
      <c r="K83" s="121"/>
    </row>
    <row r="84" spans="1:11" s="342" customFormat="1" ht="27.75" customHeight="1" x14ac:dyDescent="0.5">
      <c r="A84" s="834" t="s">
        <v>143</v>
      </c>
      <c r="B84" s="1009"/>
      <c r="C84" s="1010"/>
      <c r="D84" s="1011"/>
      <c r="E84" s="1012"/>
      <c r="F84" s="640">
        <f>F82+F43</f>
        <v>39902.678761339601</v>
      </c>
      <c r="G84" s="1013">
        <f>F84/$F$84</f>
        <v>1</v>
      </c>
      <c r="H84" s="339"/>
      <c r="I84" s="339"/>
      <c r="J84" s="340"/>
      <c r="K84" s="341"/>
    </row>
    <row r="85" spans="1:11" s="342" customFormat="1" ht="13.65" customHeight="1" x14ac:dyDescent="0.5">
      <c r="A85" s="834"/>
      <c r="B85" s="1009"/>
      <c r="C85" s="1010"/>
      <c r="D85" s="1011"/>
      <c r="E85" s="1012"/>
      <c r="F85" s="640"/>
      <c r="G85" s="1013"/>
      <c r="H85" s="339"/>
      <c r="I85" s="339"/>
      <c r="J85" s="340"/>
      <c r="K85" s="341"/>
    </row>
    <row r="86" spans="1:11" s="342" customFormat="1" ht="22.5" x14ac:dyDescent="0.45">
      <c r="A86" s="1018" t="s">
        <v>18</v>
      </c>
      <c r="B86" s="1019"/>
      <c r="C86" s="1020"/>
      <c r="D86" s="1021"/>
      <c r="E86" s="1022"/>
      <c r="F86" s="651">
        <f>F84/D12</f>
        <v>0.93888655909034358</v>
      </c>
      <c r="G86" s="1013"/>
      <c r="H86" s="339"/>
      <c r="I86" s="339"/>
      <c r="J86" s="340"/>
      <c r="K86" s="341"/>
    </row>
    <row r="87" spans="1:11" s="342" customFormat="1" ht="30" customHeight="1" x14ac:dyDescent="0.45">
      <c r="A87" s="355" t="s">
        <v>19</v>
      </c>
      <c r="B87" s="100"/>
      <c r="C87" s="327"/>
      <c r="D87" s="369" t="s">
        <v>20</v>
      </c>
      <c r="E87" s="370" t="s">
        <v>21</v>
      </c>
      <c r="F87" s="99"/>
      <c r="G87" s="910"/>
      <c r="H87" s="339"/>
      <c r="I87" s="339"/>
      <c r="J87" s="340"/>
      <c r="K87" s="341"/>
    </row>
    <row r="88" spans="1:11" s="342" customFormat="1" ht="23" x14ac:dyDescent="0.5">
      <c r="A88" s="363"/>
      <c r="B88" s="366"/>
      <c r="C88" s="1029" t="s">
        <v>22</v>
      </c>
      <c r="D88" s="1030">
        <f>F9/F12</f>
        <v>0.85103942652329745</v>
      </c>
      <c r="E88" s="1031">
        <f>D88*F84</f>
        <v>33958.752849793818</v>
      </c>
      <c r="F88" s="1032">
        <f>E88/D9</f>
        <v>1.2060822321791367</v>
      </c>
      <c r="G88" s="910"/>
      <c r="H88" s="339"/>
      <c r="I88" s="339"/>
      <c r="J88" s="340"/>
      <c r="K88" s="341"/>
    </row>
    <row r="89" spans="1:11" s="342" customFormat="1" ht="23" x14ac:dyDescent="0.5">
      <c r="A89" s="693"/>
      <c r="B89" s="366"/>
      <c r="C89" s="1029" t="s">
        <v>23</v>
      </c>
      <c r="D89" s="1030">
        <f>F10/F12</f>
        <v>0.12258064516129027</v>
      </c>
      <c r="E89" s="1031">
        <f>D89*F84</f>
        <v>4891.2961062287231</v>
      </c>
      <c r="F89" s="1032">
        <f>E89/D10</f>
        <v>0.48458661114340301</v>
      </c>
      <c r="G89" s="910"/>
      <c r="H89" s="339"/>
      <c r="I89" s="339"/>
      <c r="J89" s="340"/>
      <c r="K89" s="341"/>
    </row>
    <row r="90" spans="1:11" s="342" customFormat="1" ht="23" x14ac:dyDescent="0.5">
      <c r="A90" s="350"/>
      <c r="B90" s="351"/>
      <c r="C90" s="255"/>
      <c r="D90" s="362"/>
      <c r="E90" s="352"/>
      <c r="F90" s="361"/>
      <c r="G90" s="910"/>
      <c r="H90" s="339"/>
      <c r="I90" s="339"/>
      <c r="J90" s="340"/>
      <c r="K90" s="341"/>
    </row>
    <row r="91" spans="1:11" s="96" customFormat="1" ht="23.4" customHeight="1" x14ac:dyDescent="0.4">
      <c r="A91" s="1018" t="s">
        <v>24</v>
      </c>
      <c r="B91" s="1019"/>
      <c r="C91" s="1020"/>
      <c r="D91" s="1021"/>
      <c r="E91" s="1022"/>
      <c r="F91" s="608">
        <f>F15-F84</f>
        <v>-1747.9912613395863</v>
      </c>
      <c r="G91" s="911"/>
      <c r="H91" s="343"/>
      <c r="I91" s="343"/>
      <c r="J91" s="344"/>
      <c r="K91" s="345"/>
    </row>
    <row r="92" spans="1:11" s="96" customFormat="1" ht="13.65" customHeight="1" x14ac:dyDescent="0.4">
      <c r="A92" s="560"/>
      <c r="B92" s="100"/>
      <c r="C92" s="327"/>
      <c r="D92" s="356"/>
      <c r="E92" s="357"/>
      <c r="F92" s="288"/>
      <c r="G92" s="911"/>
      <c r="H92" s="343"/>
      <c r="I92" s="343"/>
      <c r="J92" s="344" t="s">
        <v>88</v>
      </c>
      <c r="K92" s="345"/>
    </row>
    <row r="93" spans="1:11" s="48" customFormat="1" ht="18.75" customHeight="1" x14ac:dyDescent="0.4">
      <c r="A93" s="694" t="s">
        <v>26</v>
      </c>
      <c r="B93" s="310"/>
      <c r="C93" s="308"/>
      <c r="D93" s="358"/>
      <c r="E93" s="359"/>
      <c r="F93" s="695">
        <f>F15/F84</f>
        <v>0.95619363622692022</v>
      </c>
      <c r="G93" s="912"/>
      <c r="H93" s="63"/>
      <c r="I93" s="63"/>
      <c r="J93" s="119"/>
      <c r="K93" s="123"/>
    </row>
    <row r="94" spans="1:11" s="48" customFormat="1" ht="13.5" customHeight="1" x14ac:dyDescent="0.4">
      <c r="A94" s="152"/>
      <c r="B94" s="310"/>
      <c r="C94" s="308"/>
      <c r="D94" s="358"/>
      <c r="E94" s="359"/>
      <c r="F94" s="634"/>
      <c r="G94" s="912"/>
      <c r="H94" s="63"/>
      <c r="I94" s="63"/>
      <c r="J94" s="119"/>
      <c r="K94" s="123"/>
    </row>
    <row r="95" spans="1:11" s="48" customFormat="1" ht="21.65" customHeight="1" x14ac:dyDescent="0.4">
      <c r="A95" s="696" t="s">
        <v>28</v>
      </c>
      <c r="B95" s="696"/>
      <c r="C95" s="110" t="s">
        <v>430</v>
      </c>
      <c r="D95" s="697"/>
      <c r="E95" s="697"/>
      <c r="F95" s="697">
        <f>F12-F43</f>
        <v>22549.169177652133</v>
      </c>
      <c r="G95" s="912"/>
      <c r="H95" s="63"/>
      <c r="I95" s="63"/>
      <c r="J95" s="119"/>
      <c r="K95" s="123"/>
    </row>
    <row r="96" spans="1:11" s="48" customFormat="1" ht="21.65" customHeight="1" x14ac:dyDescent="0.4">
      <c r="A96" s="696"/>
      <c r="B96" s="696"/>
      <c r="C96" s="110" t="s">
        <v>431</v>
      </c>
      <c r="D96" s="697"/>
      <c r="E96" s="697"/>
      <c r="F96" s="635">
        <f>F15-F43</f>
        <v>23649.169177652133</v>
      </c>
      <c r="G96" s="912"/>
      <c r="H96" s="63"/>
      <c r="I96" s="63"/>
      <c r="J96" s="119"/>
      <c r="K96" s="123"/>
    </row>
    <row r="97" spans="1:11" s="48" customFormat="1" ht="13.5" customHeight="1" x14ac:dyDescent="0.4">
      <c r="A97" s="152"/>
      <c r="B97" s="310"/>
      <c r="C97" s="308"/>
      <c r="D97" s="358"/>
      <c r="E97" s="359"/>
      <c r="F97" s="634"/>
      <c r="G97" s="912"/>
      <c r="H97" s="63"/>
      <c r="I97" s="63"/>
      <c r="J97" s="119"/>
      <c r="K97" s="123"/>
    </row>
    <row r="98" spans="1:11" s="48" customFormat="1" ht="25.25" customHeight="1" x14ac:dyDescent="0.4">
      <c r="A98" s="309" t="s">
        <v>29</v>
      </c>
      <c r="B98" s="310"/>
      <c r="C98" s="308"/>
      <c r="D98" s="358"/>
      <c r="E98" s="359"/>
      <c r="F98" s="698">
        <f>F91+F37</f>
        <v>5541.3107355840993</v>
      </c>
      <c r="G98" s="912"/>
      <c r="H98" s="63"/>
      <c r="I98" s="63"/>
      <c r="J98" s="119"/>
      <c r="K98" s="123"/>
    </row>
    <row r="99" spans="1:11" s="48" customFormat="1" ht="18.75" customHeight="1" x14ac:dyDescent="0.4">
      <c r="A99" s="353"/>
      <c r="B99" s="313"/>
      <c r="C99" s="311"/>
      <c r="D99" s="337"/>
      <c r="E99" s="338"/>
      <c r="F99" s="354"/>
      <c r="G99" s="912"/>
      <c r="H99" s="63"/>
      <c r="I99" s="63"/>
      <c r="J99" s="119"/>
      <c r="K99" s="123"/>
    </row>
    <row r="100" spans="1:11" s="1" customFormat="1" ht="16.5" customHeight="1" x14ac:dyDescent="0.4">
      <c r="A100" s="152" t="s">
        <v>433</v>
      </c>
      <c r="B100" s="144"/>
      <c r="C100" s="215"/>
      <c r="D100" s="360"/>
      <c r="E100" s="213"/>
      <c r="F100" s="288">
        <f>F84-F75</f>
        <v>22775.531034066873</v>
      </c>
      <c r="G100" s="133"/>
      <c r="H100" s="64"/>
      <c r="J100" s="33"/>
      <c r="K100" s="121"/>
    </row>
    <row r="101" spans="1:11" s="1" customFormat="1" ht="16.5" customHeight="1" x14ac:dyDescent="0.4">
      <c r="A101" s="325" t="s">
        <v>140</v>
      </c>
      <c r="B101" s="144"/>
      <c r="C101" s="215"/>
      <c r="D101" s="360"/>
      <c r="E101" s="213"/>
      <c r="F101" s="288">
        <f>F75</f>
        <v>17127.147727272728</v>
      </c>
      <c r="G101" s="133"/>
      <c r="H101" s="64"/>
      <c r="J101" s="33"/>
      <c r="K101" s="121"/>
    </row>
    <row r="102" spans="1:11" ht="18" x14ac:dyDescent="0.4">
      <c r="A102" s="325" t="s">
        <v>437</v>
      </c>
      <c r="B102" s="84"/>
      <c r="C102" s="84"/>
      <c r="D102" s="84"/>
      <c r="E102" s="84"/>
      <c r="F102" s="288">
        <f>F15-F100</f>
        <v>15379.156465933142</v>
      </c>
      <c r="G102" s="18"/>
      <c r="H102" s="62"/>
    </row>
    <row r="103" spans="1:11" ht="20" x14ac:dyDescent="0.4">
      <c r="A103" s="737" t="s">
        <v>437</v>
      </c>
      <c r="B103" s="1024"/>
      <c r="C103" s="1024"/>
      <c r="D103" s="578"/>
      <c r="E103" s="578"/>
      <c r="F103" s="637">
        <f>F102/D75</f>
        <v>23.191809414771281</v>
      </c>
      <c r="G103" s="18"/>
    </row>
    <row r="104" spans="1:11" s="1" customFormat="1" ht="20" x14ac:dyDescent="0.4">
      <c r="A104" s="737"/>
      <c r="B104" s="1024"/>
      <c r="C104" s="1024"/>
      <c r="D104" s="578"/>
      <c r="E104" s="578"/>
      <c r="F104" s="637"/>
      <c r="G104" s="18"/>
      <c r="J104" s="33"/>
      <c r="K104" s="121"/>
    </row>
    <row r="105" spans="1:11" s="302" customFormat="1" ht="20" x14ac:dyDescent="0.4">
      <c r="A105" s="737" t="s">
        <v>434</v>
      </c>
      <c r="B105" s="737"/>
      <c r="C105" s="737"/>
      <c r="D105" s="636"/>
      <c r="E105" s="636"/>
      <c r="F105" s="638">
        <f>(F102-(B75*'Variante données'!C34))/(D75-B75)</f>
        <v>24.322003246639564</v>
      </c>
      <c r="G105" s="310"/>
      <c r="J105" s="346"/>
      <c r="K105" s="347"/>
    </row>
    <row r="106" spans="1:11" s="313" customFormat="1" ht="20" x14ac:dyDescent="0.4">
      <c r="A106" s="271"/>
      <c r="B106" s="271"/>
      <c r="C106" s="271"/>
      <c r="D106" s="271"/>
      <c r="E106" s="271"/>
      <c r="F106" s="348"/>
      <c r="G106" s="310"/>
      <c r="J106" s="311"/>
      <c r="K106" s="349"/>
    </row>
    <row r="107" spans="1:11" ht="18" x14ac:dyDescent="0.4">
      <c r="A107" s="364" t="s">
        <v>30</v>
      </c>
      <c r="B107" s="1513" t="s">
        <v>31</v>
      </c>
      <c r="C107" s="1513"/>
      <c r="D107" s="1513"/>
      <c r="E107" s="1513"/>
      <c r="F107" s="652">
        <f>K59+F75+F35+F27+F19+F70</f>
        <v>31112.582945075759</v>
      </c>
      <c r="G107" s="43">
        <f>F15</f>
        <v>38154.687500000015</v>
      </c>
    </row>
    <row r="108" spans="1:11" s="1" customFormat="1" ht="15" customHeight="1" x14ac:dyDescent="0.4">
      <c r="A108" s="364"/>
      <c r="B108" s="365"/>
      <c r="C108" s="365"/>
      <c r="D108" s="365"/>
      <c r="E108" s="365"/>
      <c r="F108" s="652"/>
      <c r="G108" s="43"/>
      <c r="J108" s="33"/>
      <c r="K108" s="121"/>
    </row>
    <row r="109" spans="1:11" ht="15.5" x14ac:dyDescent="0.35">
      <c r="A109" s="152" t="s">
        <v>32</v>
      </c>
      <c r="B109" s="110" t="s">
        <v>438</v>
      </c>
      <c r="C109" s="144"/>
      <c r="D109" s="144"/>
      <c r="E109" s="144"/>
      <c r="F109" s="653">
        <f>F15/D75</f>
        <v>57.537371619846255</v>
      </c>
      <c r="G109" s="18"/>
    </row>
    <row r="110" spans="1:11" ht="13" x14ac:dyDescent="0.3">
      <c r="A110" s="84"/>
      <c r="B110" s="144" t="s">
        <v>439</v>
      </c>
      <c r="C110" s="144"/>
      <c r="D110" s="144"/>
      <c r="E110" s="144"/>
      <c r="F110" s="367">
        <f>D9/D75</f>
        <v>42.459700912798603</v>
      </c>
      <c r="G110" s="18"/>
    </row>
    <row r="111" spans="1:11" ht="13" x14ac:dyDescent="0.3">
      <c r="A111" s="84"/>
      <c r="B111" s="144"/>
      <c r="C111" s="144"/>
      <c r="D111" s="144"/>
      <c r="E111" s="144"/>
      <c r="F111" s="367"/>
      <c r="G111" s="18"/>
    </row>
    <row r="112" spans="1:11" s="1" customFormat="1" ht="20" x14ac:dyDescent="0.4">
      <c r="A112" s="309" t="s">
        <v>33</v>
      </c>
      <c r="B112" s="110" t="s">
        <v>440</v>
      </c>
      <c r="C112" s="110"/>
      <c r="D112" s="110"/>
      <c r="E112" s="110"/>
      <c r="F112" s="654">
        <f>(F91+F79)/E79</f>
        <v>-4.9835235947750713E-3</v>
      </c>
      <c r="G112" s="18"/>
      <c r="J112" s="33"/>
      <c r="K112" s="8"/>
    </row>
    <row r="113" spans="1:11" x14ac:dyDescent="0.25">
      <c r="F113" s="368"/>
      <c r="G113" s="18"/>
    </row>
    <row r="114" spans="1:11" x14ac:dyDescent="0.25">
      <c r="F114" s="35"/>
      <c r="G114" s="18"/>
    </row>
    <row r="115" spans="1:11" x14ac:dyDescent="0.25">
      <c r="F115" s="35"/>
      <c r="G115" s="18"/>
    </row>
    <row r="116" spans="1:11" ht="20" x14ac:dyDescent="0.4">
      <c r="A116" s="627" t="s">
        <v>34</v>
      </c>
      <c r="B116" s="628"/>
      <c r="C116" s="628"/>
      <c r="D116" s="628"/>
      <c r="E116" s="628"/>
      <c r="F116" s="631"/>
      <c r="G116" s="18"/>
    </row>
    <row r="117" spans="1:11" x14ac:dyDescent="0.25">
      <c r="F117" s="35"/>
      <c r="G117" s="18"/>
    </row>
    <row r="118" spans="1:11" s="170" customFormat="1" ht="31" x14ac:dyDescent="0.25">
      <c r="A118" s="860" t="s">
        <v>139</v>
      </c>
      <c r="B118" s="854" t="s">
        <v>66</v>
      </c>
      <c r="C118" s="854" t="s">
        <v>21</v>
      </c>
      <c r="G118" s="913"/>
      <c r="J118" s="171"/>
      <c r="K118" s="172"/>
    </row>
    <row r="119" spans="1:11" s="1" customFormat="1" ht="13" x14ac:dyDescent="0.3">
      <c r="A119" s="18" t="s">
        <v>140</v>
      </c>
      <c r="B119" s="43">
        <f>F75+F70</f>
        <v>23437.647727272728</v>
      </c>
      <c r="C119" s="859">
        <f>B119/$B$122</f>
        <v>0.58737028326982144</v>
      </c>
      <c r="G119" s="18"/>
      <c r="J119" s="33"/>
      <c r="K119" s="121"/>
    </row>
    <row r="120" spans="1:11" s="1" customFormat="1" ht="13" x14ac:dyDescent="0.3">
      <c r="A120" s="18" t="s">
        <v>35</v>
      </c>
      <c r="B120" s="43">
        <f>F80</f>
        <v>1972.0743594462635</v>
      </c>
      <c r="C120" s="859">
        <f>B120/$B$122</f>
        <v>4.9422104496827463E-2</v>
      </c>
      <c r="G120" s="18"/>
      <c r="J120" s="33"/>
      <c r="K120" s="121"/>
    </row>
    <row r="121" spans="1:11" s="1" customFormat="1" ht="13.5" thickBot="1" x14ac:dyDescent="0.35">
      <c r="A121" s="18" t="s">
        <v>142</v>
      </c>
      <c r="B121" s="464">
        <f>F84-B119-B120</f>
        <v>14492.956674620609</v>
      </c>
      <c r="C121" s="859">
        <f>B121/$B$122</f>
        <v>0.36320761223335113</v>
      </c>
      <c r="G121" s="18"/>
      <c r="J121" s="33"/>
      <c r="K121" s="121"/>
    </row>
    <row r="122" spans="1:11" s="1" customFormat="1" ht="13" x14ac:dyDescent="0.3">
      <c r="A122" s="84" t="str">
        <f>A84</f>
        <v>Coûts de production par ha</v>
      </c>
      <c r="B122" s="43">
        <f>F84</f>
        <v>39902.678761339601</v>
      </c>
      <c r="C122" s="859">
        <f>B122/$B$122</f>
        <v>1</v>
      </c>
      <c r="D122" s="33"/>
      <c r="G122" s="18"/>
      <c r="J122" s="33"/>
      <c r="K122" s="121"/>
    </row>
    <row r="123" spans="1:11" s="1" customFormat="1" x14ac:dyDescent="0.25">
      <c r="A123" s="18"/>
      <c r="B123" s="18"/>
      <c r="C123" s="18"/>
      <c r="F123" s="8"/>
      <c r="G123" s="18"/>
      <c r="J123" s="33"/>
      <c r="K123" s="121"/>
    </row>
    <row r="124" spans="1:11" s="170" customFormat="1" ht="30.75" customHeight="1" x14ac:dyDescent="0.25">
      <c r="A124" s="860" t="s">
        <v>36</v>
      </c>
      <c r="B124" s="854" t="s">
        <v>66</v>
      </c>
      <c r="C124" s="861" t="s">
        <v>435</v>
      </c>
      <c r="D124" s="173"/>
      <c r="G124" s="913"/>
      <c r="J124" s="171"/>
      <c r="K124" s="172"/>
    </row>
    <row r="125" spans="1:11" s="1" customFormat="1" ht="13" x14ac:dyDescent="0.3">
      <c r="A125" s="144" t="str">
        <f>B78</f>
        <v>Pour le terrain</v>
      </c>
      <c r="B125" s="43">
        <f>F78</f>
        <v>660</v>
      </c>
      <c r="C125" s="553">
        <f>B125/$B$127</f>
        <v>0.33467297865244827</v>
      </c>
      <c r="G125" s="18"/>
      <c r="J125" s="33"/>
      <c r="K125" s="121"/>
    </row>
    <row r="126" spans="1:11" s="1" customFormat="1" ht="13.5" thickBot="1" x14ac:dyDescent="0.35">
      <c r="A126" s="144" t="str">
        <f>B79</f>
        <v>Pour l'investissement de la culture fruitière</v>
      </c>
      <c r="B126" s="464">
        <f>F79</f>
        <v>1312.0743594462635</v>
      </c>
      <c r="C126" s="553">
        <f>B126/$B$127</f>
        <v>0.66532702134755173</v>
      </c>
      <c r="G126" s="18"/>
      <c r="J126" s="33"/>
      <c r="K126" s="121"/>
    </row>
    <row r="127" spans="1:11" s="1" customFormat="1" ht="13" x14ac:dyDescent="0.3">
      <c r="A127" s="862" t="s">
        <v>37</v>
      </c>
      <c r="B127" s="43">
        <f>SUM(B125:B126)</f>
        <v>1972.0743594462635</v>
      </c>
      <c r="C127" s="553">
        <f>B127/$B$127</f>
        <v>1</v>
      </c>
      <c r="G127" s="18"/>
      <c r="J127" s="33"/>
      <c r="K127" s="121"/>
    </row>
    <row r="128" spans="1:11" ht="13.65" customHeight="1" x14ac:dyDescent="0.25">
      <c r="A128" s="13"/>
      <c r="B128" s="13"/>
      <c r="C128" s="13"/>
      <c r="F128" s="35"/>
      <c r="G128" s="18"/>
    </row>
    <row r="129" spans="1:11" s="170" customFormat="1" ht="31" x14ac:dyDescent="0.25">
      <c r="A129" s="863" t="s">
        <v>436</v>
      </c>
      <c r="B129" s="854" t="s">
        <v>66</v>
      </c>
      <c r="C129" s="861" t="s">
        <v>435</v>
      </c>
      <c r="D129" s="173"/>
      <c r="G129" s="913"/>
      <c r="J129" s="171"/>
      <c r="K129" s="172"/>
    </row>
    <row r="130" spans="1:11" s="1" customFormat="1" ht="13" x14ac:dyDescent="0.3">
      <c r="A130" s="144" t="str">
        <f>B63</f>
        <v>Fertilisation</v>
      </c>
      <c r="B130" s="43">
        <f>F63</f>
        <v>59</v>
      </c>
      <c r="C130" s="553">
        <f t="shared" ref="C130:C139" si="4">B130/$B$139</f>
        <v>3.4448234428462519E-3</v>
      </c>
      <c r="G130" s="18"/>
      <c r="J130" s="33"/>
      <c r="K130" s="121"/>
    </row>
    <row r="131" spans="1:11" s="1" customFormat="1" ht="25.5" x14ac:dyDescent="0.3">
      <c r="A131" s="281" t="str">
        <f>B64</f>
        <v>Protection phytosanitaire y compris les contrôles et fauchage</v>
      </c>
      <c r="B131" s="43">
        <f>F64</f>
        <v>1268.5</v>
      </c>
      <c r="C131" s="553">
        <f t="shared" si="4"/>
        <v>7.4063704021194415E-2</v>
      </c>
      <c r="G131" s="18"/>
      <c r="J131" s="33"/>
      <c r="K131" s="121"/>
    </row>
    <row r="132" spans="1:11" s="1" customFormat="1" ht="13" x14ac:dyDescent="0.3">
      <c r="A132" s="144" t="str">
        <f>B65</f>
        <v>Taille 
(été + hiver)</v>
      </c>
      <c r="B132" s="43">
        <f>F65</f>
        <v>2950</v>
      </c>
      <c r="C132" s="553">
        <f t="shared" si="4"/>
        <v>0.1722411721423126</v>
      </c>
      <c r="G132" s="18"/>
      <c r="J132" s="33"/>
      <c r="K132" s="121"/>
    </row>
    <row r="133" spans="1:11" s="1" customFormat="1" ht="13" x14ac:dyDescent="0.3">
      <c r="A133" s="144" t="str">
        <f>B66</f>
        <v>Paillage et broyage des branches</v>
      </c>
      <c r="B133" s="43">
        <f>F66</f>
        <v>265.5</v>
      </c>
      <c r="C133" s="553">
        <f t="shared" si="4"/>
        <v>1.5501705492808134E-2</v>
      </c>
      <c r="G133" s="18"/>
      <c r="J133" s="33"/>
      <c r="K133" s="121"/>
    </row>
    <row r="134" spans="1:11" s="1" customFormat="1" ht="13" x14ac:dyDescent="0.3">
      <c r="A134" s="144" t="str">
        <f>B67</f>
        <v>Régulation de la charge (manuelle)</v>
      </c>
      <c r="B134" s="43">
        <f>F67</f>
        <v>1767.5</v>
      </c>
      <c r="C134" s="553">
        <f t="shared" si="4"/>
        <v>0.10319873619035171</v>
      </c>
      <c r="G134" s="18"/>
      <c r="J134" s="33"/>
      <c r="K134" s="121"/>
    </row>
    <row r="135" spans="1:11" s="1" customFormat="1" ht="13" x14ac:dyDescent="0.3">
      <c r="A135" s="144" t="s">
        <v>147</v>
      </c>
      <c r="B135" s="43">
        <f>F72+F73</f>
        <v>9416.6477272727279</v>
      </c>
      <c r="C135" s="553">
        <f t="shared" si="4"/>
        <v>0.54980828549040628</v>
      </c>
      <c r="G135" s="18"/>
      <c r="J135" s="33"/>
      <c r="K135" s="121"/>
    </row>
    <row r="136" spans="1:11" s="1" customFormat="1" ht="13" x14ac:dyDescent="0.3">
      <c r="A136" s="144" t="s">
        <v>388</v>
      </c>
      <c r="B136" s="43">
        <f>F68</f>
        <v>0</v>
      </c>
      <c r="C136" s="553">
        <f t="shared" si="4"/>
        <v>0</v>
      </c>
      <c r="G136" s="18"/>
      <c r="J136" s="33"/>
      <c r="K136" s="121"/>
    </row>
    <row r="137" spans="1:11" s="1" customFormat="1" ht="13" x14ac:dyDescent="0.3">
      <c r="A137" s="144" t="s">
        <v>413</v>
      </c>
      <c r="B137" s="43">
        <f>F69</f>
        <v>0</v>
      </c>
      <c r="C137" s="553">
        <f t="shared" si="4"/>
        <v>0</v>
      </c>
      <c r="G137" s="18"/>
      <c r="J137" s="33"/>
      <c r="K137" s="121"/>
    </row>
    <row r="138" spans="1:11" s="1" customFormat="1" ht="13.5" thickBot="1" x14ac:dyDescent="0.35">
      <c r="A138" s="144" t="str">
        <f>B74</f>
        <v>Administration + travaux divers</v>
      </c>
      <c r="B138" s="464">
        <f>F74</f>
        <v>1400</v>
      </c>
      <c r="C138" s="553">
        <f t="shared" si="4"/>
        <v>8.1741573220080563E-2</v>
      </c>
      <c r="G138" s="18"/>
      <c r="J138" s="33"/>
      <c r="K138" s="121"/>
    </row>
    <row r="139" spans="1:11" s="1" customFormat="1" ht="13" x14ac:dyDescent="0.3">
      <c r="A139" s="862" t="str">
        <f>A119</f>
        <v>Coûts de main-d'oeuvre</v>
      </c>
      <c r="B139" s="43">
        <f>SUM(B130:B138)</f>
        <v>17127.147727272728</v>
      </c>
      <c r="C139" s="553">
        <f t="shared" si="4"/>
        <v>1</v>
      </c>
      <c r="D139" s="8"/>
      <c r="G139" s="18"/>
      <c r="J139" s="33"/>
      <c r="K139" s="121"/>
    </row>
    <row r="140" spans="1:11" x14ac:dyDescent="0.25">
      <c r="A140" s="13"/>
      <c r="B140" s="13"/>
      <c r="C140" s="13"/>
      <c r="G140" s="18"/>
    </row>
    <row r="141" spans="1:11" x14ac:dyDescent="0.25">
      <c r="A141" s="13"/>
      <c r="B141" s="13"/>
      <c r="C141" s="13"/>
      <c r="F141" s="35"/>
      <c r="G141" s="18"/>
    </row>
    <row r="142" spans="1:11" s="170" customFormat="1" ht="18" customHeight="1" x14ac:dyDescent="0.25">
      <c r="A142" s="696" t="s">
        <v>39</v>
      </c>
      <c r="B142" s="854" t="s">
        <v>66</v>
      </c>
      <c r="C142" s="1087" t="s">
        <v>38</v>
      </c>
      <c r="D142" s="173"/>
      <c r="E142" s="173"/>
      <c r="F142" s="150"/>
      <c r="G142" s="913"/>
      <c r="J142" s="171"/>
      <c r="K142" s="172"/>
    </row>
    <row r="143" spans="1:11" s="1" customFormat="1" ht="13" x14ac:dyDescent="0.3">
      <c r="A143" s="144" t="str">
        <f>A29</f>
        <v xml:space="preserve">Déductions   </v>
      </c>
      <c r="B143" s="43">
        <f>F35</f>
        <v>338.25</v>
      </c>
      <c r="C143" s="446">
        <f>B143/$B$147</f>
        <v>2.3338923008879731E-2</v>
      </c>
      <c r="D143" s="174"/>
      <c r="E143" s="32"/>
      <c r="F143" s="175"/>
      <c r="G143" s="18"/>
      <c r="J143" s="33"/>
      <c r="K143" s="121"/>
    </row>
    <row r="144" spans="1:11" s="1" customFormat="1" ht="15.75" customHeight="1" x14ac:dyDescent="0.25">
      <c r="A144" s="839" t="str">
        <f>A37</f>
        <v>Amortissement de la culture</v>
      </c>
      <c r="B144" s="632">
        <f>F37</f>
        <v>7289.3019969236857</v>
      </c>
      <c r="C144" s="446">
        <f>B144/$B$147</f>
        <v>0.50295479111507813</v>
      </c>
      <c r="G144" s="18"/>
      <c r="J144" s="33"/>
      <c r="K144" s="121"/>
    </row>
    <row r="145" spans="1:11" s="1" customFormat="1" ht="13" x14ac:dyDescent="0.25">
      <c r="A145" s="144" t="str">
        <f>A47</f>
        <v>Machines et équipements</v>
      </c>
      <c r="B145" s="43">
        <f>F60</f>
        <v>6147.9383522727276</v>
      </c>
      <c r="C145" s="446">
        <f>B145/$B$147</f>
        <v>0.42420180300674676</v>
      </c>
      <c r="G145" s="18"/>
      <c r="J145" s="33"/>
      <c r="K145" s="121"/>
    </row>
    <row r="146" spans="1:11" s="1" customFormat="1" ht="13.5" thickBot="1" x14ac:dyDescent="0.3">
      <c r="A146" s="144" t="s">
        <v>40</v>
      </c>
      <c r="B146" s="464">
        <f>B147-B143-B144-B145</f>
        <v>717.46632542419593</v>
      </c>
      <c r="C146" s="446">
        <f>B146/$B$147</f>
        <v>4.9504482869295367E-2</v>
      </c>
      <c r="G146" s="18"/>
      <c r="J146" s="33"/>
      <c r="K146" s="121"/>
    </row>
    <row r="147" spans="1:11" s="1" customFormat="1" ht="13" x14ac:dyDescent="0.25">
      <c r="A147" s="18" t="str">
        <f>A121</f>
        <v>Coûts de matériel</v>
      </c>
      <c r="B147" s="43">
        <f>B121</f>
        <v>14492.956674620609</v>
      </c>
      <c r="C147" s="446">
        <f>B147/$B$147</f>
        <v>1</v>
      </c>
      <c r="G147" s="18"/>
      <c r="J147" s="33"/>
      <c r="K147" s="121"/>
    </row>
    <row r="148" spans="1:11" x14ac:dyDescent="0.25">
      <c r="A148" s="13"/>
      <c r="B148" s="13"/>
      <c r="C148" s="13"/>
      <c r="G148" s="18"/>
    </row>
    <row r="149" spans="1:11" x14ac:dyDescent="0.25">
      <c r="A149" s="13"/>
      <c r="B149" s="13"/>
      <c r="C149" s="13"/>
      <c r="G149" s="18"/>
    </row>
    <row r="150" spans="1:11" s="170" customFormat="1" ht="46.5" customHeight="1" x14ac:dyDescent="0.25">
      <c r="A150" s="860" t="s">
        <v>41</v>
      </c>
      <c r="B150" s="854" t="s">
        <v>66</v>
      </c>
      <c r="C150" s="854" t="s">
        <v>21</v>
      </c>
      <c r="G150" s="913"/>
      <c r="J150" s="171"/>
      <c r="K150" s="172"/>
    </row>
    <row r="151" spans="1:11" s="1" customFormat="1" ht="13" x14ac:dyDescent="0.3">
      <c r="A151" s="18" t="str">
        <f>A43</f>
        <v>Total des coûts spécifiques</v>
      </c>
      <c r="B151" s="43">
        <f>F43</f>
        <v>14505.518322347882</v>
      </c>
      <c r="C151" s="859">
        <f>G43</f>
        <v>0.36352241936202545</v>
      </c>
      <c r="G151" s="18"/>
      <c r="J151" s="33"/>
      <c r="K151" s="121"/>
    </row>
    <row r="152" spans="1:11" s="1" customFormat="1" ht="13.5" thickBot="1" x14ac:dyDescent="0.35">
      <c r="A152" s="18" t="str">
        <f>A82</f>
        <v>Total des coûts de structure</v>
      </c>
      <c r="B152" s="464">
        <f>F82</f>
        <v>25397.160438991719</v>
      </c>
      <c r="C152" s="859">
        <f>G82</f>
        <v>0.63647758063797455</v>
      </c>
      <c r="G152" s="18"/>
      <c r="J152" s="33"/>
      <c r="K152" s="121"/>
    </row>
    <row r="153" spans="1:11" s="1" customFormat="1" ht="13" x14ac:dyDescent="0.3">
      <c r="A153" s="18" t="str">
        <f>A84</f>
        <v>Coûts de production par ha</v>
      </c>
      <c r="B153" s="43">
        <f>SUM(B151:B152)</f>
        <v>39902.678761339601</v>
      </c>
      <c r="C153" s="859">
        <f>SUM(C151:C152)</f>
        <v>1</v>
      </c>
      <c r="G153" s="18"/>
      <c r="J153" s="33"/>
      <c r="K153" s="121"/>
    </row>
    <row r="154" spans="1:11" x14ac:dyDescent="0.25">
      <c r="A154" s="13"/>
      <c r="B154" s="13"/>
      <c r="C154" s="13"/>
      <c r="G154" s="18"/>
    </row>
    <row r="155" spans="1:11" x14ac:dyDescent="0.25">
      <c r="G155" s="18"/>
    </row>
    <row r="156" spans="1:11" ht="20" x14ac:dyDescent="0.4">
      <c r="A156" s="627" t="s">
        <v>42</v>
      </c>
      <c r="B156" s="627"/>
      <c r="C156" s="627"/>
      <c r="D156" s="627"/>
      <c r="E156" s="627"/>
      <c r="F156" s="633"/>
      <c r="G156" s="18"/>
    </row>
    <row r="157" spans="1:11" s="1" customFormat="1" ht="11" customHeight="1" x14ac:dyDescent="0.4">
      <c r="A157" s="312"/>
      <c r="B157" s="312"/>
      <c r="C157" s="312"/>
      <c r="D157" s="312"/>
      <c r="E157" s="312"/>
      <c r="F157" s="373"/>
      <c r="G157" s="18"/>
      <c r="J157" s="33"/>
      <c r="K157" s="121"/>
    </row>
    <row r="158" spans="1:11" x14ac:dyDescent="0.25">
      <c r="A158" s="13"/>
      <c r="B158" s="854" t="s">
        <v>66</v>
      </c>
      <c r="C158" s="854" t="s">
        <v>21</v>
      </c>
    </row>
    <row r="159" spans="1:11" ht="13" x14ac:dyDescent="0.3">
      <c r="A159" s="69" t="s">
        <v>155</v>
      </c>
      <c r="B159" s="13"/>
      <c r="C159" s="13"/>
    </row>
    <row r="160" spans="1:11" ht="13" x14ac:dyDescent="0.3">
      <c r="A160" s="107" t="s">
        <v>43</v>
      </c>
      <c r="B160" s="82">
        <f>F27</f>
        <v>5347.8</v>
      </c>
      <c r="C160" s="295">
        <f>B160/$F$84</f>
        <v>0.134021077431556</v>
      </c>
    </row>
    <row r="161" spans="1:3" x14ac:dyDescent="0.25">
      <c r="A161" s="13"/>
      <c r="B161" s="43"/>
      <c r="C161" s="295"/>
    </row>
    <row r="162" spans="1:3" ht="13" x14ac:dyDescent="0.3">
      <c r="A162" s="69" t="s">
        <v>163</v>
      </c>
      <c r="B162" s="41"/>
      <c r="C162" s="295"/>
    </row>
    <row r="163" spans="1:3" x14ac:dyDescent="0.25">
      <c r="A163" s="18" t="str">
        <f>B47</f>
        <v>Pulvérisateur traîné avec ventilateur, 1000 l</v>
      </c>
      <c r="B163" s="43">
        <f>F47</f>
        <v>1106.5999999999999</v>
      </c>
      <c r="C163" s="295">
        <f>B163/$F$84</f>
        <v>2.7732473967941932E-2</v>
      </c>
    </row>
    <row r="164" spans="1:3" x14ac:dyDescent="0.25">
      <c r="A164" s="18" t="str">
        <f>B48</f>
        <v>Rampe de pulvérisation pour herbicides avec tank</v>
      </c>
      <c r="B164" s="43">
        <f>F48</f>
        <v>414</v>
      </c>
      <c r="C164" s="295">
        <f>B164/$F$84</f>
        <v>1.0375243288205278E-2</v>
      </c>
    </row>
    <row r="165" spans="1:3" ht="13" thickBot="1" x14ac:dyDescent="0.3">
      <c r="A165" s="18" t="s">
        <v>248</v>
      </c>
      <c r="B165" s="858">
        <f>((C47*D47)+(C48*D48))*E56</f>
        <v>1148</v>
      </c>
      <c r="C165" s="295">
        <f>B165/$F$84</f>
        <v>2.8769998296762463E-2</v>
      </c>
    </row>
    <row r="166" spans="1:3" ht="13" x14ac:dyDescent="0.3">
      <c r="A166" s="18"/>
      <c r="B166" s="82">
        <f>SUM(B163:B165)</f>
        <v>2668.6</v>
      </c>
      <c r="C166" s="295">
        <f>B166/$F$84</f>
        <v>6.6877715552909667E-2</v>
      </c>
    </row>
    <row r="167" spans="1:3" x14ac:dyDescent="0.25">
      <c r="A167" s="18"/>
      <c r="B167" s="41"/>
      <c r="C167" s="295"/>
    </row>
    <row r="168" spans="1:3" ht="13" x14ac:dyDescent="0.3">
      <c r="A168" s="84" t="s">
        <v>164</v>
      </c>
      <c r="B168" s="41"/>
      <c r="C168" s="295"/>
    </row>
    <row r="169" spans="1:3" ht="26" thickBot="1" x14ac:dyDescent="0.35">
      <c r="A169" s="1036" t="str">
        <f>B64</f>
        <v>Protection phytosanitaire y compris les contrôles et fauchage</v>
      </c>
      <c r="B169" s="625">
        <f>F64</f>
        <v>1268.5</v>
      </c>
      <c r="C169" s="295">
        <f>B169/$F$84</f>
        <v>3.1789845678957478E-2</v>
      </c>
    </row>
    <row r="170" spans="1:3" x14ac:dyDescent="0.25">
      <c r="A170" s="18"/>
      <c r="B170" s="18"/>
      <c r="C170" s="13"/>
    </row>
    <row r="171" spans="1:3" ht="13" x14ac:dyDescent="0.3">
      <c r="A171" s="84" t="s">
        <v>44</v>
      </c>
      <c r="B171" s="82">
        <f>B160+B166+B169</f>
        <v>9284.9</v>
      </c>
      <c r="C171" s="855">
        <f>B171/$F$84</f>
        <v>0.23268863866342315</v>
      </c>
    </row>
    <row r="172" spans="1:3" x14ac:dyDescent="0.25">
      <c r="A172" s="13" t="s">
        <v>161</v>
      </c>
      <c r="B172" s="43">
        <f>F84-B178</f>
        <v>30617.778761339599</v>
      </c>
      <c r="C172" s="295">
        <f>B172/$F$84</f>
        <v>0.76731136133657685</v>
      </c>
    </row>
    <row r="173" spans="1:3" x14ac:dyDescent="0.25">
      <c r="A173" s="13"/>
      <c r="B173" s="18"/>
      <c r="C173" s="13"/>
    </row>
    <row r="174" spans="1:3" ht="25" x14ac:dyDescent="0.35">
      <c r="A174" s="303" t="s">
        <v>47</v>
      </c>
      <c r="B174" s="854" t="s">
        <v>66</v>
      </c>
      <c r="C174" s="856" t="s">
        <v>48</v>
      </c>
    </row>
    <row r="175" spans="1:3" x14ac:dyDescent="0.25">
      <c r="A175" s="13" t="s">
        <v>155</v>
      </c>
      <c r="B175" s="43">
        <f>B160</f>
        <v>5347.8</v>
      </c>
      <c r="C175" s="295">
        <f>B175/$B$178</f>
        <v>0.57596743099010228</v>
      </c>
    </row>
    <row r="176" spans="1:3" x14ac:dyDescent="0.25">
      <c r="A176" s="13" t="s">
        <v>163</v>
      </c>
      <c r="B176" s="43">
        <f>B166</f>
        <v>2668.6</v>
      </c>
      <c r="C176" s="295">
        <f>B176/$B$178</f>
        <v>0.28741289620782129</v>
      </c>
    </row>
    <row r="177" spans="1:11" ht="13" thickBot="1" x14ac:dyDescent="0.3">
      <c r="A177" s="13" t="s">
        <v>164</v>
      </c>
      <c r="B177" s="464">
        <f>B169</f>
        <v>1268.5</v>
      </c>
      <c r="C177" s="295">
        <f>B177/$B$178</f>
        <v>0.13661967280207649</v>
      </c>
    </row>
    <row r="178" spans="1:11" s="170" customFormat="1" ht="28.5" customHeight="1" x14ac:dyDescent="0.25">
      <c r="A178" s="857" t="s">
        <v>160</v>
      </c>
      <c r="B178" s="840">
        <f>SUM(B175:B177)</f>
        <v>9284.9</v>
      </c>
      <c r="C178" s="295">
        <f>B178/$B$178</f>
        <v>1</v>
      </c>
      <c r="G178" s="173"/>
      <c r="J178" s="171"/>
      <c r="K178" s="172"/>
    </row>
    <row r="179" spans="1:11" ht="15.75" customHeight="1" x14ac:dyDescent="0.25">
      <c r="A179" s="1"/>
      <c r="B179" s="32"/>
      <c r="C179" s="88"/>
      <c r="D179" s="1"/>
    </row>
    <row r="181" spans="1:11" ht="20" x14ac:dyDescent="0.4">
      <c r="A181" s="627" t="s">
        <v>514</v>
      </c>
      <c r="B181" s="628"/>
      <c r="C181" s="628"/>
      <c r="D181" s="628"/>
      <c r="E181" s="628"/>
      <c r="F181" s="631"/>
    </row>
    <row r="182" spans="1:11" s="1" customFormat="1" ht="20" x14ac:dyDescent="0.4">
      <c r="A182" s="312"/>
      <c r="B182" s="313"/>
      <c r="C182" s="313"/>
      <c r="D182" s="313"/>
      <c r="E182" s="313"/>
      <c r="F182" s="374"/>
      <c r="J182" s="33"/>
      <c r="K182" s="121"/>
    </row>
    <row r="183" spans="1:11" x14ac:dyDescent="0.25">
      <c r="A183" s="13"/>
      <c r="B183" s="854" t="s">
        <v>66</v>
      </c>
      <c r="C183" s="854" t="s">
        <v>21</v>
      </c>
      <c r="D183" s="13"/>
    </row>
    <row r="184" spans="1:11" ht="13" x14ac:dyDescent="0.3">
      <c r="A184" s="69" t="s">
        <v>163</v>
      </c>
      <c r="B184" s="18"/>
      <c r="C184" s="13"/>
      <c r="D184" s="13"/>
    </row>
    <row r="185" spans="1:11" x14ac:dyDescent="0.25">
      <c r="A185" s="107" t="str">
        <f>B50</f>
        <v>Char d'arboriculture</v>
      </c>
      <c r="B185" s="43">
        <f>F50+F52</f>
        <v>495.83333333333331</v>
      </c>
      <c r="C185" s="295">
        <f>B185/$F$84</f>
        <v>1.2426066337524437E-2</v>
      </c>
      <c r="D185" s="13"/>
    </row>
    <row r="186" spans="1:11" x14ac:dyDescent="0.25">
      <c r="A186" s="107" t="s">
        <v>248</v>
      </c>
      <c r="B186" s="377">
        <f>((D51*E51)+(D52*E52))*E56</f>
        <v>3834.8200757575751</v>
      </c>
      <c r="C186" s="295">
        <f>B186/$F$84</f>
        <v>9.6104326696808309E-2</v>
      </c>
      <c r="D186" s="13"/>
    </row>
    <row r="187" spans="1:11" x14ac:dyDescent="0.25">
      <c r="A187" s="107"/>
      <c r="B187" s="377"/>
      <c r="C187" s="295"/>
      <c r="D187" s="13"/>
    </row>
    <row r="188" spans="1:11" ht="13" x14ac:dyDescent="0.3">
      <c r="A188" s="69" t="s">
        <v>164</v>
      </c>
      <c r="B188" s="41"/>
      <c r="C188" s="295"/>
      <c r="D188" s="13"/>
    </row>
    <row r="189" spans="1:11" x14ac:dyDescent="0.25">
      <c r="A189" s="750" t="str">
        <f>B72</f>
        <v>sur l'arbre</v>
      </c>
      <c r="B189" s="43">
        <f>F72</f>
        <v>9267.8977272727279</v>
      </c>
      <c r="C189" s="295">
        <f>B189/$F$84</f>
        <v>0.23226254514652012</v>
      </c>
      <c r="D189" s="13"/>
    </row>
    <row r="190" spans="1:11" x14ac:dyDescent="0.25">
      <c r="A190" s="750" t="str">
        <f>B73</f>
        <v>au sol</v>
      </c>
      <c r="B190" s="43">
        <f>F73</f>
        <v>148.75</v>
      </c>
      <c r="C190" s="295">
        <f>B190/$F$84</f>
        <v>3.7278199012573312E-3</v>
      </c>
      <c r="D190" s="13"/>
    </row>
    <row r="191" spans="1:11" ht="13" thickBot="1" x14ac:dyDescent="0.3">
      <c r="A191" s="750" t="s">
        <v>49</v>
      </c>
      <c r="B191" s="464">
        <f>F74</f>
        <v>1400</v>
      </c>
      <c r="C191" s="295">
        <f>B191/$F$84</f>
        <v>3.5085363776539591E-2</v>
      </c>
      <c r="D191" s="13"/>
    </row>
    <row r="192" spans="1:11" ht="15.5" x14ac:dyDescent="0.35">
      <c r="A192" s="303" t="s">
        <v>171</v>
      </c>
      <c r="B192" s="82">
        <f>SUM(B185:B191)</f>
        <v>15147.301136363636</v>
      </c>
      <c r="C192" s="855">
        <f>B192/$F$84</f>
        <v>0.37960612185864978</v>
      </c>
      <c r="D192" s="13"/>
    </row>
    <row r="193" spans="1:4" x14ac:dyDescent="0.25">
      <c r="A193" s="13" t="s">
        <v>161</v>
      </c>
      <c r="B193" s="43">
        <f>F84-B192</f>
        <v>24755.377624975965</v>
      </c>
      <c r="C193" s="295">
        <f>B193/$F$84</f>
        <v>0.62039387814135027</v>
      </c>
      <c r="D193" s="13"/>
    </row>
    <row r="194" spans="1:4" x14ac:dyDescent="0.25">
      <c r="A194" s="13"/>
      <c r="B194" s="18"/>
      <c r="C194" s="13"/>
      <c r="D194" s="13"/>
    </row>
    <row r="195" spans="1:4" ht="15.5" x14ac:dyDescent="0.35">
      <c r="A195" s="303" t="s">
        <v>47</v>
      </c>
      <c r="B195" s="854" t="s">
        <v>66</v>
      </c>
      <c r="C195" s="854" t="s">
        <v>50</v>
      </c>
      <c r="D195" s="13"/>
    </row>
    <row r="196" spans="1:4" x14ac:dyDescent="0.25">
      <c r="A196" s="13" t="s">
        <v>163</v>
      </c>
      <c r="B196" s="43">
        <f>B185+B186</f>
        <v>4330.6534090909081</v>
      </c>
      <c r="C196" s="295">
        <f>B196/$B$198</f>
        <v>0.28590264167221502</v>
      </c>
      <c r="D196" s="13"/>
    </row>
    <row r="197" spans="1:4" ht="13" thickBot="1" x14ac:dyDescent="0.3">
      <c r="A197" s="13" t="s">
        <v>164</v>
      </c>
      <c r="B197" s="464">
        <f>B189+B190+B191</f>
        <v>10816.647727272728</v>
      </c>
      <c r="C197" s="295">
        <f>B197/$B$198</f>
        <v>0.71409735832778498</v>
      </c>
      <c r="D197" s="13"/>
    </row>
    <row r="198" spans="1:4" ht="13" x14ac:dyDescent="0.3">
      <c r="A198" s="13" t="s">
        <v>171</v>
      </c>
      <c r="B198" s="82">
        <f>SUM(B196:B197)</f>
        <v>15147.301136363636</v>
      </c>
      <c r="C198" s="295">
        <f>B198/$B$198</f>
        <v>1</v>
      </c>
      <c r="D198" s="13"/>
    </row>
    <row r="199" spans="1:4" x14ac:dyDescent="0.25">
      <c r="A199" s="13"/>
      <c r="B199" s="43"/>
      <c r="C199" s="295"/>
      <c r="D199" s="13"/>
    </row>
    <row r="200" spans="1:4" x14ac:dyDescent="0.25">
      <c r="A200" s="13"/>
      <c r="B200" s="13"/>
      <c r="C200" s="13"/>
      <c r="D200" s="13"/>
    </row>
    <row r="201" spans="1:4" x14ac:dyDescent="0.25">
      <c r="A201" s="13"/>
      <c r="B201" s="13"/>
      <c r="C201" s="13"/>
      <c r="D201" s="13"/>
    </row>
  </sheetData>
  <mergeCells count="8">
    <mergeCell ref="L44:M44"/>
    <mergeCell ref="A5:G5"/>
    <mergeCell ref="G7:G8"/>
    <mergeCell ref="J44:K44"/>
    <mergeCell ref="B107:E107"/>
    <mergeCell ref="C7:D7"/>
    <mergeCell ref="A30:A31"/>
    <mergeCell ref="A57:A58"/>
  </mergeCells>
  <phoneticPr fontId="0" type="noConversion"/>
  <printOptions gridLines="1" gridLinesSet="0"/>
  <pageMargins left="0.17" right="0.4" top="0.59055118110236227" bottom="0.39370078740157483" header="0.51181102362204722" footer="0.51181102362204722"/>
  <pageSetup paperSize="9" scale="6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tandardCashflow1">
    <tabColor indexed="50"/>
  </sheetPr>
  <dimension ref="A1:L47"/>
  <sheetViews>
    <sheetView topLeftCell="A4" zoomScale="75" workbookViewId="0">
      <selection activeCell="C37" sqref="C37"/>
    </sheetView>
  </sheetViews>
  <sheetFormatPr baseColWidth="10" defaultRowHeight="12.5" x14ac:dyDescent="0.25"/>
  <cols>
    <col min="1" max="1" width="33.08984375" customWidth="1"/>
    <col min="2" max="2" width="10.453125" bestFit="1" customWidth="1"/>
    <col min="3" max="3" width="19.54296875" customWidth="1"/>
    <col min="4" max="4" width="12.453125" customWidth="1"/>
    <col min="5" max="5" width="21.81640625" customWidth="1"/>
    <col min="6" max="6" width="14.453125" customWidth="1"/>
    <col min="7" max="7" width="13" customWidth="1"/>
    <col min="11" max="12" width="14.81640625" customWidth="1"/>
  </cols>
  <sheetData>
    <row r="1" spans="1:10" ht="25" x14ac:dyDescent="0.5">
      <c r="A1" s="1441" t="str">
        <f>'Variante données'!A1</f>
        <v>Arbokost 2023</v>
      </c>
    </row>
    <row r="2" spans="1:10" ht="15.5" x14ac:dyDescent="0.35">
      <c r="A2" s="706" t="s">
        <v>90</v>
      </c>
    </row>
    <row r="3" spans="1:10" s="1" customFormat="1" ht="21" customHeight="1" x14ac:dyDescent="0.25">
      <c r="A3" s="705"/>
    </row>
    <row r="4" spans="1:10" ht="23" x14ac:dyDescent="0.5">
      <c r="A4" s="707" t="s">
        <v>441</v>
      </c>
      <c r="B4" s="708"/>
      <c r="C4" s="708"/>
      <c r="D4" s="708"/>
      <c r="E4" s="708"/>
      <c r="F4" s="709"/>
      <c r="G4" s="709"/>
      <c r="H4" s="709"/>
      <c r="I4" s="710"/>
      <c r="J4" s="710"/>
    </row>
    <row r="5" spans="1:10" s="1" customFormat="1" ht="30" customHeight="1" x14ac:dyDescent="0.5">
      <c r="A5" s="711"/>
      <c r="B5" s="712"/>
      <c r="C5" s="712"/>
      <c r="D5" s="712"/>
      <c r="E5" s="712"/>
      <c r="F5" s="41"/>
      <c r="G5" s="41"/>
      <c r="H5" s="41"/>
    </row>
    <row r="6" spans="1:10" s="1" customFormat="1" ht="30" customHeight="1" x14ac:dyDescent="0.5">
      <c r="A6" s="711"/>
      <c r="B6" s="712"/>
      <c r="C6" s="712"/>
      <c r="D6" s="712"/>
      <c r="E6" s="712"/>
      <c r="F6" s="41"/>
      <c r="G6" s="41"/>
      <c r="H6" s="41"/>
    </row>
    <row r="7" spans="1:10" s="1" customFormat="1" ht="30" customHeight="1" x14ac:dyDescent="0.5">
      <c r="A7" s="711"/>
      <c r="B7" s="712"/>
      <c r="C7" s="712"/>
      <c r="D7" s="712"/>
      <c r="E7" s="712"/>
      <c r="F7" s="41"/>
      <c r="G7" s="41"/>
      <c r="H7" s="41"/>
    </row>
    <row r="8" spans="1:10" s="1" customFormat="1" ht="30" customHeight="1" x14ac:dyDescent="0.5">
      <c r="A8" s="711"/>
      <c r="B8" s="712"/>
      <c r="C8" s="712"/>
      <c r="D8" s="712"/>
      <c r="E8" s="712"/>
      <c r="F8" s="41"/>
      <c r="G8" s="41"/>
      <c r="H8" s="41"/>
    </row>
    <row r="9" spans="1:10" s="1" customFormat="1" ht="30" customHeight="1" x14ac:dyDescent="0.5">
      <c r="A9" s="711"/>
      <c r="B9" s="712"/>
      <c r="C9" s="712"/>
      <c r="D9" s="712"/>
      <c r="E9" s="712"/>
      <c r="F9" s="41"/>
      <c r="G9" s="41"/>
      <c r="H9" s="41"/>
    </row>
    <row r="10" spans="1:10" s="1" customFormat="1" ht="30" customHeight="1" x14ac:dyDescent="0.5">
      <c r="A10" s="711"/>
      <c r="B10" s="712"/>
      <c r="C10" s="712"/>
      <c r="D10" s="712"/>
      <c r="E10" s="712"/>
      <c r="F10" s="41"/>
      <c r="G10" s="41"/>
      <c r="H10" s="41"/>
    </row>
    <row r="11" spans="1:10" s="1" customFormat="1" ht="30" customHeight="1" x14ac:dyDescent="0.5">
      <c r="A11" s="711"/>
      <c r="B11" s="712"/>
      <c r="C11" s="712"/>
      <c r="D11" s="712"/>
      <c r="E11" s="712"/>
      <c r="F11" s="41"/>
      <c r="G11" s="41"/>
      <c r="H11" s="41"/>
    </row>
    <row r="12" spans="1:10" s="1" customFormat="1" ht="30" customHeight="1" x14ac:dyDescent="0.5">
      <c r="A12" s="711"/>
      <c r="B12" s="712"/>
      <c r="C12" s="712"/>
      <c r="D12" s="712"/>
      <c r="E12" s="712"/>
      <c r="F12" s="41"/>
      <c r="G12" s="41"/>
      <c r="H12" s="41"/>
    </row>
    <row r="13" spans="1:10" s="1" customFormat="1" ht="30" customHeight="1" x14ac:dyDescent="0.5">
      <c r="A13" s="711"/>
      <c r="B13" s="712"/>
      <c r="C13" s="712"/>
      <c r="D13" s="712"/>
      <c r="E13" s="712"/>
      <c r="F13" s="41"/>
      <c r="G13" s="41"/>
      <c r="H13" s="41"/>
    </row>
    <row r="14" spans="1:10" s="1" customFormat="1" ht="30" customHeight="1" x14ac:dyDescent="0.5">
      <c r="A14" s="711"/>
      <c r="B14" s="712"/>
      <c r="C14" s="712"/>
      <c r="D14" s="712"/>
      <c r="E14" s="712"/>
      <c r="F14" s="41"/>
      <c r="G14" s="41"/>
      <c r="H14" s="41"/>
    </row>
    <row r="15" spans="1:10" s="1" customFormat="1" ht="24" customHeight="1" x14ac:dyDescent="0.5">
      <c r="A15" s="711"/>
      <c r="B15" s="712"/>
      <c r="C15" s="712"/>
      <c r="D15" s="712"/>
      <c r="E15" s="712"/>
      <c r="F15" s="41"/>
      <c r="G15" s="41"/>
      <c r="H15" s="41"/>
    </row>
    <row r="16" spans="1:10" s="1" customFormat="1" ht="15.75" customHeight="1" x14ac:dyDescent="0.5">
      <c r="A16" s="711"/>
      <c r="B16" s="712"/>
      <c r="C16" s="712"/>
      <c r="D16" s="712"/>
      <c r="E16" s="712"/>
      <c r="F16" s="41"/>
      <c r="G16" s="41"/>
      <c r="H16" s="41"/>
    </row>
    <row r="17" spans="1:12" x14ac:dyDescent="0.25">
      <c r="A17" s="1"/>
      <c r="B17" s="1"/>
      <c r="C17" s="65" t="str">
        <f>'Variante données'!B47</f>
        <v>Catégorie I</v>
      </c>
      <c r="D17" s="65" t="str">
        <f>'Variante données'!C47</f>
        <v>Catégorie II</v>
      </c>
      <c r="E17" s="65" t="str">
        <f>'Variante données'!D47</f>
        <v>Cidre</v>
      </c>
    </row>
    <row r="18" spans="1:12" ht="17.5" x14ac:dyDescent="0.35">
      <c r="A18" s="3" t="s">
        <v>443</v>
      </c>
      <c r="B18" s="381">
        <f>'Variante données'!B10</f>
        <v>2000</v>
      </c>
      <c r="C18" s="45">
        <f>'Variante données'!B66</f>
        <v>1.1200000000000006</v>
      </c>
      <c r="D18" s="45">
        <f>'Variante données'!C66</f>
        <v>0.45000000000000012</v>
      </c>
      <c r="E18" s="45">
        <f>'Variante données'!D66</f>
        <v>0.23</v>
      </c>
    </row>
    <row r="19" spans="1:12" s="1" customFormat="1" ht="17.5" x14ac:dyDescent="0.35">
      <c r="A19" s="3"/>
      <c r="B19" s="381"/>
      <c r="C19" s="45"/>
      <c r="D19" s="45"/>
      <c r="E19" s="45"/>
    </row>
    <row r="20" spans="1:12" ht="62" x14ac:dyDescent="0.25">
      <c r="A20" s="888"/>
      <c r="B20" s="889"/>
      <c r="C20" s="892" t="s">
        <v>444</v>
      </c>
      <c r="D20" s="889"/>
      <c r="E20" s="889"/>
      <c r="F20" s="889"/>
      <c r="G20" s="889"/>
      <c r="H20" s="889"/>
      <c r="I20" s="889"/>
      <c r="J20" s="897"/>
    </row>
    <row r="21" spans="1:12" ht="39" x14ac:dyDescent="0.3">
      <c r="A21" s="901"/>
      <c r="B21" s="818"/>
      <c r="C21" s="902" t="s">
        <v>66</v>
      </c>
      <c r="D21" s="898" t="s">
        <v>367</v>
      </c>
      <c r="E21" s="898" t="s">
        <v>25</v>
      </c>
      <c r="F21" s="1090" t="s">
        <v>379</v>
      </c>
      <c r="G21" s="1088" t="s">
        <v>27</v>
      </c>
      <c r="H21" s="899" t="s">
        <v>55</v>
      </c>
      <c r="I21" s="900" t="s">
        <v>369</v>
      </c>
      <c r="J21" s="1089" t="s">
        <v>381</v>
      </c>
    </row>
    <row r="22" spans="1:12" ht="15.5" x14ac:dyDescent="0.35">
      <c r="A22" s="211" t="s">
        <v>475</v>
      </c>
      <c r="B22" s="11">
        <v>0</v>
      </c>
      <c r="C22" s="894">
        <f>'Variante années de végétation'!F79</f>
        <v>-59539.32327272727</v>
      </c>
      <c r="D22" s="377">
        <v>0</v>
      </c>
      <c r="E22" s="217">
        <f>C22*(-1)</f>
        <v>59539.32327272727</v>
      </c>
      <c r="F22" s="655">
        <f t="shared" ref="F22:F37" si="0">D22-E22</f>
        <v>-59539.32327272727</v>
      </c>
      <c r="G22" s="133">
        <f t="shared" ref="G22:G37" si="1">D22/E22</f>
        <v>0</v>
      </c>
      <c r="H22" s="43"/>
      <c r="I22" s="43"/>
      <c r="J22" s="299">
        <f>('Variante années de végétation'!F79)*(-1)</f>
        <v>59539.32327272727</v>
      </c>
      <c r="K22" s="8"/>
      <c r="L22" s="8"/>
    </row>
    <row r="23" spans="1:12" ht="15.5" x14ac:dyDescent="0.35">
      <c r="A23" s="211" t="s">
        <v>445</v>
      </c>
      <c r="B23" s="11">
        <v>1</v>
      </c>
      <c r="C23" s="894">
        <f>'Variante années de végétation'!F80</f>
        <v>-70160.613121818184</v>
      </c>
      <c r="D23" s="377">
        <f>'Variante années de végétation'!F15</f>
        <v>1100</v>
      </c>
      <c r="E23" s="217">
        <f>'Variante années de végétation'!F76</f>
        <v>11721.289849090908</v>
      </c>
      <c r="F23" s="655">
        <f t="shared" si="0"/>
        <v>-10621.289849090908</v>
      </c>
      <c r="G23" s="133">
        <f t="shared" si="1"/>
        <v>9.384632699662443E-2</v>
      </c>
      <c r="H23" s="267">
        <f>'Variante années de végétation'!D12</f>
        <v>0</v>
      </c>
      <c r="I23" s="256">
        <f>H23/B18</f>
        <v>0</v>
      </c>
      <c r="J23" s="875">
        <f>'Variante années de végétation'!F81</f>
        <v>70160.613121818184</v>
      </c>
      <c r="K23" s="9"/>
      <c r="L23" s="7"/>
    </row>
    <row r="24" spans="1:12" ht="15.5" x14ac:dyDescent="0.35">
      <c r="A24" s="211" t="s">
        <v>394</v>
      </c>
      <c r="B24" s="11">
        <v>2</v>
      </c>
      <c r="C24" s="894">
        <f>'Variante années de végétation'!M80</f>
        <v>-78481.435386827274</v>
      </c>
      <c r="D24" s="377">
        <f>'Variante années de végétation'!M15</f>
        <v>5585</v>
      </c>
      <c r="E24" s="217">
        <f>'Variante années de végétation'!M76</f>
        <v>13905.82226500909</v>
      </c>
      <c r="F24" s="655">
        <f t="shared" si="0"/>
        <v>-8320.8222650090902</v>
      </c>
      <c r="G24" s="133">
        <f t="shared" si="1"/>
        <v>0.4016303310630836</v>
      </c>
      <c r="H24" s="267">
        <f>'Variante années de végétation'!K12</f>
        <v>5000</v>
      </c>
      <c r="I24" s="256">
        <f>H24/B18</f>
        <v>2.5</v>
      </c>
      <c r="J24" s="875">
        <f>'Variante années de végétation'!M81</f>
        <v>78481.435386827274</v>
      </c>
      <c r="K24" s="9"/>
      <c r="L24" s="7"/>
    </row>
    <row r="25" spans="1:12" s="46" customFormat="1" ht="15.5" x14ac:dyDescent="0.35">
      <c r="A25" s="252" t="s">
        <v>395</v>
      </c>
      <c r="B25" s="111">
        <v>3</v>
      </c>
      <c r="C25" s="894">
        <f>'Variante années de végétation'!T80</f>
        <v>-87471.623963084232</v>
      </c>
      <c r="D25" s="656">
        <f>'Variante années de végétation'!T15</f>
        <v>17246</v>
      </c>
      <c r="E25" s="656">
        <f>'Variante années de végétation'!T76</f>
        <v>26236.188576256955</v>
      </c>
      <c r="F25" s="655">
        <f t="shared" si="0"/>
        <v>-8990.1885762569545</v>
      </c>
      <c r="G25" s="553">
        <f t="shared" si="1"/>
        <v>0.65733633335777919</v>
      </c>
      <c r="H25" s="307">
        <f>'Variante années de végétation'!R12</f>
        <v>18000</v>
      </c>
      <c r="I25" s="306">
        <f>H25/B18</f>
        <v>9</v>
      </c>
      <c r="J25" s="876">
        <f>'Variante années de végétation'!T81</f>
        <v>87471.623963084232</v>
      </c>
      <c r="K25" s="182"/>
      <c r="L25" s="183"/>
    </row>
    <row r="26" spans="1:12" s="54" customFormat="1" ht="15.5" x14ac:dyDescent="0.35">
      <c r="A26" s="877" t="s">
        <v>396</v>
      </c>
      <c r="B26" s="748">
        <v>4</v>
      </c>
      <c r="C26" s="894">
        <f>'Variante années de végétation'!AA80</f>
        <v>-92470.413663439584</v>
      </c>
      <c r="D26" s="217">
        <f>'Variante années de végétation'!AA15</f>
        <v>23525.000000000004</v>
      </c>
      <c r="E26" s="217">
        <f>'Variante années de végétation'!AA76</f>
        <v>28523.789700355352</v>
      </c>
      <c r="F26" s="655">
        <f t="shared" si="0"/>
        <v>-4998.789700355348</v>
      </c>
      <c r="G26" s="214">
        <f t="shared" si="1"/>
        <v>0.82475015582192879</v>
      </c>
      <c r="H26" s="657">
        <f>'Variante années de végétation'!Y12</f>
        <v>25000</v>
      </c>
      <c r="I26" s="658">
        <f>H26/B18</f>
        <v>12.5</v>
      </c>
      <c r="J26" s="878">
        <f>'Variante années de végétation'!AA81</f>
        <v>80182.32196616054</v>
      </c>
      <c r="K26" s="180"/>
      <c r="L26" s="181"/>
    </row>
    <row r="27" spans="1:12" ht="15.5" x14ac:dyDescent="0.35">
      <c r="A27" s="211" t="s">
        <v>397</v>
      </c>
      <c r="B27" s="11">
        <v>5</v>
      </c>
      <c r="C27" s="894">
        <f>'Variante années de végétation'!AH80</f>
        <v>-91141.1113456639</v>
      </c>
      <c r="D27" s="377">
        <f>'Variante années de végétation'!AH15</f>
        <v>32495.000000000004</v>
      </c>
      <c r="E27" s="217">
        <f>'Variante années de végétation'!AH76</f>
        <v>31165.697682224323</v>
      </c>
      <c r="F27" s="655">
        <f t="shared" si="0"/>
        <v>1329.3023177756804</v>
      </c>
      <c r="G27" s="133">
        <f t="shared" si="1"/>
        <v>1.0426527373566183</v>
      </c>
      <c r="H27" s="267">
        <f>'Variante années de végétation'!AF12</f>
        <v>35000</v>
      </c>
      <c r="I27" s="256">
        <f>H27/B18</f>
        <v>17.5</v>
      </c>
      <c r="J27" s="875">
        <f>'Variante années de végétation'!AH81</f>
        <v>72893.019969236848</v>
      </c>
      <c r="K27" s="9"/>
      <c r="L27" s="7"/>
    </row>
    <row r="28" spans="1:12" ht="15.5" x14ac:dyDescent="0.35">
      <c r="A28" s="211" t="s">
        <v>398</v>
      </c>
      <c r="B28" s="11">
        <v>6</v>
      </c>
      <c r="C28" s="894">
        <f>'Variante années de végétation'!AO80</f>
        <v>-83388.795629485219</v>
      </c>
      <c r="D28" s="377">
        <f>'Variante années de végétation'!AO15</f>
        <v>41465</v>
      </c>
      <c r="E28" s="217">
        <f>'Variante années de végétation'!AO76</f>
        <v>33712.68428382132</v>
      </c>
      <c r="F28" s="655">
        <f t="shared" si="0"/>
        <v>7752.3157161786803</v>
      </c>
      <c r="G28" s="133">
        <f t="shared" si="1"/>
        <v>1.2299524906089725</v>
      </c>
      <c r="H28" s="267">
        <f>'Variante années de végétation'!AM12</f>
        <v>45000</v>
      </c>
      <c r="I28" s="256">
        <f>H28/B18</f>
        <v>22.5</v>
      </c>
      <c r="J28" s="875">
        <f>'Variante années de végétation'!AO81</f>
        <v>65603.717972313156</v>
      </c>
      <c r="K28" s="9"/>
      <c r="L28" s="7"/>
    </row>
    <row r="29" spans="1:12" ht="15.5" x14ac:dyDescent="0.35">
      <c r="A29" s="211" t="s">
        <v>399</v>
      </c>
      <c r="B29" s="11">
        <v>7</v>
      </c>
      <c r="C29" s="894">
        <f>'Variante années de végétation'!AV80</f>
        <v>-75520.195177563859</v>
      </c>
      <c r="D29" s="377">
        <f>'Variante années de végétation'!AV15</f>
        <v>41465</v>
      </c>
      <c r="E29" s="217">
        <f>'Variante années de végétation'!AV76</f>
        <v>33596.39954807864</v>
      </c>
      <c r="F29" s="655">
        <f t="shared" si="0"/>
        <v>7868.6004519213602</v>
      </c>
      <c r="G29" s="133">
        <f t="shared" si="1"/>
        <v>1.2342096342990825</v>
      </c>
      <c r="H29" s="267">
        <f>'Variante années de végétation'!AT12</f>
        <v>45000</v>
      </c>
      <c r="I29" s="256">
        <f>H29/B18</f>
        <v>22.5</v>
      </c>
      <c r="J29" s="875">
        <f>'Variante années de végétation'!AV81</f>
        <v>58314.415975389471</v>
      </c>
      <c r="K29" s="9"/>
      <c r="L29" s="7"/>
    </row>
    <row r="30" spans="1:12" ht="15.5" x14ac:dyDescent="0.35">
      <c r="A30" s="879" t="s">
        <v>400</v>
      </c>
      <c r="B30" s="106">
        <v>8</v>
      </c>
      <c r="C30" s="894">
        <f>'Variante années de végétation'!BC80</f>
        <v>-67533.565718863683</v>
      </c>
      <c r="D30" s="377">
        <f>'Variante années de végétation'!BC15</f>
        <v>41465</v>
      </c>
      <c r="E30" s="217">
        <f>'Variante années de végétation'!BC76</f>
        <v>33478.370541299824</v>
      </c>
      <c r="F30" s="655">
        <f t="shared" si="0"/>
        <v>7986.6294587001757</v>
      </c>
      <c r="G30" s="133">
        <f t="shared" si="1"/>
        <v>1.2385608776522636</v>
      </c>
      <c r="H30" s="267">
        <f>'Variante années de végétation'!BA12</f>
        <v>45000</v>
      </c>
      <c r="I30" s="256">
        <f>H30/B18</f>
        <v>22.5</v>
      </c>
      <c r="J30" s="875">
        <f>'Variante années de végétation'!BC81</f>
        <v>51025.113978465786</v>
      </c>
      <c r="K30" s="9"/>
      <c r="L30" s="7"/>
    </row>
    <row r="31" spans="1:12" ht="15.5" x14ac:dyDescent="0.35">
      <c r="A31" s="211" t="s">
        <v>401</v>
      </c>
      <c r="B31" s="11">
        <v>9</v>
      </c>
      <c r="C31" s="894">
        <f>'Variante années de végétation'!BJ80</f>
        <v>-59427.136818283005</v>
      </c>
      <c r="D31" s="377">
        <f>'Variante années de végétation'!BJ15</f>
        <v>41465</v>
      </c>
      <c r="E31" s="217">
        <f>'Variante années de végétation'!BJ76</f>
        <v>33358.571099419321</v>
      </c>
      <c r="F31" s="655">
        <f t="shared" si="0"/>
        <v>8106.4289005806786</v>
      </c>
      <c r="G31" s="133">
        <f t="shared" si="1"/>
        <v>1.2430088769815979</v>
      </c>
      <c r="H31" s="267">
        <f>'Variante années de végétation'!BH12</f>
        <v>45000</v>
      </c>
      <c r="I31" s="256">
        <f>H31/B18</f>
        <v>22.5</v>
      </c>
      <c r="J31" s="875">
        <f>'Variante années de végétation'!BJ81</f>
        <v>43735.811981542101</v>
      </c>
      <c r="K31" s="9"/>
      <c r="L31" s="7"/>
    </row>
    <row r="32" spans="1:12" ht="15.5" x14ac:dyDescent="0.35">
      <c r="A32" s="879" t="s">
        <v>402</v>
      </c>
      <c r="B32" s="11">
        <v>10</v>
      </c>
      <c r="C32" s="894">
        <f>'Variante années de végétation'!BQ80</f>
        <v>-52706.611484193621</v>
      </c>
      <c r="D32" s="377">
        <f>'Variante années de végétation'!BQ15</f>
        <v>39957.5</v>
      </c>
      <c r="E32" s="217">
        <f>'Variante années de végétation'!BQ76</f>
        <v>33236.974665910609</v>
      </c>
      <c r="F32" s="655">
        <f t="shared" si="0"/>
        <v>6720.5253340893905</v>
      </c>
      <c r="G32" s="133">
        <f t="shared" si="1"/>
        <v>1.2022002724869625</v>
      </c>
      <c r="H32" s="267">
        <f>'Variante années de végétation'!BO12</f>
        <v>45000</v>
      </c>
      <c r="I32" s="256">
        <f>H32/B18</f>
        <v>22.5</v>
      </c>
      <c r="J32" s="875">
        <f>'Variante années de végétation'!BQ81</f>
        <v>36446.509984618417</v>
      </c>
      <c r="K32" s="9"/>
      <c r="L32" s="7"/>
    </row>
    <row r="33" spans="1:12" ht="15.5" x14ac:dyDescent="0.35">
      <c r="A33" s="879" t="s">
        <v>403</v>
      </c>
      <c r="B33" s="11">
        <v>11</v>
      </c>
      <c r="C33" s="894">
        <f>'Variante années de végétation'!BX80</f>
        <v>-45885.27827009288</v>
      </c>
      <c r="D33" s="659">
        <f>'Variante années de végétation'!BX15</f>
        <v>39957.5</v>
      </c>
      <c r="E33" s="660">
        <f>'Variante années de végétation'!BX76</f>
        <v>33136.166785899266</v>
      </c>
      <c r="F33" s="655">
        <f t="shared" si="0"/>
        <v>6821.333214100734</v>
      </c>
      <c r="G33" s="133">
        <f t="shared" si="1"/>
        <v>1.2058576436488568</v>
      </c>
      <c r="H33" s="267">
        <f>'Variante années de végétation'!BV12</f>
        <v>45000</v>
      </c>
      <c r="I33" s="256">
        <f>H33/B18</f>
        <v>22.5</v>
      </c>
      <c r="J33" s="875">
        <f>'Variante années de végétation'!BX81</f>
        <v>29157.207987694732</v>
      </c>
      <c r="K33" s="9"/>
      <c r="L33" s="7"/>
    </row>
    <row r="34" spans="1:12" ht="15.5" x14ac:dyDescent="0.35">
      <c r="A34" s="211" t="s">
        <v>404</v>
      </c>
      <c r="B34" s="11">
        <v>12</v>
      </c>
      <c r="C34" s="894">
        <f>'Variante années de végétation'!CE80</f>
        <v>-38961.625057780635</v>
      </c>
      <c r="D34" s="659">
        <f>'Variante années de végétation'!CE15</f>
        <v>39957.5</v>
      </c>
      <c r="E34" s="660">
        <f>'Variante années de végétation'!CE76</f>
        <v>33033.846787687755</v>
      </c>
      <c r="F34" s="655">
        <f t="shared" si="0"/>
        <v>6923.6532123122452</v>
      </c>
      <c r="G34" s="133">
        <f t="shared" si="1"/>
        <v>1.2095927022006048</v>
      </c>
      <c r="H34" s="267">
        <f>'Variante années de végétation'!CC12</f>
        <v>45000</v>
      </c>
      <c r="I34" s="256">
        <f>H34/B18</f>
        <v>22.5</v>
      </c>
      <c r="J34" s="875">
        <f>'Variante années de végétation'!CE81</f>
        <v>21867.905990771047</v>
      </c>
      <c r="K34" s="9"/>
      <c r="L34" s="7"/>
    </row>
    <row r="35" spans="1:12" ht="15.5" x14ac:dyDescent="0.35">
      <c r="A35" s="211" t="s">
        <v>405</v>
      </c>
      <c r="B35" s="865">
        <v>13</v>
      </c>
      <c r="C35" s="894">
        <f>'Variante années de végétation'!CL80</f>
        <v>-33441.617047283711</v>
      </c>
      <c r="D35" s="659">
        <f>'Variante années de végétation'!CL15</f>
        <v>38450</v>
      </c>
      <c r="E35" s="660">
        <f>'Variante années de végétation'!CL76</f>
        <v>32929.991989503076</v>
      </c>
      <c r="F35" s="655">
        <f t="shared" si="0"/>
        <v>5520.0080104969238</v>
      </c>
      <c r="G35" s="133">
        <f t="shared" si="1"/>
        <v>1.1676285864951472</v>
      </c>
      <c r="H35" s="267">
        <f>'Variante années de végétation'!CJ12</f>
        <v>45000</v>
      </c>
      <c r="I35" s="256">
        <f>H35/B18</f>
        <v>22.5</v>
      </c>
      <c r="J35" s="875">
        <f>'Variante années de végétation'!CL81</f>
        <v>14578.603993847362</v>
      </c>
      <c r="K35" s="9"/>
      <c r="L35" s="7"/>
    </row>
    <row r="36" spans="1:12" ht="15.5" x14ac:dyDescent="0.35">
      <c r="A36" s="211" t="s">
        <v>406</v>
      </c>
      <c r="B36" s="11">
        <v>14</v>
      </c>
      <c r="C36" s="894">
        <f>'Variante années de végétation'!CS80</f>
        <v>-27838.808916629321</v>
      </c>
      <c r="D36" s="659">
        <f>'Variante années de végétation'!CS15</f>
        <v>38450</v>
      </c>
      <c r="E36" s="660">
        <f>'Variante années de végétation'!CS76</f>
        <v>32847.191869345617</v>
      </c>
      <c r="F36" s="655">
        <f t="shared" si="0"/>
        <v>5602.8081306543827</v>
      </c>
      <c r="G36" s="133">
        <f t="shared" si="1"/>
        <v>1.1705719062055699</v>
      </c>
      <c r="H36" s="267">
        <f>'Variante années de végétation'!CQ12</f>
        <v>45000</v>
      </c>
      <c r="I36" s="256">
        <f>H36/B18</f>
        <v>22.5</v>
      </c>
      <c r="J36" s="875">
        <f>'Variante années de végétation'!CS81</f>
        <v>7289.3019969236766</v>
      </c>
      <c r="K36" s="9"/>
      <c r="L36" s="7"/>
    </row>
    <row r="37" spans="1:12" ht="15.5" x14ac:dyDescent="0.35">
      <c r="A37" s="880" t="s">
        <v>407</v>
      </c>
      <c r="B37" s="30">
        <v>15</v>
      </c>
      <c r="C37" s="895">
        <f>'Variante années de végétation'!CZ80</f>
        <v>-28651.958664015125</v>
      </c>
      <c r="D37" s="881">
        <f>'Variante années de végétation'!CZ15</f>
        <v>38450</v>
      </c>
      <c r="E37" s="882">
        <f>'Variante années de végétation'!CZ76</f>
        <v>39263.149747385803</v>
      </c>
      <c r="F37" s="883">
        <f t="shared" si="0"/>
        <v>-813.14974738580349</v>
      </c>
      <c r="G37" s="896">
        <f t="shared" si="1"/>
        <v>0.97928974744467756</v>
      </c>
      <c r="H37" s="885">
        <f>'Variante années de végétation'!CX12</f>
        <v>45000</v>
      </c>
      <c r="I37" s="886">
        <f>H37/$B$18</f>
        <v>22.5</v>
      </c>
      <c r="J37" s="887">
        <f>'Variante années de végétation'!CZ81</f>
        <v>-9.0949470177292824E-12</v>
      </c>
      <c r="K37" s="9"/>
      <c r="L37" s="7"/>
    </row>
    <row r="38" spans="1:12" x14ac:dyDescent="0.25">
      <c r="B38" s="10"/>
      <c r="C38" s="81"/>
      <c r="D38" s="113"/>
      <c r="E38" s="155"/>
      <c r="F38" s="8"/>
      <c r="G38" s="88"/>
      <c r="H38" s="226"/>
      <c r="I38" s="59"/>
      <c r="J38" s="227"/>
      <c r="K38" s="9"/>
      <c r="L38" s="7"/>
    </row>
    <row r="39" spans="1:12" ht="13" x14ac:dyDescent="0.3">
      <c r="D39" s="12"/>
      <c r="E39" s="24"/>
    </row>
    <row r="40" spans="1:12" ht="24.75" customHeight="1" x14ac:dyDescent="0.4">
      <c r="A40" s="1516" t="s">
        <v>449</v>
      </c>
      <c r="B40" s="1516"/>
      <c r="C40" s="661">
        <f>C37</f>
        <v>-28651.958664015125</v>
      </c>
      <c r="D40" s="1"/>
      <c r="E40" s="1"/>
      <c r="F40" s="1"/>
      <c r="G40" s="1"/>
    </row>
    <row r="41" spans="1:12" ht="6" customHeight="1" x14ac:dyDescent="0.35">
      <c r="A41" s="713"/>
      <c r="B41" s="714"/>
      <c r="C41" s="715"/>
      <c r="D41" s="1"/>
      <c r="E41" s="1"/>
      <c r="F41" s="1"/>
      <c r="G41" s="1"/>
    </row>
    <row r="42" spans="1:12" ht="15.5" x14ac:dyDescent="0.35">
      <c r="A42" s="603" t="s">
        <v>495</v>
      </c>
      <c r="B42" s="519"/>
      <c r="C42" s="662">
        <f>'Variante pleine production'!F103</f>
        <v>23.191809414771281</v>
      </c>
      <c r="D42" s="1"/>
      <c r="E42" s="1"/>
      <c r="F42" s="1"/>
      <c r="G42" s="1"/>
    </row>
    <row r="43" spans="1:12" ht="15.5" x14ac:dyDescent="0.35">
      <c r="A43" s="600" t="s">
        <v>446</v>
      </c>
      <c r="B43" s="520"/>
      <c r="C43" s="663">
        <f>'Variante pleine production'!D75</f>
        <v>663.12878787878788</v>
      </c>
      <c r="D43" s="1"/>
      <c r="E43" s="1"/>
      <c r="F43" s="1"/>
      <c r="G43" s="1"/>
    </row>
    <row r="44" spans="1:12" ht="15.5" x14ac:dyDescent="0.35">
      <c r="A44" s="600" t="s">
        <v>447</v>
      </c>
      <c r="B44" s="522"/>
      <c r="C44" s="664">
        <f>2700/C43</f>
        <v>4.071607279540288</v>
      </c>
      <c r="D44" t="s">
        <v>448</v>
      </c>
      <c r="E44" s="1"/>
      <c r="F44" s="1"/>
      <c r="G44" s="1"/>
    </row>
    <row r="45" spans="1:12" ht="9.75" customHeight="1" x14ac:dyDescent="0.25"/>
    <row r="47" spans="1:12" x14ac:dyDescent="0.25">
      <c r="C47" s="70"/>
      <c r="D47" s="70"/>
      <c r="E47" s="71"/>
    </row>
  </sheetData>
  <mergeCells count="1">
    <mergeCell ref="A40:B40"/>
  </mergeCells>
  <phoneticPr fontId="24" type="noConversion"/>
  <printOptions gridLines="1" gridLinesSet="0"/>
  <pageMargins left="0.78740157480314965" right="0.78740157480314965" top="0.59055118110236227" bottom="0.59055118110236227" header="0.51181102362204722" footer="0.51181102362204722"/>
  <pageSetup paperSize="9" scale="60" orientation="portrait" r:id="rId1"/>
  <headerFooter alignWithMargins="0">
    <oddFooter>&amp;L&amp;6&amp;F&amp;C&amp;6&amp;A  &amp;D&amp;R&amp;6Kontakt: patrik.mouron@faw.admin.ch</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6</vt:i4>
      </vt:variant>
    </vt:vector>
  </HeadingPairs>
  <TitlesOfParts>
    <vt:vector size="22" baseType="lpstr">
      <vt:lpstr>Page variable</vt:lpstr>
      <vt:lpstr>Notizen</vt:lpstr>
      <vt:lpstr>Variante données</vt:lpstr>
      <vt:lpstr>Variante grêle</vt:lpstr>
      <vt:lpstr>Variante irrigation</vt:lpstr>
      <vt:lpstr>Variante plantation</vt:lpstr>
      <vt:lpstr>Variante années de végétation</vt:lpstr>
      <vt:lpstr>Variante pleine production</vt:lpstr>
      <vt:lpstr>Variante Cashflow</vt:lpstr>
      <vt:lpstr>Données normes</vt:lpstr>
      <vt:lpstr>Normes grêle</vt:lpstr>
      <vt:lpstr>Normes Irrigation</vt:lpstr>
      <vt:lpstr>Normes plantation</vt:lpstr>
      <vt:lpstr>Normes années de végétation</vt:lpstr>
      <vt:lpstr>Normes pleine production</vt:lpstr>
      <vt:lpstr>Normes cashflow</vt:lpstr>
      <vt:lpstr>'Normes années de végétation'!Druckbereich</vt:lpstr>
      <vt:lpstr>'Normes cashflow'!Druckbereich</vt:lpstr>
      <vt:lpstr>'Normes pleine production'!Druckbereich</vt:lpstr>
      <vt:lpstr>'Page variable'!Druckbereich</vt:lpstr>
      <vt:lpstr>'Variante Cashflow'!Druckbereich</vt:lpstr>
      <vt:lpstr>'Variante pleine production'!Druckbereich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Arbokost für Apfel</dc:title>
  <dc:subject>Entwicklung</dc:subject>
  <dc:creator>Matthias Zürcher</dc:creator>
  <cp:lastModifiedBy>Bravin Esther</cp:lastModifiedBy>
  <cp:lastPrinted>2008-01-18T16:25:04Z</cp:lastPrinted>
  <dcterms:created xsi:type="dcterms:W3CDTF">1999-04-12T09:35:11Z</dcterms:created>
  <dcterms:modified xsi:type="dcterms:W3CDTF">2023-09-22T13:12:14Z</dcterms:modified>
</cp:coreProperties>
</file>