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O:\Data-Work\22_Plant_Production-CH\226.14_Ökonomie\01_Projekte\011_CH_Projekte\Arbokost\Endversionen_Internet\Arbokost_Internet_2023\Versionen_2023_ff\Deutsch\"/>
    </mc:Choice>
  </mc:AlternateContent>
  <xr:revisionPtr revIDLastSave="0" documentId="13_ncr:1_{44ADF4BA-6955-495F-836A-20A0CE60C36D}" xr6:coauthVersionLast="47" xr6:coauthVersionMax="47" xr10:uidLastSave="{00000000-0000-0000-0000-000000000000}"/>
  <bookViews>
    <workbookView xWindow="-120" yWindow="-120" windowWidth="29040" windowHeight="17640" tabRatio="963" xr2:uid="{00000000-000D-0000-FFFF-FFFF00000000}"/>
  </bookViews>
  <sheets>
    <sheet name="Varianten eingeben" sheetId="22715" r:id="rId1"/>
    <sheet name="Var Vorgaben" sheetId="5" r:id="rId2"/>
    <sheet name="Var Hagel" sheetId="22728" r:id="rId3"/>
    <sheet name="Var Regendach" sheetId="22732" r:id="rId4"/>
    <sheet name="Var Bewässerung" sheetId="22730" r:id="rId5"/>
    <sheet name="Var Erstellung" sheetId="22714" r:id="rId6"/>
    <sheet name="Var 1.-16. Standjahr" sheetId="22723" r:id="rId7"/>
    <sheet name="Var Ertragsphase" sheetId="22725" r:id="rId8"/>
    <sheet name="Var Cashflow" sheetId="22726" r:id="rId9"/>
    <sheet name="Standard Vorgaben" sheetId="16" r:id="rId10"/>
    <sheet name="Standard Hagel" sheetId="22727" r:id="rId11"/>
    <sheet name="Standard Regendach" sheetId="22731" r:id="rId12"/>
    <sheet name="Standard Bewässerung" sheetId="22729" r:id="rId13"/>
    <sheet name="Standard Erstellung" sheetId="1" r:id="rId14"/>
    <sheet name="Standard 1.-16. Standjahr" sheetId="2" r:id="rId15"/>
    <sheet name="Standard Ertragsphase" sheetId="3" r:id="rId16"/>
    <sheet name="Standard Cashflow" sheetId="4" r:id="rId17"/>
  </sheets>
  <definedNames>
    <definedName name="_xlnm.Print_Area" localSheetId="7">'Var Ertragsphase'!$A$1:$G$152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22715" l="1"/>
  <c r="A1" i="22715"/>
  <c r="O5" i="22729"/>
  <c r="K5" i="22729"/>
  <c r="D37" i="22731"/>
  <c r="D36" i="22731"/>
  <c r="D34" i="22731"/>
  <c r="D33" i="22731"/>
  <c r="E30" i="22731"/>
  <c r="D28" i="22731"/>
  <c r="D27" i="22731"/>
  <c r="D26" i="22731"/>
  <c r="D23" i="22731"/>
  <c r="D22" i="22731"/>
  <c r="D21" i="22731"/>
  <c r="D18" i="22731"/>
  <c r="D17" i="22731"/>
  <c r="D16" i="22731"/>
  <c r="D13" i="22731"/>
  <c r="D12" i="22731"/>
  <c r="D11" i="22731"/>
  <c r="D5" i="22731"/>
  <c r="D35" i="22731" s="1"/>
  <c r="A5" i="22731"/>
  <c r="A6" i="22729" s="1"/>
  <c r="D62" i="22727"/>
  <c r="D61" i="22727"/>
  <c r="D60" i="22727"/>
  <c r="D32" i="22727"/>
  <c r="D31" i="22727"/>
  <c r="D30" i="22727"/>
  <c r="D29" i="22727"/>
  <c r="D28" i="22727"/>
  <c r="D25" i="22727"/>
  <c r="D24" i="22727"/>
  <c r="D23" i="22727"/>
  <c r="D22" i="22727"/>
  <c r="D21" i="22727"/>
  <c r="D20" i="22727"/>
  <c r="D19" i="22727"/>
  <c r="D18" i="22727"/>
  <c r="D17" i="22727"/>
  <c r="D16" i="22727"/>
  <c r="D14" i="22727"/>
  <c r="D13" i="22727"/>
  <c r="D12" i="22727"/>
  <c r="D11" i="22727"/>
  <c r="D5" i="22732"/>
  <c r="E6" i="22730" s="1"/>
  <c r="A5" i="22732"/>
  <c r="A6" i="22730" s="1"/>
  <c r="D37" i="22732"/>
  <c r="D36" i="22732"/>
  <c r="D35" i="22732"/>
  <c r="D34" i="22732"/>
  <c r="D29" i="22732"/>
  <c r="D33" i="22732"/>
  <c r="E33" i="22732" s="1"/>
  <c r="E30" i="22732"/>
  <c r="D28" i="22732"/>
  <c r="D27" i="22732"/>
  <c r="D26" i="22732"/>
  <c r="D25" i="22732"/>
  <c r="D23" i="22732"/>
  <c r="D22" i="22732"/>
  <c r="D21" i="22732"/>
  <c r="D20" i="22732"/>
  <c r="D18" i="22732"/>
  <c r="D17" i="22732"/>
  <c r="D16" i="22732"/>
  <c r="D14" i="22732"/>
  <c r="D13" i="22732"/>
  <c r="D12" i="22732"/>
  <c r="D11" i="22732"/>
  <c r="D62" i="22728"/>
  <c r="D61" i="22728"/>
  <c r="D60" i="22728"/>
  <c r="D32" i="22728"/>
  <c r="D42" i="22728"/>
  <c r="D41" i="22728"/>
  <c r="D40" i="22728"/>
  <c r="D31" i="22728"/>
  <c r="D30" i="22728"/>
  <c r="D29" i="22728"/>
  <c r="D28" i="22728"/>
  <c r="D25" i="22728"/>
  <c r="D24" i="22728"/>
  <c r="D23" i="22728"/>
  <c r="D22" i="22728"/>
  <c r="D21" i="22728"/>
  <c r="D20" i="22728"/>
  <c r="D19" i="22728"/>
  <c r="D18" i="22728"/>
  <c r="D17" i="22728"/>
  <c r="D16" i="22728"/>
  <c r="D14" i="22728"/>
  <c r="D13" i="22728"/>
  <c r="D12" i="22728"/>
  <c r="D11" i="22728"/>
  <c r="F84" i="22730" l="1"/>
  <c r="F78" i="22730"/>
  <c r="F72" i="22730"/>
  <c r="F65" i="22730"/>
  <c r="F28" i="22730"/>
  <c r="F24" i="22730"/>
  <c r="F15" i="22730"/>
  <c r="F83" i="22730"/>
  <c r="F77" i="22730"/>
  <c r="F71" i="22730"/>
  <c r="F64" i="22730"/>
  <c r="F27" i="22730"/>
  <c r="F23" i="22730"/>
  <c r="F14" i="22730"/>
  <c r="F80" i="22730"/>
  <c r="F76" i="22730"/>
  <c r="F67" i="22730"/>
  <c r="F63" i="22730"/>
  <c r="F26" i="22730"/>
  <c r="F19" i="22730"/>
  <c r="F13" i="22730"/>
  <c r="F79" i="22730"/>
  <c r="F75" i="22730"/>
  <c r="F66" i="22730"/>
  <c r="F31" i="22730"/>
  <c r="F25" i="22730"/>
  <c r="F20" i="22730"/>
  <c r="F11" i="22730"/>
  <c r="E6" i="22729"/>
  <c r="D14" i="22731"/>
  <c r="D20" i="22731"/>
  <c r="D25" i="22731"/>
  <c r="D29" i="22731"/>
  <c r="C36" i="22725"/>
  <c r="C35" i="22725"/>
  <c r="C36" i="3"/>
  <c r="C35" i="3"/>
  <c r="DD38" i="2"/>
  <c r="DD37" i="2"/>
  <c r="CW38" i="2"/>
  <c r="CW37" i="2"/>
  <c r="CP38" i="2"/>
  <c r="CP37" i="2"/>
  <c r="CI38" i="2"/>
  <c r="CI37" i="2"/>
  <c r="CB38" i="2"/>
  <c r="CB37" i="2"/>
  <c r="BU38" i="2"/>
  <c r="BU37" i="2"/>
  <c r="BN38" i="2"/>
  <c r="BN37" i="2"/>
  <c r="BG38" i="2"/>
  <c r="BG37" i="2"/>
  <c r="AZ38" i="2"/>
  <c r="AZ37" i="2"/>
  <c r="AS38" i="2"/>
  <c r="AS37" i="2"/>
  <c r="AL38" i="2"/>
  <c r="AL37" i="2"/>
  <c r="AE38" i="2"/>
  <c r="AE37" i="2"/>
  <c r="X38" i="2"/>
  <c r="X37" i="2"/>
  <c r="Q38" i="2"/>
  <c r="Q37" i="2"/>
  <c r="J38" i="2"/>
  <c r="J37" i="2"/>
  <c r="C38" i="2"/>
  <c r="C37" i="2"/>
  <c r="DD37" i="22723"/>
  <c r="DD36" i="22723"/>
  <c r="CW37" i="22723"/>
  <c r="CW36" i="22723"/>
  <c r="CP37" i="22723"/>
  <c r="CP36" i="22723"/>
  <c r="CI37" i="22723"/>
  <c r="CI36" i="22723"/>
  <c r="CB37" i="22723"/>
  <c r="CB36" i="22723"/>
  <c r="BU37" i="22723"/>
  <c r="BU36" i="22723"/>
  <c r="BN37" i="22723"/>
  <c r="BN36" i="22723"/>
  <c r="BG37" i="22723"/>
  <c r="BG36" i="22723"/>
  <c r="AZ37" i="22723"/>
  <c r="AZ36" i="22723"/>
  <c r="AS37" i="22723"/>
  <c r="AS36" i="22723"/>
  <c r="AL37" i="22723"/>
  <c r="AL36" i="22723"/>
  <c r="AE37" i="22723"/>
  <c r="AE36" i="22723"/>
  <c r="X37" i="22723"/>
  <c r="X36" i="22723"/>
  <c r="Q37" i="22723"/>
  <c r="Q36" i="22723"/>
  <c r="J37" i="22723"/>
  <c r="J36" i="22723"/>
  <c r="C37" i="22723"/>
  <c r="C36" i="22723"/>
  <c r="F21" i="3"/>
  <c r="A21" i="3"/>
  <c r="F20" i="3"/>
  <c r="A20" i="3"/>
  <c r="F19" i="3"/>
  <c r="F22" i="3" s="1"/>
  <c r="A19" i="3"/>
  <c r="DG23" i="2"/>
  <c r="DB23" i="2"/>
  <c r="DG22" i="2"/>
  <c r="DB22" i="2"/>
  <c r="DG21" i="2"/>
  <c r="DG24" i="2" s="1"/>
  <c r="DB21" i="2"/>
  <c r="CZ23" i="2"/>
  <c r="CU23" i="2"/>
  <c r="CZ22" i="2"/>
  <c r="CU22" i="2"/>
  <c r="CZ21" i="2"/>
  <c r="CZ24" i="2" s="1"/>
  <c r="CU21" i="2"/>
  <c r="CS23" i="2"/>
  <c r="CN23" i="2"/>
  <c r="CS22" i="2"/>
  <c r="CN22" i="2"/>
  <c r="CS21" i="2"/>
  <c r="CS24" i="2" s="1"/>
  <c r="CN21" i="2"/>
  <c r="CL23" i="2"/>
  <c r="CG23" i="2"/>
  <c r="CL22" i="2"/>
  <c r="CG22" i="2"/>
  <c r="CL21" i="2"/>
  <c r="CG21" i="2"/>
  <c r="CE23" i="2"/>
  <c r="BZ23" i="2"/>
  <c r="CE22" i="2"/>
  <c r="BZ22" i="2"/>
  <c r="CE21" i="2"/>
  <c r="CE24" i="2" s="1"/>
  <c r="BZ21" i="2"/>
  <c r="BX23" i="2"/>
  <c r="BS23" i="2"/>
  <c r="BX22" i="2"/>
  <c r="BS22" i="2"/>
  <c r="BX21" i="2"/>
  <c r="BS21" i="2"/>
  <c r="BQ23" i="2"/>
  <c r="BL23" i="2"/>
  <c r="BQ22" i="2"/>
  <c r="BL22" i="2"/>
  <c r="BQ21" i="2"/>
  <c r="BQ24" i="2" s="1"/>
  <c r="BL21" i="2"/>
  <c r="BJ23" i="2"/>
  <c r="BE23" i="2"/>
  <c r="BJ22" i="2"/>
  <c r="BE22" i="2"/>
  <c r="BJ21" i="2"/>
  <c r="BE21" i="2"/>
  <c r="BC23" i="2"/>
  <c r="AX23" i="2"/>
  <c r="BC22" i="2"/>
  <c r="AX22" i="2"/>
  <c r="BC21" i="2"/>
  <c r="BC24" i="2" s="1"/>
  <c r="AX21" i="2"/>
  <c r="AV23" i="2"/>
  <c r="AQ23" i="2"/>
  <c r="AV22" i="2"/>
  <c r="AQ22" i="2"/>
  <c r="AV21" i="2"/>
  <c r="AQ21" i="2"/>
  <c r="AO23" i="2"/>
  <c r="AJ23" i="2"/>
  <c r="AO22" i="2"/>
  <c r="AJ22" i="2"/>
  <c r="AO21" i="2"/>
  <c r="AO24" i="2" s="1"/>
  <c r="AJ21" i="2"/>
  <c r="AH23" i="2"/>
  <c r="AH22" i="2"/>
  <c r="AH21" i="2"/>
  <c r="AA23" i="2"/>
  <c r="AA22" i="2"/>
  <c r="AA21" i="2"/>
  <c r="AC23" i="2"/>
  <c r="AC22" i="2"/>
  <c r="AC21" i="2"/>
  <c r="V23" i="2"/>
  <c r="V22" i="2"/>
  <c r="V21" i="2"/>
  <c r="T23" i="2"/>
  <c r="T22" i="2"/>
  <c r="T21" i="2"/>
  <c r="T24" i="2" s="1"/>
  <c r="O23" i="2"/>
  <c r="O22" i="2"/>
  <c r="O21" i="2"/>
  <c r="M23" i="2"/>
  <c r="M22" i="2"/>
  <c r="M21" i="2"/>
  <c r="H23" i="2"/>
  <c r="H22" i="2"/>
  <c r="M24" i="2"/>
  <c r="H21" i="2"/>
  <c r="F22" i="2"/>
  <c r="F23" i="2"/>
  <c r="F21" i="2"/>
  <c r="A23" i="2"/>
  <c r="A22" i="2"/>
  <c r="A21" i="2"/>
  <c r="A21" i="22725"/>
  <c r="A20" i="22725"/>
  <c r="A19" i="22725"/>
  <c r="DB22" i="22723"/>
  <c r="DB21" i="22723"/>
  <c r="DB20" i="22723"/>
  <c r="CU22" i="22723"/>
  <c r="CU21" i="22723"/>
  <c r="CU20" i="22723"/>
  <c r="CN22" i="22723"/>
  <c r="CN21" i="22723"/>
  <c r="CN20" i="22723"/>
  <c r="CG22" i="22723"/>
  <c r="CG21" i="22723"/>
  <c r="CG20" i="22723"/>
  <c r="BZ22" i="22723"/>
  <c r="BZ21" i="22723"/>
  <c r="BZ20" i="22723"/>
  <c r="BS22" i="22723"/>
  <c r="BS21" i="22723"/>
  <c r="BS20" i="22723"/>
  <c r="BL22" i="22723"/>
  <c r="BL21" i="22723"/>
  <c r="BL20" i="22723"/>
  <c r="BE22" i="22723"/>
  <c r="BE21" i="22723"/>
  <c r="BE20" i="22723"/>
  <c r="AX22" i="22723"/>
  <c r="AX21" i="22723"/>
  <c r="AX20" i="22723"/>
  <c r="AQ22" i="22723"/>
  <c r="AQ21" i="22723"/>
  <c r="AQ20" i="22723"/>
  <c r="AJ22" i="22723"/>
  <c r="AJ21" i="22723"/>
  <c r="AJ20" i="22723"/>
  <c r="AC22" i="22723"/>
  <c r="AC21" i="22723"/>
  <c r="AC20" i="22723"/>
  <c r="V22" i="22723"/>
  <c r="V21" i="22723"/>
  <c r="V20" i="22723"/>
  <c r="O22" i="22723"/>
  <c r="O21" i="22723"/>
  <c r="O20" i="22723"/>
  <c r="H22" i="22723"/>
  <c r="H21" i="22723"/>
  <c r="H20" i="22723"/>
  <c r="A22" i="22723"/>
  <c r="A21" i="22723"/>
  <c r="A20" i="22723"/>
  <c r="AA24" i="2" l="1"/>
  <c r="AV24" i="2"/>
  <c r="F24" i="2"/>
  <c r="BJ24" i="2"/>
  <c r="BX24" i="2"/>
  <c r="CL24" i="2"/>
  <c r="F80" i="22729"/>
  <c r="F76" i="22729"/>
  <c r="F67" i="22729"/>
  <c r="F11" i="22729"/>
  <c r="F26" i="22729"/>
  <c r="F20" i="22729"/>
  <c r="F63" i="22729"/>
  <c r="F79" i="22729"/>
  <c r="F75" i="22729"/>
  <c r="F66" i="22729"/>
  <c r="F31" i="22729"/>
  <c r="F25" i="22729"/>
  <c r="F19" i="22729"/>
  <c r="F84" i="22729"/>
  <c r="F78" i="22729"/>
  <c r="F72" i="22729"/>
  <c r="F65" i="22729"/>
  <c r="F28" i="22729"/>
  <c r="F24" i="22729"/>
  <c r="F15" i="22729"/>
  <c r="F83" i="22729"/>
  <c r="F77" i="22729"/>
  <c r="F71" i="22729"/>
  <c r="F64" i="22729"/>
  <c r="F13" i="22729"/>
  <c r="F27" i="22729"/>
  <c r="F23" i="22729"/>
  <c r="F14" i="22729"/>
  <c r="AH24" i="2"/>
  <c r="D129" i="16"/>
  <c r="F47" i="22729" s="1"/>
  <c r="D129" i="5"/>
  <c r="F47" i="22730" s="1"/>
  <c r="C157" i="16" l="1"/>
  <c r="D157" i="16" s="1"/>
  <c r="C157" i="5"/>
  <c r="D157" i="5" s="1"/>
  <c r="C17" i="3" l="1"/>
  <c r="B14" i="22715" l="1"/>
  <c r="G40" i="5" l="1"/>
  <c r="D12" i="22714"/>
  <c r="C12" i="22714"/>
  <c r="C13" i="22714"/>
  <c r="B24" i="5"/>
  <c r="X39" i="22723" l="1"/>
  <c r="D64" i="5" l="1"/>
  <c r="AG27" i="22723" l="1"/>
  <c r="AH27" i="22723" s="1"/>
  <c r="Z27" i="22723"/>
  <c r="AA27" i="22723" s="1"/>
  <c r="CO28" i="2"/>
  <c r="CP28" i="2"/>
  <c r="CR28" i="2"/>
  <c r="CS28" i="2" s="1"/>
  <c r="DF28" i="2"/>
  <c r="DG28" i="2" s="1"/>
  <c r="DD28" i="2"/>
  <c r="CY28" i="2"/>
  <c r="CZ28" i="2" s="1"/>
  <c r="CW28" i="2"/>
  <c r="CK28" i="2"/>
  <c r="CL28" i="2" s="1"/>
  <c r="CI28" i="2"/>
  <c r="CD28" i="2"/>
  <c r="CE28" i="2" s="1"/>
  <c r="CB28" i="2"/>
  <c r="BW28" i="2"/>
  <c r="BX28" i="2" s="1"/>
  <c r="BU28" i="2"/>
  <c r="BP28" i="2"/>
  <c r="BQ28" i="2" s="1"/>
  <c r="BN28" i="2"/>
  <c r="BI28" i="2"/>
  <c r="BJ28" i="2" s="1"/>
  <c r="BG28" i="2"/>
  <c r="BB28" i="2"/>
  <c r="BC28" i="2" s="1"/>
  <c r="AZ28" i="2"/>
  <c r="AU28" i="2"/>
  <c r="AV28" i="2" s="1"/>
  <c r="AS28" i="2"/>
  <c r="AN28" i="2"/>
  <c r="AO28" i="2" s="1"/>
  <c r="AL28" i="2"/>
  <c r="AG28" i="2"/>
  <c r="AH28" i="2" s="1"/>
  <c r="AE28" i="2"/>
  <c r="Z28" i="2"/>
  <c r="AA28" i="2" s="1"/>
  <c r="X28" i="2"/>
  <c r="S28" i="2"/>
  <c r="T28" i="2" s="1"/>
  <c r="Q28" i="2"/>
  <c r="J28" i="2"/>
  <c r="DF27" i="22723"/>
  <c r="DG27" i="22723" s="1"/>
  <c r="DD27" i="22723"/>
  <c r="CY27" i="22723"/>
  <c r="CZ27" i="22723" s="1"/>
  <c r="CW27" i="22723"/>
  <c r="CR27" i="22723"/>
  <c r="CS27" i="22723" s="1"/>
  <c r="CP27" i="22723"/>
  <c r="CK27" i="22723"/>
  <c r="CL27" i="22723" s="1"/>
  <c r="CI27" i="22723"/>
  <c r="CD27" i="22723"/>
  <c r="CE27" i="22723" s="1"/>
  <c r="CB27" i="22723"/>
  <c r="BW27" i="22723"/>
  <c r="BX27" i="22723" s="1"/>
  <c r="BU27" i="22723"/>
  <c r="BP27" i="22723"/>
  <c r="BQ27" i="22723" s="1"/>
  <c r="BN27" i="22723"/>
  <c r="BI27" i="22723"/>
  <c r="BJ27" i="22723" s="1"/>
  <c r="BG27" i="22723"/>
  <c r="BB27" i="22723"/>
  <c r="BC27" i="22723" s="1"/>
  <c r="AZ27" i="22723"/>
  <c r="AU27" i="22723"/>
  <c r="AV27" i="22723" s="1"/>
  <c r="AS27" i="22723"/>
  <c r="AL27" i="22723"/>
  <c r="D77" i="22714"/>
  <c r="D75" i="22714"/>
  <c r="C37" i="16"/>
  <c r="CD55" i="2" s="1"/>
  <c r="CC10" i="2"/>
  <c r="H37" i="4" s="1"/>
  <c r="CQ10" i="2"/>
  <c r="H39" i="4" s="1"/>
  <c r="D64" i="16"/>
  <c r="D10" i="3" s="1"/>
  <c r="DE10" i="2"/>
  <c r="H41" i="4" s="1"/>
  <c r="C45" i="16"/>
  <c r="C32" i="5"/>
  <c r="D105" i="22714" s="1"/>
  <c r="C44" i="3"/>
  <c r="C45" i="3"/>
  <c r="C56" i="2"/>
  <c r="C57" i="2"/>
  <c r="C47" i="2"/>
  <c r="C46" i="2"/>
  <c r="J56" i="2"/>
  <c r="J57" i="2"/>
  <c r="J47" i="2"/>
  <c r="J46" i="2"/>
  <c r="Q56" i="2"/>
  <c r="Q57" i="2"/>
  <c r="Q47" i="2"/>
  <c r="Q46" i="2"/>
  <c r="X56" i="2"/>
  <c r="X57" i="2"/>
  <c r="X47" i="2"/>
  <c r="X46" i="2"/>
  <c r="C54" i="3"/>
  <c r="C55" i="3"/>
  <c r="B45" i="3"/>
  <c r="B44" i="3"/>
  <c r="C181" i="5"/>
  <c r="C184" i="5"/>
  <c r="F54" i="22730" s="1"/>
  <c r="C183" i="5"/>
  <c r="B46" i="5"/>
  <c r="B47" i="5" s="1"/>
  <c r="B69" i="5"/>
  <c r="B75" i="5" s="1"/>
  <c r="AW8" i="22723" s="1"/>
  <c r="C28" i="22715"/>
  <c r="B29" i="22715"/>
  <c r="C29" i="22715" s="1"/>
  <c r="B30" i="22715"/>
  <c r="C30" i="22715" s="1"/>
  <c r="B31" i="22715"/>
  <c r="C31" i="22715" s="1"/>
  <c r="B32" i="22715"/>
  <c r="B24" i="3" s="1"/>
  <c r="B34" i="22715"/>
  <c r="C34" i="22715" s="1"/>
  <c r="B35" i="22715"/>
  <c r="C35" i="22715" s="1"/>
  <c r="B36" i="22715"/>
  <c r="C36" i="22715" s="1"/>
  <c r="B37" i="22715"/>
  <c r="C37" i="22715" s="1"/>
  <c r="B38" i="22715"/>
  <c r="C38" i="22715" s="1"/>
  <c r="C177" i="5"/>
  <c r="AZ55" i="22723" s="1"/>
  <c r="C185" i="5"/>
  <c r="D149" i="22714" s="1"/>
  <c r="C186" i="5"/>
  <c r="D161" i="22714" s="1"/>
  <c r="C9" i="22714"/>
  <c r="C31" i="5"/>
  <c r="D9" i="22714" s="1"/>
  <c r="C33" i="5"/>
  <c r="C75" i="22714"/>
  <c r="C90" i="22714" s="1"/>
  <c r="C76" i="22714"/>
  <c r="C93" i="22714"/>
  <c r="C94" i="22714"/>
  <c r="C95" i="22714"/>
  <c r="C96" i="22714"/>
  <c r="C97" i="22714"/>
  <c r="C77" i="22714"/>
  <c r="C98" i="22714" s="1"/>
  <c r="C99" i="22714"/>
  <c r="C100" i="22714"/>
  <c r="C101" i="22714"/>
  <c r="D11" i="22714"/>
  <c r="E12" i="22714"/>
  <c r="D13" i="22714"/>
  <c r="E13" i="22714" s="1"/>
  <c r="D14" i="22714"/>
  <c r="C65" i="22714"/>
  <c r="E65" i="22714"/>
  <c r="D65" i="22714"/>
  <c r="E66" i="22714"/>
  <c r="E67" i="22714"/>
  <c r="C37" i="22714"/>
  <c r="D37" i="22714"/>
  <c r="C38" i="22714"/>
  <c r="D38" i="22714"/>
  <c r="C39" i="22714"/>
  <c r="D39" i="22714"/>
  <c r="E39" i="22714" s="1"/>
  <c r="C79" i="22714"/>
  <c r="C80" i="22714"/>
  <c r="C84" i="22714"/>
  <c r="D84" i="22714"/>
  <c r="E85" i="22714"/>
  <c r="C135" i="22714"/>
  <c r="C131" i="22714" s="1"/>
  <c r="C118" i="22714"/>
  <c r="C119" i="22714" s="1"/>
  <c r="D118" i="22714"/>
  <c r="D119" i="22714"/>
  <c r="D120" i="22714"/>
  <c r="C121" i="22714"/>
  <c r="D121" i="22714"/>
  <c r="C122" i="22714"/>
  <c r="D122" i="22714"/>
  <c r="D123" i="22714"/>
  <c r="C124" i="22714"/>
  <c r="D124" i="22714"/>
  <c r="D126" i="22714"/>
  <c r="E128" i="22714"/>
  <c r="C8" i="22730"/>
  <c r="C17" i="22714"/>
  <c r="D17" i="22714"/>
  <c r="C18" i="22714"/>
  <c r="D18" i="22714"/>
  <c r="C19" i="22714"/>
  <c r="D19" i="22714"/>
  <c r="C20" i="22714"/>
  <c r="D20" i="22714"/>
  <c r="E20" i="22714"/>
  <c r="C21" i="22714"/>
  <c r="E21" i="22714" s="1"/>
  <c r="D21" i="22714"/>
  <c r="C22" i="22714"/>
  <c r="D22" i="22714"/>
  <c r="C23" i="22714"/>
  <c r="E23" i="22714" s="1"/>
  <c r="D23" i="22714"/>
  <c r="C24" i="22714"/>
  <c r="D24" i="22714"/>
  <c r="E24" i="22714" s="1"/>
  <c r="C25" i="22714"/>
  <c r="D25" i="22714"/>
  <c r="E25" i="22714" s="1"/>
  <c r="C26" i="22714"/>
  <c r="E26" i="22714"/>
  <c r="D26" i="22714"/>
  <c r="C27" i="22714"/>
  <c r="E27" i="22714" s="1"/>
  <c r="D27" i="22714"/>
  <c r="C30" i="22714"/>
  <c r="D30" i="22714"/>
  <c r="E30" i="22714" s="1"/>
  <c r="C31" i="22714"/>
  <c r="E31" i="22714" s="1"/>
  <c r="D31" i="22714"/>
  <c r="C32" i="22714"/>
  <c r="E32" i="22714" s="1"/>
  <c r="D32" i="22714"/>
  <c r="C33" i="22714"/>
  <c r="E33" i="22714"/>
  <c r="D33" i="22714"/>
  <c r="C34" i="22714"/>
  <c r="D34" i="22714"/>
  <c r="E54" i="22714"/>
  <c r="E55" i="22714"/>
  <c r="C102" i="22714"/>
  <c r="C38" i="3"/>
  <c r="D35" i="3"/>
  <c r="D36" i="3"/>
  <c r="C14" i="3"/>
  <c r="C15" i="3"/>
  <c r="C16" i="3"/>
  <c r="D37" i="3"/>
  <c r="C40" i="3"/>
  <c r="D40" i="3"/>
  <c r="C41" i="3"/>
  <c r="D41" i="3"/>
  <c r="F46" i="3"/>
  <c r="CW39" i="22723"/>
  <c r="CX36" i="22723"/>
  <c r="CX37" i="22723"/>
  <c r="CW14" i="22723"/>
  <c r="CW15" i="22723"/>
  <c r="CW16" i="22723"/>
  <c r="CW17" i="22723"/>
  <c r="CX38" i="22723"/>
  <c r="CW41" i="22723"/>
  <c r="CX41" i="22723"/>
  <c r="CX42" i="22723"/>
  <c r="CP39" i="22723"/>
  <c r="CQ36" i="22723"/>
  <c r="CQ37" i="22723"/>
  <c r="CP14" i="22723"/>
  <c r="CP15" i="22723"/>
  <c r="CP16" i="22723"/>
  <c r="CP17" i="22723"/>
  <c r="CQ38" i="22723"/>
  <c r="CP41" i="22723"/>
  <c r="CQ41" i="22723"/>
  <c r="CQ42" i="22723"/>
  <c r="CI39" i="22723"/>
  <c r="CJ36" i="22723"/>
  <c r="CJ37" i="22723"/>
  <c r="CI14" i="22723"/>
  <c r="CI15" i="22723"/>
  <c r="CI16" i="22723"/>
  <c r="CI17" i="22723"/>
  <c r="CJ38" i="22723"/>
  <c r="CI41" i="22723"/>
  <c r="CJ41" i="22723"/>
  <c r="CJ42" i="22723"/>
  <c r="CB39" i="22723"/>
  <c r="CC36" i="22723"/>
  <c r="CC37" i="22723"/>
  <c r="CB14" i="22723"/>
  <c r="CB15" i="22723"/>
  <c r="CB16" i="22723"/>
  <c r="CB17" i="22723"/>
  <c r="CC38" i="22723"/>
  <c r="CB41" i="22723"/>
  <c r="CC41" i="22723"/>
  <c r="CC42" i="22723"/>
  <c r="BU39" i="22723"/>
  <c r="BV36" i="22723"/>
  <c r="BV37" i="22723"/>
  <c r="BU14" i="22723"/>
  <c r="BU15" i="22723"/>
  <c r="BU16" i="22723"/>
  <c r="BU17" i="22723"/>
  <c r="BV38" i="22723"/>
  <c r="BU41" i="22723"/>
  <c r="BV41" i="22723"/>
  <c r="BV42" i="22723"/>
  <c r="BN39" i="22723"/>
  <c r="BO36" i="22723"/>
  <c r="BO37" i="22723"/>
  <c r="BN14" i="22723"/>
  <c r="BN15" i="22723"/>
  <c r="BN16" i="22723"/>
  <c r="BN17" i="22723"/>
  <c r="BO38" i="22723"/>
  <c r="BN41" i="22723"/>
  <c r="BO41" i="22723"/>
  <c r="BO42" i="22723"/>
  <c r="BG39" i="22723"/>
  <c r="BH36" i="22723"/>
  <c r="BH37" i="22723"/>
  <c r="BG14" i="22723"/>
  <c r="BG15" i="22723"/>
  <c r="BG16" i="22723"/>
  <c r="BG17" i="22723"/>
  <c r="BH38" i="22723"/>
  <c r="BG41" i="22723"/>
  <c r="BH41" i="22723"/>
  <c r="BH42" i="22723"/>
  <c r="AZ39" i="22723"/>
  <c r="BA36" i="22723"/>
  <c r="BA37" i="22723"/>
  <c r="AZ14" i="22723"/>
  <c r="AZ15" i="22723"/>
  <c r="AZ16" i="22723"/>
  <c r="AZ17" i="22723"/>
  <c r="BA38" i="22723"/>
  <c r="AZ41" i="22723"/>
  <c r="BA41" i="22723"/>
  <c r="BA42" i="22723"/>
  <c r="AS39" i="22723"/>
  <c r="AT36" i="22723"/>
  <c r="AT37" i="22723"/>
  <c r="AS14" i="22723"/>
  <c r="AS15" i="22723"/>
  <c r="AS16" i="22723"/>
  <c r="AS17" i="22723"/>
  <c r="AT38" i="22723"/>
  <c r="AS41" i="22723"/>
  <c r="AT41" i="22723"/>
  <c r="AT42" i="22723"/>
  <c r="AL39" i="22723"/>
  <c r="AM36" i="22723"/>
  <c r="AM37" i="22723"/>
  <c r="AL14" i="22723"/>
  <c r="AL15" i="22723"/>
  <c r="AL16" i="22723"/>
  <c r="AL17" i="22723"/>
  <c r="AM38" i="22723"/>
  <c r="AL41" i="22723"/>
  <c r="AM41" i="22723"/>
  <c r="AM42" i="22723"/>
  <c r="C39" i="22723"/>
  <c r="D36" i="22723"/>
  <c r="D37" i="22723"/>
  <c r="C14" i="22723"/>
  <c r="C15" i="22723"/>
  <c r="D38" i="22723"/>
  <c r="C41" i="22723"/>
  <c r="D41" i="22723"/>
  <c r="D42" i="22723"/>
  <c r="F34" i="5"/>
  <c r="D82" i="22715" s="1"/>
  <c r="C34" i="5"/>
  <c r="E110" i="22730"/>
  <c r="D58" i="22723" s="1"/>
  <c r="E109" i="22730"/>
  <c r="D52" i="22723"/>
  <c r="D54" i="22723"/>
  <c r="D62" i="22723"/>
  <c r="C40" i="5"/>
  <c r="DE65" i="22723" s="1"/>
  <c r="C65" i="22723"/>
  <c r="F64" i="22723"/>
  <c r="C69" i="5"/>
  <c r="E27" i="22723"/>
  <c r="F27" i="22723" s="1"/>
  <c r="E28" i="22723"/>
  <c r="E29" i="22723"/>
  <c r="B25" i="22723"/>
  <c r="C25" i="22723"/>
  <c r="E25" i="22723"/>
  <c r="C62" i="22730"/>
  <c r="D14" i="3"/>
  <c r="E14" i="3"/>
  <c r="D15" i="3"/>
  <c r="E15" i="3"/>
  <c r="D16" i="3"/>
  <c r="E16" i="3"/>
  <c r="D17" i="3"/>
  <c r="E17" i="3"/>
  <c r="D14" i="22723"/>
  <c r="D15" i="22723"/>
  <c r="B32" i="22723"/>
  <c r="F32" i="22723" s="1"/>
  <c r="C46" i="5"/>
  <c r="F11" i="22723"/>
  <c r="J65" i="22723"/>
  <c r="M64" i="22723"/>
  <c r="J39" i="22723"/>
  <c r="K36" i="22723"/>
  <c r="K37" i="22723"/>
  <c r="J14" i="22723"/>
  <c r="J15" i="22723"/>
  <c r="K38" i="22723"/>
  <c r="J41" i="22723"/>
  <c r="K41" i="22723"/>
  <c r="K42" i="22723"/>
  <c r="K52" i="22723"/>
  <c r="K54" i="22723"/>
  <c r="K62" i="22723"/>
  <c r="L27" i="22723"/>
  <c r="M27" i="22723" s="1"/>
  <c r="L28" i="22723"/>
  <c r="L29" i="22723"/>
  <c r="I25" i="22723"/>
  <c r="K14" i="22723"/>
  <c r="K15" i="22723"/>
  <c r="I32" i="22723"/>
  <c r="M32" i="22723" s="1"/>
  <c r="M11" i="22723"/>
  <c r="Q65" i="22723"/>
  <c r="T64" i="22723"/>
  <c r="Q39" i="22723"/>
  <c r="R36" i="22723"/>
  <c r="R37" i="22723"/>
  <c r="Q14" i="22723"/>
  <c r="Q15" i="22723"/>
  <c r="R38" i="22723"/>
  <c r="Q41" i="22723"/>
  <c r="R41" i="22723"/>
  <c r="R42" i="22723"/>
  <c r="R52" i="22723"/>
  <c r="R54" i="22723"/>
  <c r="R62" i="22723"/>
  <c r="S27" i="22723"/>
  <c r="T27" i="22723" s="1"/>
  <c r="S28" i="22723"/>
  <c r="S29" i="22723"/>
  <c r="P25" i="22723"/>
  <c r="R14" i="22723"/>
  <c r="R15" i="22723"/>
  <c r="P32" i="22723"/>
  <c r="T32" i="22723" s="1"/>
  <c r="T11" i="22723"/>
  <c r="X65" i="22723"/>
  <c r="AA64" i="22723"/>
  <c r="Y36" i="22723"/>
  <c r="Y37" i="22723"/>
  <c r="X14" i="22723"/>
  <c r="X15" i="22723"/>
  <c r="Y38" i="22723"/>
  <c r="X41" i="22723"/>
  <c r="Y41" i="22723"/>
  <c r="Y42" i="22723"/>
  <c r="Y52" i="22723"/>
  <c r="Y54" i="22723"/>
  <c r="Y62" i="22723"/>
  <c r="Z28" i="22723"/>
  <c r="Z29" i="22723"/>
  <c r="W25" i="22723"/>
  <c r="Y14" i="22723"/>
  <c r="Y15" i="22723"/>
  <c r="W32" i="22723"/>
  <c r="AA32" i="22723" s="1"/>
  <c r="AA11" i="22723"/>
  <c r="AE65" i="22723"/>
  <c r="AH64" i="22723"/>
  <c r="AE39" i="22723"/>
  <c r="AF36" i="22723"/>
  <c r="AF37" i="22723"/>
  <c r="AE14" i="22723"/>
  <c r="AE15" i="22723"/>
  <c r="AE16" i="22723"/>
  <c r="AE17" i="22723"/>
  <c r="AF38" i="22723"/>
  <c r="AE41" i="22723"/>
  <c r="AF41" i="22723"/>
  <c r="AF42" i="22723"/>
  <c r="AF52" i="22723"/>
  <c r="E91" i="5"/>
  <c r="BH54" i="22723" s="1"/>
  <c r="AF62" i="22723"/>
  <c r="AG28" i="22723"/>
  <c r="AG29" i="22723"/>
  <c r="AD25" i="22723"/>
  <c r="AF14" i="22723"/>
  <c r="AF15" i="22723"/>
  <c r="AF16" i="22723"/>
  <c r="AG16" i="22723"/>
  <c r="AF17" i="22723"/>
  <c r="AG17" i="22723"/>
  <c r="AD32" i="22723"/>
  <c r="AH32" i="22723" s="1"/>
  <c r="AH11" i="22723"/>
  <c r="AL65" i="22723"/>
  <c r="AO64" i="22723"/>
  <c r="AM52" i="22723"/>
  <c r="AM62" i="22723"/>
  <c r="AN27" i="22723"/>
  <c r="AO27" i="22723" s="1"/>
  <c r="AN28" i="22723"/>
  <c r="AN29" i="22723"/>
  <c r="AK25" i="22723"/>
  <c r="AM14" i="22723"/>
  <c r="AM15" i="22723"/>
  <c r="AM16" i="22723"/>
  <c r="AN16" i="22723"/>
  <c r="AM17" i="22723"/>
  <c r="AN17" i="22723"/>
  <c r="AK32" i="22723"/>
  <c r="AO32" i="22723" s="1"/>
  <c r="AO11" i="22723"/>
  <c r="AS65" i="22723"/>
  <c r="AV64" i="22723"/>
  <c r="AT52" i="22723"/>
  <c r="AT62" i="22723"/>
  <c r="AU28" i="22723"/>
  <c r="AU29" i="22723"/>
  <c r="AR25" i="22723"/>
  <c r="AT14" i="22723"/>
  <c r="AT15" i="22723"/>
  <c r="AT16" i="22723"/>
  <c r="AU16" i="22723"/>
  <c r="AT17" i="22723"/>
  <c r="AU17" i="22723"/>
  <c r="AR32" i="22723"/>
  <c r="AV32" i="22723" s="1"/>
  <c r="AV11" i="22723"/>
  <c r="AZ65" i="22723"/>
  <c r="BC64" i="22723"/>
  <c r="BA52" i="22723"/>
  <c r="BA62" i="22723"/>
  <c r="B76" i="5"/>
  <c r="BD8" i="22723" s="1"/>
  <c r="C76" i="5"/>
  <c r="BD9" i="22723" s="1"/>
  <c r="BB28" i="22723"/>
  <c r="BB29" i="22723"/>
  <c r="AY25" i="22723"/>
  <c r="BA14" i="22723"/>
  <c r="BA15" i="22723"/>
  <c r="BA16" i="22723"/>
  <c r="BB16" i="22723"/>
  <c r="BA17" i="22723"/>
  <c r="BB17" i="22723"/>
  <c r="AY32" i="22723"/>
  <c r="BC32" i="22723" s="1"/>
  <c r="BC11" i="22723"/>
  <c r="BG65" i="22723"/>
  <c r="BJ64" i="22723"/>
  <c r="BH52" i="22723"/>
  <c r="BH62" i="22723"/>
  <c r="BI28" i="22723"/>
  <c r="BI29" i="22723"/>
  <c r="BF25" i="22723"/>
  <c r="BH14" i="22723"/>
  <c r="BH15" i="22723"/>
  <c r="BH16" i="22723"/>
  <c r="BI16" i="22723"/>
  <c r="BH17" i="22723"/>
  <c r="BI17" i="22723"/>
  <c r="BF32" i="22723"/>
  <c r="BJ32" i="22723" s="1"/>
  <c r="BJ11" i="22723"/>
  <c r="BN65" i="22723"/>
  <c r="BQ64" i="22723"/>
  <c r="BO52" i="22723"/>
  <c r="BO62" i="22723"/>
  <c r="BP28" i="22723"/>
  <c r="BP29" i="22723"/>
  <c r="BM25" i="22723"/>
  <c r="BO14" i="22723"/>
  <c r="BO15" i="22723"/>
  <c r="BO16" i="22723"/>
  <c r="BP16" i="22723"/>
  <c r="BO17" i="22723"/>
  <c r="BP17" i="22723"/>
  <c r="BM32" i="22723"/>
  <c r="BQ32" i="22723" s="1"/>
  <c r="BQ11" i="22723"/>
  <c r="BU65" i="22723"/>
  <c r="BX64" i="22723"/>
  <c r="BV52" i="22723"/>
  <c r="BV62" i="22723"/>
  <c r="BW28" i="22723"/>
  <c r="BW29" i="22723"/>
  <c r="BT25" i="22723"/>
  <c r="BV14" i="22723"/>
  <c r="BV15" i="22723"/>
  <c r="BV16" i="22723"/>
  <c r="BW16" i="22723"/>
  <c r="BV17" i="22723"/>
  <c r="BW17" i="22723"/>
  <c r="BT32" i="22723"/>
  <c r="BX32" i="22723" s="1"/>
  <c r="BX11" i="22723"/>
  <c r="CB65" i="22723"/>
  <c r="CE64" i="22723"/>
  <c r="CC52" i="22723"/>
  <c r="CC62" i="22723"/>
  <c r="CD28" i="22723"/>
  <c r="CD29" i="22723"/>
  <c r="CA25" i="22723"/>
  <c r="CC14" i="22723"/>
  <c r="CC15" i="22723"/>
  <c r="CC16" i="22723"/>
  <c r="CD16" i="22723"/>
  <c r="CC17" i="22723"/>
  <c r="CD17" i="22723"/>
  <c r="CA32" i="22723"/>
  <c r="CE32" i="22723" s="1"/>
  <c r="CE11" i="22723"/>
  <c r="CI65" i="22723"/>
  <c r="CL64" i="22723"/>
  <c r="CJ52" i="22723"/>
  <c r="CJ62" i="22723"/>
  <c r="CK28" i="22723"/>
  <c r="CK29" i="22723"/>
  <c r="CH25" i="22723"/>
  <c r="CJ14" i="22723"/>
  <c r="CJ15" i="22723"/>
  <c r="CJ16" i="22723"/>
  <c r="CK16" i="22723"/>
  <c r="CJ17" i="22723"/>
  <c r="CK17" i="22723"/>
  <c r="CH32" i="22723"/>
  <c r="CL32" i="22723" s="1"/>
  <c r="CL11" i="22723"/>
  <c r="CP65" i="22723"/>
  <c r="CS64" i="22723"/>
  <c r="CQ52" i="22723"/>
  <c r="CQ62" i="22723"/>
  <c r="CR28" i="22723"/>
  <c r="CR29" i="22723"/>
  <c r="CO25" i="22723"/>
  <c r="CQ14" i="22723"/>
  <c r="CQ15" i="22723"/>
  <c r="CQ16" i="22723"/>
  <c r="CR16" i="22723"/>
  <c r="CQ17" i="22723"/>
  <c r="CR17" i="22723"/>
  <c r="CO32" i="22723"/>
  <c r="CS32" i="22723" s="1"/>
  <c r="CS11" i="22723"/>
  <c r="CW65" i="22723"/>
  <c r="CZ64" i="22723"/>
  <c r="CX52" i="22723"/>
  <c r="CX62" i="22723"/>
  <c r="CY28" i="22723"/>
  <c r="CY29" i="22723"/>
  <c r="CV25" i="22723"/>
  <c r="CX14" i="22723"/>
  <c r="CX15" i="22723"/>
  <c r="CX16" i="22723"/>
  <c r="CY16" i="22723"/>
  <c r="CX17" i="22723"/>
  <c r="CY17" i="22723"/>
  <c r="CV32" i="22723"/>
  <c r="CZ32" i="22723" s="1"/>
  <c r="DC47" i="22723"/>
  <c r="DD39" i="22723"/>
  <c r="DE36" i="22723"/>
  <c r="DE37" i="22723"/>
  <c r="DD14" i="22723"/>
  <c r="DD15" i="22723"/>
  <c r="DD16" i="22723"/>
  <c r="DD17" i="22723"/>
  <c r="DE38" i="22723"/>
  <c r="DD41" i="22723"/>
  <c r="DE41" i="22723"/>
  <c r="DE42" i="22723"/>
  <c r="B12" i="22715"/>
  <c r="C12" i="22715" s="1"/>
  <c r="B11" i="22715"/>
  <c r="C11" i="22715" s="1"/>
  <c r="B18" i="22715"/>
  <c r="C18" i="22715" s="1"/>
  <c r="AZ62" i="2"/>
  <c r="BK8" i="2"/>
  <c r="BD9" i="2"/>
  <c r="BD8" i="2"/>
  <c r="D78" i="16"/>
  <c r="BN62" i="2" s="1"/>
  <c r="D79" i="16"/>
  <c r="D80" i="16"/>
  <c r="CB62" i="2" s="1"/>
  <c r="D81" i="16"/>
  <c r="CI62" i="2" s="1"/>
  <c r="D82" i="16"/>
  <c r="CP62" i="2" s="1"/>
  <c r="D83" i="16"/>
  <c r="CW62" i="2" s="1"/>
  <c r="D84" i="16"/>
  <c r="D77" i="16"/>
  <c r="BG62" i="2" s="1"/>
  <c r="AT10" i="2"/>
  <c r="H32" i="4" s="1"/>
  <c r="AS40" i="2"/>
  <c r="B77" i="16"/>
  <c r="B78" i="16"/>
  <c r="C77" i="16"/>
  <c r="DE52" i="22723"/>
  <c r="DE62" i="22723"/>
  <c r="C187" i="16"/>
  <c r="C192" i="16" s="1"/>
  <c r="E168" i="1" s="1"/>
  <c r="B181" i="5"/>
  <c r="D73" i="16"/>
  <c r="AE62" i="2" s="1"/>
  <c r="D74" i="16"/>
  <c r="AL62" i="2" s="1"/>
  <c r="CY45" i="2"/>
  <c r="L37" i="2"/>
  <c r="S40" i="2"/>
  <c r="CZ11" i="22723"/>
  <c r="DD65" i="22723"/>
  <c r="DG64" i="22723"/>
  <c r="DC32" i="22723"/>
  <c r="DG32" i="22723" s="1"/>
  <c r="DF28" i="22723"/>
  <c r="DF29" i="22723"/>
  <c r="DE14" i="22723"/>
  <c r="DE15" i="22723"/>
  <c r="DE16" i="22723"/>
  <c r="DF16" i="22723"/>
  <c r="DE17" i="22723"/>
  <c r="DF17" i="22723"/>
  <c r="DC25" i="22723"/>
  <c r="DC74" i="22723"/>
  <c r="DC46" i="22723"/>
  <c r="DC45" i="22723"/>
  <c r="CV46" i="22723"/>
  <c r="CV45" i="22723"/>
  <c r="CO46" i="22723"/>
  <c r="CO45" i="22723"/>
  <c r="CH46" i="22723"/>
  <c r="CH45" i="22723"/>
  <c r="CA46" i="22723"/>
  <c r="CA45" i="22723"/>
  <c r="BT46" i="22723"/>
  <c r="BT45" i="22723"/>
  <c r="BM46" i="22723"/>
  <c r="BM45" i="22723"/>
  <c r="BF46" i="22723"/>
  <c r="BF45" i="22723"/>
  <c r="AY46" i="22723"/>
  <c r="AY45" i="22723"/>
  <c r="AR46" i="22723"/>
  <c r="AR45" i="22723"/>
  <c r="AK46" i="22723"/>
  <c r="AK45" i="22723"/>
  <c r="AD46" i="22723"/>
  <c r="AD45" i="22723"/>
  <c r="W46" i="22723"/>
  <c r="W45" i="22723"/>
  <c r="P46" i="22723"/>
  <c r="P45" i="22723"/>
  <c r="I46" i="22723"/>
  <c r="I45" i="22723"/>
  <c r="B46" i="22723"/>
  <c r="B45" i="22723"/>
  <c r="E158" i="22714"/>
  <c r="D62" i="22714"/>
  <c r="C62" i="22714"/>
  <c r="B62" i="22714"/>
  <c r="D61" i="22714"/>
  <c r="C61" i="22714"/>
  <c r="B61" i="22714"/>
  <c r="D60" i="22714"/>
  <c r="C60" i="22714"/>
  <c r="B60" i="22714"/>
  <c r="D59" i="22714"/>
  <c r="C59" i="22714"/>
  <c r="B59" i="22714"/>
  <c r="D58" i="22714"/>
  <c r="C58" i="22714"/>
  <c r="B58" i="22714"/>
  <c r="D62" i="1"/>
  <c r="D61" i="1"/>
  <c r="D60" i="1"/>
  <c r="D59" i="1"/>
  <c r="D58" i="1"/>
  <c r="C62" i="1"/>
  <c r="C61" i="1"/>
  <c r="C60" i="1"/>
  <c r="C59" i="1"/>
  <c r="C58" i="1"/>
  <c r="B62" i="1"/>
  <c r="B61" i="1"/>
  <c r="B60" i="1"/>
  <c r="B59" i="1"/>
  <c r="B58" i="1"/>
  <c r="D55" i="22714"/>
  <c r="C55" i="22714"/>
  <c r="B55" i="22714"/>
  <c r="D54" i="22714"/>
  <c r="C54" i="22714"/>
  <c r="B54" i="22714"/>
  <c r="D53" i="22714"/>
  <c r="C53" i="22714"/>
  <c r="B53" i="22714"/>
  <c r="D52" i="22714"/>
  <c r="C52" i="22714"/>
  <c r="B52" i="22714"/>
  <c r="D51" i="22714"/>
  <c r="C51" i="22714"/>
  <c r="B51" i="22714"/>
  <c r="D50" i="22714"/>
  <c r="C50" i="22714"/>
  <c r="B50" i="22714"/>
  <c r="D49" i="22714"/>
  <c r="C49" i="22714"/>
  <c r="B49" i="22714"/>
  <c r="D48" i="22714"/>
  <c r="C48" i="22714"/>
  <c r="B48" i="22714"/>
  <c r="D47" i="22714"/>
  <c r="C47" i="22714"/>
  <c r="B47" i="22714"/>
  <c r="D46" i="22714"/>
  <c r="C46" i="22714"/>
  <c r="B46" i="22714"/>
  <c r="D45" i="22714"/>
  <c r="C45" i="22714"/>
  <c r="B45" i="22714"/>
  <c r="D44" i="22714"/>
  <c r="C44" i="22714"/>
  <c r="B44" i="22714"/>
  <c r="D43" i="22714"/>
  <c r="C43" i="22714"/>
  <c r="B43" i="22714"/>
  <c r="D42" i="22714"/>
  <c r="C42" i="22714"/>
  <c r="B42" i="22714"/>
  <c r="E55" i="1"/>
  <c r="E54" i="1"/>
  <c r="D55" i="1"/>
  <c r="D54" i="1"/>
  <c r="D53" i="1"/>
  <c r="D52" i="1"/>
  <c r="D51" i="1"/>
  <c r="D50" i="1"/>
  <c r="D49" i="1"/>
  <c r="D48" i="1"/>
  <c r="D47" i="1"/>
  <c r="D46" i="1"/>
  <c r="D45" i="1"/>
  <c r="D44" i="1"/>
  <c r="D43" i="1"/>
  <c r="D42" i="1"/>
  <c r="C55" i="1"/>
  <c r="C54" i="1"/>
  <c r="C53" i="1"/>
  <c r="C52" i="1"/>
  <c r="C51" i="1"/>
  <c r="C50" i="1"/>
  <c r="C49" i="1"/>
  <c r="C48" i="1"/>
  <c r="C47" i="1"/>
  <c r="C46" i="1"/>
  <c r="C45" i="1"/>
  <c r="C44" i="1"/>
  <c r="C43" i="1"/>
  <c r="C42" i="1"/>
  <c r="B55" i="1"/>
  <c r="B54" i="1"/>
  <c r="B53" i="1"/>
  <c r="B52" i="1"/>
  <c r="B51" i="1"/>
  <c r="B50" i="1"/>
  <c r="B49" i="1"/>
  <c r="B48" i="1"/>
  <c r="B47" i="1"/>
  <c r="B46" i="1"/>
  <c r="B45" i="1"/>
  <c r="B44" i="1"/>
  <c r="B43" i="1"/>
  <c r="B42" i="1"/>
  <c r="D45" i="22732"/>
  <c r="E45" i="22732" s="1"/>
  <c r="B3" i="22732"/>
  <c r="A1" i="22730"/>
  <c r="E11" i="22732"/>
  <c r="E12" i="22732"/>
  <c r="E13" i="22732"/>
  <c r="E14" i="22732"/>
  <c r="E16" i="22732"/>
  <c r="E17" i="22732"/>
  <c r="E43" i="22714" s="1"/>
  <c r="E18" i="22732"/>
  <c r="E44" i="22714" s="1"/>
  <c r="E20" i="22732"/>
  <c r="E45" i="22714" s="1"/>
  <c r="E21" i="22732"/>
  <c r="E46" i="22714"/>
  <c r="E22" i="22732"/>
  <c r="E47" i="22714" s="1"/>
  <c r="E23" i="22732"/>
  <c r="E48" i="22714" s="1"/>
  <c r="E25" i="22732"/>
  <c r="E49" i="22714" s="1"/>
  <c r="E26" i="22732"/>
  <c r="E50" i="22714" s="1"/>
  <c r="E27" i="22732"/>
  <c r="E51" i="22714" s="1"/>
  <c r="E28" i="22732"/>
  <c r="E52" i="22714" s="1"/>
  <c r="E29" i="22732"/>
  <c r="E53" i="22714" s="1"/>
  <c r="E58" i="22714"/>
  <c r="E34" i="22732"/>
  <c r="E59" i="22714" s="1"/>
  <c r="E35" i="22732"/>
  <c r="E60" i="22714"/>
  <c r="E36" i="22732"/>
  <c r="E61" i="22714" s="1"/>
  <c r="E37" i="22732"/>
  <c r="E62" i="22714"/>
  <c r="C61" i="22732"/>
  <c r="B73" i="22732"/>
  <c r="D73" i="22732"/>
  <c r="E73" i="22732"/>
  <c r="B74" i="22732"/>
  <c r="B87" i="22732" s="1"/>
  <c r="D74" i="22732"/>
  <c r="E74" i="22732"/>
  <c r="E86" i="22732" s="1"/>
  <c r="B75" i="22732"/>
  <c r="D75" i="22732"/>
  <c r="E75" i="22732"/>
  <c r="B76" i="22732"/>
  <c r="D76" i="22732"/>
  <c r="E76" i="22732"/>
  <c r="B77" i="22732"/>
  <c r="D77" i="22732"/>
  <c r="E77" i="22732"/>
  <c r="B78" i="22732"/>
  <c r="D78" i="22732"/>
  <c r="E78" i="22732"/>
  <c r="B79" i="22732"/>
  <c r="D79" i="22732"/>
  <c r="E79" i="22732"/>
  <c r="B80" i="22732"/>
  <c r="D80" i="22732"/>
  <c r="E80" i="22732"/>
  <c r="B81" i="22732"/>
  <c r="D81" i="22732"/>
  <c r="E81" i="22732"/>
  <c r="B82" i="22732"/>
  <c r="D82" i="22732"/>
  <c r="E82" i="22732"/>
  <c r="B83" i="22732"/>
  <c r="D83" i="22732"/>
  <c r="E83" i="22732"/>
  <c r="B84" i="22732"/>
  <c r="D84" i="22732"/>
  <c r="E84" i="22732"/>
  <c r="B85" i="22732"/>
  <c r="D85" i="22732"/>
  <c r="E85" i="22732"/>
  <c r="B86" i="22732"/>
  <c r="DG48" i="2"/>
  <c r="DD47" i="2"/>
  <c r="DD46" i="2"/>
  <c r="DE37" i="2"/>
  <c r="DE38" i="2"/>
  <c r="DD14" i="2"/>
  <c r="DD15" i="2"/>
  <c r="DD16" i="2"/>
  <c r="DD17" i="2"/>
  <c r="DE39" i="2"/>
  <c r="DD40" i="2"/>
  <c r="DD62" i="2"/>
  <c r="DD42" i="2"/>
  <c r="DE42" i="2"/>
  <c r="DE43" i="2"/>
  <c r="DC48" i="2"/>
  <c r="DC47" i="2"/>
  <c r="DC46" i="2"/>
  <c r="CZ48" i="2"/>
  <c r="CW47" i="2"/>
  <c r="CW46" i="2"/>
  <c r="CX37" i="2"/>
  <c r="CX38" i="2"/>
  <c r="CW14" i="2"/>
  <c r="CW15" i="2"/>
  <c r="CW16" i="2"/>
  <c r="CW17" i="2"/>
  <c r="CX39" i="2"/>
  <c r="CW40" i="2"/>
  <c r="CX10" i="2"/>
  <c r="CW42" i="2"/>
  <c r="CX42" i="2"/>
  <c r="CX43" i="2"/>
  <c r="CV48" i="2"/>
  <c r="CV47" i="2"/>
  <c r="CV46" i="2"/>
  <c r="CS48" i="2"/>
  <c r="CP47" i="2"/>
  <c r="CP46" i="2"/>
  <c r="CQ37" i="2"/>
  <c r="CQ38" i="2"/>
  <c r="CP14" i="2"/>
  <c r="CP15" i="2"/>
  <c r="CP16" i="2"/>
  <c r="CP17" i="2"/>
  <c r="CQ39" i="2"/>
  <c r="CP40" i="2"/>
  <c r="CP42" i="2"/>
  <c r="CQ42" i="2"/>
  <c r="CQ43" i="2"/>
  <c r="CO48" i="2"/>
  <c r="CO47" i="2"/>
  <c r="CO46" i="2"/>
  <c r="CL48" i="2"/>
  <c r="CI47" i="2"/>
  <c r="CI46" i="2"/>
  <c r="CJ37" i="2"/>
  <c r="CJ38" i="2"/>
  <c r="CI14" i="2"/>
  <c r="CI15" i="2"/>
  <c r="CI16" i="2"/>
  <c r="CI17" i="2"/>
  <c r="CJ39" i="2"/>
  <c r="CI40" i="2"/>
  <c r="CJ10" i="2"/>
  <c r="H38" i="4" s="1"/>
  <c r="CI42" i="2"/>
  <c r="CJ42" i="2"/>
  <c r="CJ43" i="2"/>
  <c r="CH48" i="2"/>
  <c r="CH47" i="2"/>
  <c r="CH46" i="2"/>
  <c r="CE48" i="2"/>
  <c r="CB47" i="2"/>
  <c r="CB46" i="2"/>
  <c r="CC37" i="2"/>
  <c r="CC38" i="2"/>
  <c r="CB14" i="2"/>
  <c r="CB15" i="2"/>
  <c r="CB16" i="2"/>
  <c r="CB17" i="2"/>
  <c r="CC39" i="2"/>
  <c r="CB40" i="2"/>
  <c r="CB42" i="2"/>
  <c r="CC42" i="2"/>
  <c r="CC43" i="2"/>
  <c r="CA48" i="2"/>
  <c r="CA47" i="2"/>
  <c r="CA46" i="2"/>
  <c r="BX48" i="2"/>
  <c r="BU47" i="2"/>
  <c r="BU46" i="2"/>
  <c r="BV37" i="2"/>
  <c r="BV38" i="2"/>
  <c r="BU14" i="2"/>
  <c r="BU15" i="2"/>
  <c r="BU16" i="2"/>
  <c r="BU17" i="2"/>
  <c r="BV39" i="2"/>
  <c r="BU40" i="2"/>
  <c r="BV10" i="2"/>
  <c r="BU62" i="2"/>
  <c r="BU42" i="2"/>
  <c r="BV42" i="2"/>
  <c r="BV43" i="2"/>
  <c r="BT48" i="2"/>
  <c r="BT47" i="2"/>
  <c r="BT46" i="2"/>
  <c r="BQ48" i="2"/>
  <c r="BN47" i="2"/>
  <c r="BN46" i="2"/>
  <c r="BO37" i="2"/>
  <c r="BO38" i="2"/>
  <c r="BN14" i="2"/>
  <c r="BN15" i="2"/>
  <c r="BN16" i="2"/>
  <c r="BN17" i="2"/>
  <c r="BO39" i="2"/>
  <c r="BN40" i="2"/>
  <c r="BO10" i="2"/>
  <c r="BN42" i="2"/>
  <c r="BO42" i="2"/>
  <c r="BO43" i="2"/>
  <c r="BM48" i="2"/>
  <c r="BM47" i="2"/>
  <c r="BM46" i="2"/>
  <c r="BJ48" i="2"/>
  <c r="BG47" i="2"/>
  <c r="BG46" i="2"/>
  <c r="BH37" i="2"/>
  <c r="BH38" i="2"/>
  <c r="BG14" i="2"/>
  <c r="BG15" i="2"/>
  <c r="BG16" i="2"/>
  <c r="BG17" i="2"/>
  <c r="BH39" i="2"/>
  <c r="BG40" i="2"/>
  <c r="BH10" i="2"/>
  <c r="H34" i="4" s="1"/>
  <c r="BG42" i="2"/>
  <c r="BH42" i="2"/>
  <c r="BH43" i="2"/>
  <c r="BF48" i="2"/>
  <c r="BF47" i="2"/>
  <c r="BF46" i="2"/>
  <c r="BC48" i="2"/>
  <c r="AZ47" i="2"/>
  <c r="AZ46" i="2"/>
  <c r="BA37" i="2"/>
  <c r="BA38" i="2"/>
  <c r="AZ14" i="2"/>
  <c r="AZ15" i="2"/>
  <c r="AZ16" i="2"/>
  <c r="AZ17" i="2"/>
  <c r="BA39" i="2"/>
  <c r="AZ40" i="2"/>
  <c r="AZ42" i="2"/>
  <c r="BA42" i="2"/>
  <c r="BA43" i="2"/>
  <c r="AY48" i="2"/>
  <c r="AY47" i="2"/>
  <c r="AY46" i="2"/>
  <c r="AV48" i="2"/>
  <c r="AS47" i="2"/>
  <c r="AS46" i="2"/>
  <c r="AT37" i="2"/>
  <c r="AT38" i="2"/>
  <c r="AS14" i="2"/>
  <c r="AS15" i="2"/>
  <c r="AS16" i="2"/>
  <c r="AS17" i="2"/>
  <c r="AT39" i="2"/>
  <c r="AS42" i="2"/>
  <c r="AT42" i="2"/>
  <c r="AT43" i="2"/>
  <c r="AR48" i="2"/>
  <c r="AR47" i="2"/>
  <c r="AR46" i="2"/>
  <c r="AO48" i="2"/>
  <c r="AL47" i="2"/>
  <c r="AL46" i="2"/>
  <c r="AM37" i="2"/>
  <c r="AM38" i="2"/>
  <c r="AL14" i="2"/>
  <c r="AL15" i="2"/>
  <c r="AL16" i="2"/>
  <c r="AL17" i="2"/>
  <c r="AM39" i="2"/>
  <c r="AL40" i="2"/>
  <c r="AM10" i="2"/>
  <c r="H31" i="4" s="1"/>
  <c r="AL42" i="2"/>
  <c r="AM42" i="2"/>
  <c r="AM43" i="2"/>
  <c r="AK48" i="2"/>
  <c r="AK47" i="2"/>
  <c r="AK46" i="2"/>
  <c r="AH48" i="2"/>
  <c r="AE47" i="2"/>
  <c r="AE46" i="2"/>
  <c r="AF37" i="2"/>
  <c r="AF38" i="2"/>
  <c r="AE14" i="2"/>
  <c r="AE15" i="2"/>
  <c r="AE16" i="2"/>
  <c r="AE17" i="2"/>
  <c r="AF39" i="2"/>
  <c r="AE40" i="2"/>
  <c r="AF10" i="2"/>
  <c r="H30" i="4" s="1"/>
  <c r="AE42" i="2"/>
  <c r="AF42" i="2"/>
  <c r="AF43" i="2"/>
  <c r="AD48" i="2"/>
  <c r="AD47" i="2"/>
  <c r="AD46" i="2"/>
  <c r="AA48" i="2"/>
  <c r="Y37" i="2"/>
  <c r="Y38" i="2"/>
  <c r="X14" i="2"/>
  <c r="X15" i="2"/>
  <c r="Y39" i="2"/>
  <c r="X40" i="2"/>
  <c r="Y10" i="2"/>
  <c r="H29" i="4" s="1"/>
  <c r="D72" i="16"/>
  <c r="X62" i="2" s="1"/>
  <c r="X42" i="2"/>
  <c r="Y42" i="2"/>
  <c r="Y43" i="2"/>
  <c r="W48" i="2"/>
  <c r="W47" i="2"/>
  <c r="W46" i="2"/>
  <c r="T48" i="2"/>
  <c r="R37" i="2"/>
  <c r="R38" i="2"/>
  <c r="Q14" i="2"/>
  <c r="Q15" i="2"/>
  <c r="R39" i="2"/>
  <c r="Q40" i="2"/>
  <c r="R10" i="2"/>
  <c r="D71" i="16"/>
  <c r="Q62" i="2" s="1"/>
  <c r="Q42" i="2"/>
  <c r="R42" i="2"/>
  <c r="R43" i="2"/>
  <c r="P48" i="2"/>
  <c r="P47" i="2"/>
  <c r="P46" i="2"/>
  <c r="M48" i="2"/>
  <c r="K37" i="2"/>
  <c r="K38" i="2"/>
  <c r="J14" i="2"/>
  <c r="J15" i="2"/>
  <c r="K39" i="2"/>
  <c r="J40" i="2"/>
  <c r="K10" i="2"/>
  <c r="H27" i="4" s="1"/>
  <c r="D70" i="16"/>
  <c r="D75" i="16" s="1"/>
  <c r="AS62" i="2" s="1"/>
  <c r="J42" i="2"/>
  <c r="K42" i="2"/>
  <c r="K43" i="2"/>
  <c r="I48" i="2"/>
  <c r="I47" i="2"/>
  <c r="I46" i="2"/>
  <c r="F48" i="2"/>
  <c r="D37" i="2"/>
  <c r="D38" i="2"/>
  <c r="C14" i="2"/>
  <c r="C15" i="2"/>
  <c r="D39" i="2"/>
  <c r="C40" i="2"/>
  <c r="D10" i="2"/>
  <c r="C62" i="2"/>
  <c r="C42" i="2"/>
  <c r="D42" i="2"/>
  <c r="D43" i="2"/>
  <c r="DD56" i="2"/>
  <c r="DD57" i="2"/>
  <c r="DD58" i="2"/>
  <c r="DD59" i="2"/>
  <c r="DE53" i="2"/>
  <c r="DE55" i="2"/>
  <c r="E110" i="22729"/>
  <c r="CQ59" i="2" s="1"/>
  <c r="E109" i="22729"/>
  <c r="D60" i="2" s="1"/>
  <c r="DE63" i="2"/>
  <c r="CW56" i="2"/>
  <c r="CW57" i="2"/>
  <c r="CW58" i="2"/>
  <c r="CW60" i="2"/>
  <c r="CX53" i="2"/>
  <c r="CX55" i="2"/>
  <c r="CX63" i="2"/>
  <c r="CP56" i="2"/>
  <c r="CP57" i="2"/>
  <c r="CP58" i="2"/>
  <c r="CP59" i="2"/>
  <c r="CQ53" i="2"/>
  <c r="CQ55" i="2"/>
  <c r="CQ63" i="2"/>
  <c r="CI56" i="2"/>
  <c r="CI57" i="2"/>
  <c r="CI58" i="2"/>
  <c r="CJ53" i="2"/>
  <c r="CJ55" i="2"/>
  <c r="CJ63" i="2"/>
  <c r="CB56" i="2"/>
  <c r="CB57" i="2"/>
  <c r="CB58" i="2"/>
  <c r="CB61" i="2"/>
  <c r="CC53" i="2"/>
  <c r="CC55" i="2"/>
  <c r="CC63" i="2"/>
  <c r="BU56" i="2"/>
  <c r="BU57" i="2"/>
  <c r="BU58" i="2"/>
  <c r="BU60" i="2"/>
  <c r="BV53" i="2"/>
  <c r="BV55" i="2"/>
  <c r="BV63" i="2"/>
  <c r="BN56" i="2"/>
  <c r="BN57" i="2"/>
  <c r="BN58" i="2"/>
  <c r="BN59" i="2"/>
  <c r="BO53" i="2"/>
  <c r="BO55" i="2"/>
  <c r="BO63" i="2"/>
  <c r="BG56" i="2"/>
  <c r="BG57" i="2"/>
  <c r="BG58" i="2"/>
  <c r="BH53" i="2"/>
  <c r="BH55" i="2"/>
  <c r="BH63" i="2"/>
  <c r="AZ56" i="2"/>
  <c r="AZ57" i="2"/>
  <c r="AZ58" i="2"/>
  <c r="AZ61" i="2"/>
  <c r="BA53" i="2"/>
  <c r="BA55" i="2"/>
  <c r="BA63" i="2"/>
  <c r="AS56" i="2"/>
  <c r="AS57" i="2"/>
  <c r="AS58" i="2"/>
  <c r="AS60" i="2"/>
  <c r="AT53" i="2"/>
  <c r="AT55" i="2"/>
  <c r="AT63" i="2"/>
  <c r="AL56" i="2"/>
  <c r="AL57" i="2"/>
  <c r="AL58" i="2"/>
  <c r="AL59" i="2"/>
  <c r="AM53" i="2"/>
  <c r="AM55" i="2"/>
  <c r="AM63" i="2"/>
  <c r="AE56" i="2"/>
  <c r="AE57" i="2"/>
  <c r="AE58" i="2"/>
  <c r="AF53" i="2"/>
  <c r="AF55" i="2"/>
  <c r="AF63" i="2"/>
  <c r="X58" i="2"/>
  <c r="X59" i="2"/>
  <c r="Y53" i="2"/>
  <c r="Y55" i="2"/>
  <c r="Y63" i="2"/>
  <c r="Q58" i="2"/>
  <c r="Q60" i="2"/>
  <c r="R53" i="2"/>
  <c r="R55" i="2"/>
  <c r="R63" i="2"/>
  <c r="J58" i="2"/>
  <c r="J61" i="2"/>
  <c r="K53" i="2"/>
  <c r="K55" i="2"/>
  <c r="K63" i="2"/>
  <c r="C35" i="16"/>
  <c r="AG62" i="2" s="1"/>
  <c r="C9" i="1"/>
  <c r="D9" i="1"/>
  <c r="D11" i="1"/>
  <c r="C12" i="1"/>
  <c r="D12" i="1"/>
  <c r="E12" i="1" s="1"/>
  <c r="C13" i="1"/>
  <c r="D13" i="1"/>
  <c r="D14" i="1"/>
  <c r="C65" i="1"/>
  <c r="D65" i="1"/>
  <c r="E66" i="1"/>
  <c r="E67" i="1"/>
  <c r="C37" i="1"/>
  <c r="E37" i="1" s="1"/>
  <c r="D37" i="1"/>
  <c r="C38" i="1"/>
  <c r="D38" i="1"/>
  <c r="E38" i="1"/>
  <c r="C39" i="1"/>
  <c r="D39" i="1"/>
  <c r="C75" i="1"/>
  <c r="D75" i="1"/>
  <c r="C76" i="1"/>
  <c r="C77" i="1"/>
  <c r="C98" i="1" s="1"/>
  <c r="D77" i="1"/>
  <c r="D78" i="1"/>
  <c r="C79" i="1"/>
  <c r="C80" i="1"/>
  <c r="C84" i="1"/>
  <c r="D84" i="1"/>
  <c r="E85" i="1"/>
  <c r="C36" i="16"/>
  <c r="E53" i="2" s="1"/>
  <c r="C93" i="1"/>
  <c r="C94" i="1"/>
  <c r="C95" i="1"/>
  <c r="C96" i="1"/>
  <c r="C97" i="1"/>
  <c r="C99" i="1"/>
  <c r="C100" i="1"/>
  <c r="C101" i="1"/>
  <c r="D105" i="1"/>
  <c r="C118" i="1"/>
  <c r="D118" i="1"/>
  <c r="D119" i="1"/>
  <c r="D120" i="1"/>
  <c r="C121" i="1"/>
  <c r="D121" i="1"/>
  <c r="C122" i="1"/>
  <c r="D122" i="1"/>
  <c r="D123" i="1"/>
  <c r="C124" i="1"/>
  <c r="D124" i="1"/>
  <c r="D126" i="1"/>
  <c r="E128" i="1"/>
  <c r="C135" i="1"/>
  <c r="D149" i="1"/>
  <c r="C8" i="22729"/>
  <c r="C23" i="16"/>
  <c r="E62" i="22729" s="1"/>
  <c r="D161" i="1"/>
  <c r="E158" i="1"/>
  <c r="C17" i="1"/>
  <c r="E17" i="1" s="1"/>
  <c r="D17" i="1"/>
  <c r="C18" i="1"/>
  <c r="D18" i="1"/>
  <c r="E18" i="1" s="1"/>
  <c r="C19" i="1"/>
  <c r="D19" i="1"/>
  <c r="C20" i="1"/>
  <c r="D20" i="1"/>
  <c r="E20" i="1" s="1"/>
  <c r="C21" i="1"/>
  <c r="D21" i="1"/>
  <c r="C22" i="1"/>
  <c r="D22" i="1"/>
  <c r="C23" i="1"/>
  <c r="D23" i="1"/>
  <c r="C24" i="1"/>
  <c r="D24" i="1"/>
  <c r="E24" i="1" s="1"/>
  <c r="C25" i="1"/>
  <c r="E25" i="1" s="1"/>
  <c r="D25" i="1"/>
  <c r="C26" i="1"/>
  <c r="E26" i="1"/>
  <c r="D26" i="1"/>
  <c r="C27" i="1"/>
  <c r="D27" i="1"/>
  <c r="C30" i="1"/>
  <c r="D30" i="1"/>
  <c r="C31" i="1"/>
  <c r="D31" i="1"/>
  <c r="E31" i="1"/>
  <c r="C32" i="1"/>
  <c r="D32" i="1"/>
  <c r="C33" i="1"/>
  <c r="D33" i="1"/>
  <c r="E33" i="1" s="1"/>
  <c r="C34" i="1"/>
  <c r="D34" i="1"/>
  <c r="C102" i="1"/>
  <c r="D66" i="2"/>
  <c r="C66" i="2"/>
  <c r="F65" i="2"/>
  <c r="C58" i="2"/>
  <c r="C61" i="2"/>
  <c r="D53" i="2"/>
  <c r="D55" i="2"/>
  <c r="D63" i="2"/>
  <c r="E63" i="2"/>
  <c r="F51" i="22729"/>
  <c r="H51" i="22729" s="1"/>
  <c r="E54" i="22729"/>
  <c r="F54" i="22729"/>
  <c r="C62" i="22729"/>
  <c r="F110" i="22729"/>
  <c r="E111" i="22729"/>
  <c r="F111" i="22729"/>
  <c r="B33" i="2"/>
  <c r="F33" i="2" s="1"/>
  <c r="E28" i="2"/>
  <c r="F28" i="2" s="1"/>
  <c r="G8" i="2"/>
  <c r="G9" i="2"/>
  <c r="E30" i="2"/>
  <c r="D14" i="2"/>
  <c r="E14" i="2"/>
  <c r="D15" i="2"/>
  <c r="E15" i="2"/>
  <c r="E26" i="2"/>
  <c r="C79" i="22727"/>
  <c r="D26" i="2" s="1"/>
  <c r="C26" i="2"/>
  <c r="B26" i="2"/>
  <c r="E8" i="2"/>
  <c r="E9" i="2"/>
  <c r="F11" i="2"/>
  <c r="K66" i="2"/>
  <c r="J66" i="2"/>
  <c r="M65" i="2"/>
  <c r="L61" i="2"/>
  <c r="L54" i="2"/>
  <c r="L63" i="2"/>
  <c r="I33" i="2"/>
  <c r="M33" i="2" s="1"/>
  <c r="L28" i="2"/>
  <c r="M28" i="2" s="1"/>
  <c r="B70" i="16"/>
  <c r="B74" i="16" s="1"/>
  <c r="AP8" i="2" s="1"/>
  <c r="C70" i="16"/>
  <c r="N9" i="2" s="1"/>
  <c r="L30" i="2"/>
  <c r="K14" i="2"/>
  <c r="L14" i="2"/>
  <c r="K15" i="2"/>
  <c r="L15" i="2"/>
  <c r="B47" i="16"/>
  <c r="I26" i="2"/>
  <c r="C47" i="16"/>
  <c r="L9" i="2" s="1"/>
  <c r="M11" i="2"/>
  <c r="R66" i="2"/>
  <c r="Q66" i="2"/>
  <c r="T65" i="2"/>
  <c r="S60" i="2"/>
  <c r="S52" i="2"/>
  <c r="S53" i="2"/>
  <c r="S63" i="2"/>
  <c r="P33" i="2"/>
  <c r="T33" i="2" s="1"/>
  <c r="B71" i="16"/>
  <c r="B75" i="16" s="1"/>
  <c r="AW8" i="2" s="1"/>
  <c r="C71" i="16"/>
  <c r="C75" i="16" s="1"/>
  <c r="AW9" i="2" s="1"/>
  <c r="S30" i="2"/>
  <c r="R14" i="2"/>
  <c r="S14" i="2"/>
  <c r="R15" i="2"/>
  <c r="S15" i="2"/>
  <c r="P26" i="2"/>
  <c r="T11" i="2"/>
  <c r="Y66" i="2"/>
  <c r="X66" i="2"/>
  <c r="AA65" i="2"/>
  <c r="Z60" i="2"/>
  <c r="Z51" i="2"/>
  <c r="Z52" i="2"/>
  <c r="Z53" i="2"/>
  <c r="Z63" i="2"/>
  <c r="W33" i="2"/>
  <c r="AA33" i="2" s="1"/>
  <c r="B72" i="16"/>
  <c r="AB8" i="2" s="1"/>
  <c r="C72" i="16"/>
  <c r="AB9" i="2" s="1"/>
  <c r="Z30" i="2"/>
  <c r="Y14" i="2"/>
  <c r="Z14" i="2"/>
  <c r="Y15" i="2"/>
  <c r="Z15" i="2"/>
  <c r="W26" i="2"/>
  <c r="AA11" i="2"/>
  <c r="AF66" i="2"/>
  <c r="AE66" i="2"/>
  <c r="AH65" i="2"/>
  <c r="AG60" i="2"/>
  <c r="AG61" i="2"/>
  <c r="AG52" i="2"/>
  <c r="AG53" i="2"/>
  <c r="AG54" i="2"/>
  <c r="AG63" i="2"/>
  <c r="AD33" i="2"/>
  <c r="AH33" i="2" s="1"/>
  <c r="B73" i="16"/>
  <c r="AI8" i="2" s="1"/>
  <c r="C73" i="16"/>
  <c r="AI9" i="2" s="1"/>
  <c r="AG30" i="2"/>
  <c r="AF14" i="2"/>
  <c r="AG14" i="2"/>
  <c r="AF15" i="2"/>
  <c r="AG15" i="2"/>
  <c r="AF16" i="2"/>
  <c r="AG16" i="2"/>
  <c r="AF17" i="2"/>
  <c r="AG17" i="2"/>
  <c r="AD26" i="2"/>
  <c r="AH11" i="2"/>
  <c r="AM66" i="2"/>
  <c r="AL66" i="2"/>
  <c r="AO65" i="2"/>
  <c r="AN61" i="2"/>
  <c r="AN51" i="2"/>
  <c r="AN52" i="2"/>
  <c r="AN54" i="2"/>
  <c r="AN63" i="2"/>
  <c r="AK33" i="2"/>
  <c r="AO33" i="2" s="1"/>
  <c r="AN30" i="2"/>
  <c r="AM14" i="2"/>
  <c r="AN14" i="2"/>
  <c r="AM15" i="2"/>
  <c r="AN15" i="2"/>
  <c r="AM16" i="2"/>
  <c r="AN16" i="2"/>
  <c r="AM17" i="2"/>
  <c r="AN17" i="2"/>
  <c r="AK26" i="2"/>
  <c r="AO11" i="2"/>
  <c r="AT66" i="2"/>
  <c r="AS66" i="2"/>
  <c r="AV65" i="2"/>
  <c r="AU60" i="2"/>
  <c r="AU61" i="2"/>
  <c r="AU51" i="2"/>
  <c r="AU53" i="2"/>
  <c r="AU54" i="2"/>
  <c r="AU63" i="2"/>
  <c r="AR33" i="2"/>
  <c r="AV33" i="2" s="1"/>
  <c r="AU30" i="2"/>
  <c r="AT14" i="2"/>
  <c r="AU14" i="2"/>
  <c r="AT15" i="2"/>
  <c r="AU15" i="2"/>
  <c r="AT16" i="2"/>
  <c r="AU16" i="2"/>
  <c r="AT17" i="2"/>
  <c r="AU17" i="2"/>
  <c r="AR26" i="2"/>
  <c r="AV11" i="2"/>
  <c r="BA66" i="2"/>
  <c r="AZ66" i="2"/>
  <c r="BC65" i="2"/>
  <c r="BB60" i="2"/>
  <c r="BB61" i="2"/>
  <c r="BB51" i="2"/>
  <c r="BB53" i="2"/>
  <c r="BB54" i="2"/>
  <c r="BB63" i="2"/>
  <c r="AY33" i="2"/>
  <c r="BC33" i="2" s="1"/>
  <c r="BB30" i="2"/>
  <c r="BA14" i="2"/>
  <c r="BB14" i="2"/>
  <c r="BA15" i="2"/>
  <c r="BB15" i="2"/>
  <c r="BA16" i="2"/>
  <c r="BB16" i="2"/>
  <c r="BA17" i="2"/>
  <c r="BB17" i="2"/>
  <c r="AY26" i="2"/>
  <c r="BC11" i="2"/>
  <c r="BH66" i="2"/>
  <c r="BG66" i="2"/>
  <c r="BJ65" i="2"/>
  <c r="BI60" i="2"/>
  <c r="BI61" i="2"/>
  <c r="BI51" i="2"/>
  <c r="BI52" i="2"/>
  <c r="BI53" i="2"/>
  <c r="BI54" i="2"/>
  <c r="BI63" i="2"/>
  <c r="BF33" i="2"/>
  <c r="BJ33" i="2" s="1"/>
  <c r="BK9" i="2"/>
  <c r="BI30" i="2"/>
  <c r="BH14" i="2"/>
  <c r="BI14" i="2"/>
  <c r="BH15" i="2"/>
  <c r="BI15" i="2"/>
  <c r="BH16" i="2"/>
  <c r="BI16" i="2"/>
  <c r="BH17" i="2"/>
  <c r="BI17" i="2"/>
  <c r="BF26" i="2"/>
  <c r="BJ11" i="2"/>
  <c r="BO66" i="2"/>
  <c r="BN66" i="2"/>
  <c r="BQ65" i="2"/>
  <c r="BP60" i="2"/>
  <c r="BP61" i="2"/>
  <c r="BP51" i="2"/>
  <c r="BP52" i="2"/>
  <c r="BP53" i="2"/>
  <c r="BP54" i="2"/>
  <c r="BP63" i="2"/>
  <c r="BM33" i="2"/>
  <c r="BQ33" i="2" s="1"/>
  <c r="C78" i="16"/>
  <c r="BR9" i="2" s="1"/>
  <c r="BP30" i="2"/>
  <c r="BO14" i="2"/>
  <c r="BP14" i="2"/>
  <c r="BO15" i="2"/>
  <c r="BP15" i="2"/>
  <c r="BO16" i="2"/>
  <c r="BP16" i="2"/>
  <c r="BO17" i="2"/>
  <c r="BP17" i="2"/>
  <c r="BM26" i="2"/>
  <c r="BQ11" i="2"/>
  <c r="BV66" i="2"/>
  <c r="BU66" i="2"/>
  <c r="BX65" i="2"/>
  <c r="BW60" i="2"/>
  <c r="BW61" i="2"/>
  <c r="BW51" i="2"/>
  <c r="BW52" i="2"/>
  <c r="BW53" i="2"/>
  <c r="BW54" i="2"/>
  <c r="BW63" i="2"/>
  <c r="BT33" i="2"/>
  <c r="BX33" i="2" s="1"/>
  <c r="BW30" i="2"/>
  <c r="BV14" i="2"/>
  <c r="BW14" i="2"/>
  <c r="BV15" i="2"/>
  <c r="BW15" i="2"/>
  <c r="BV16" i="2"/>
  <c r="BW16" i="2"/>
  <c r="BV17" i="2"/>
  <c r="BW17" i="2"/>
  <c r="BT26" i="2"/>
  <c r="BX11" i="2"/>
  <c r="CC66" i="2"/>
  <c r="CB66" i="2"/>
  <c r="CE65" i="2"/>
  <c r="CD60" i="2"/>
  <c r="CD61" i="2"/>
  <c r="CD51" i="2"/>
  <c r="CD52" i="2"/>
  <c r="CD53" i="2"/>
  <c r="CD54" i="2"/>
  <c r="CD63" i="2"/>
  <c r="CA33" i="2"/>
  <c r="CE33" i="2" s="1"/>
  <c r="CD30" i="2"/>
  <c r="CC14" i="2"/>
  <c r="CD14" i="2"/>
  <c r="CC15" i="2"/>
  <c r="CD15" i="2"/>
  <c r="CC16" i="2"/>
  <c r="CD16" i="2"/>
  <c r="CC17" i="2"/>
  <c r="CD17" i="2"/>
  <c r="CA26" i="2"/>
  <c r="CE11" i="2"/>
  <c r="CJ66" i="2"/>
  <c r="CI66" i="2"/>
  <c r="CL65" i="2"/>
  <c r="CK60" i="2"/>
  <c r="CK61" i="2"/>
  <c r="CK51" i="2"/>
  <c r="CK52" i="2"/>
  <c r="CK53" i="2"/>
  <c r="CK54" i="2"/>
  <c r="CK63" i="2"/>
  <c r="CH33" i="2"/>
  <c r="CL33" i="2" s="1"/>
  <c r="CK30" i="2"/>
  <c r="CJ14" i="2"/>
  <c r="CK14" i="2"/>
  <c r="CJ15" i="2"/>
  <c r="CK15" i="2"/>
  <c r="CJ16" i="2"/>
  <c r="CK16" i="2"/>
  <c r="CJ17" i="2"/>
  <c r="CK17" i="2"/>
  <c r="CH26" i="2"/>
  <c r="CL11" i="2"/>
  <c r="CQ66" i="2"/>
  <c r="CP66" i="2"/>
  <c r="CS65" i="2"/>
  <c r="CR60" i="2"/>
  <c r="CR61" i="2"/>
  <c r="CR51" i="2"/>
  <c r="CR52" i="2"/>
  <c r="CR53" i="2"/>
  <c r="CR54" i="2"/>
  <c r="CR63" i="2"/>
  <c r="CO33" i="2"/>
  <c r="CS33" i="2" s="1"/>
  <c r="CR30" i="2"/>
  <c r="CQ14" i="2"/>
  <c r="CR14" i="2"/>
  <c r="CQ15" i="2"/>
  <c r="CR15" i="2"/>
  <c r="CQ16" i="2"/>
  <c r="CR16" i="2"/>
  <c r="CQ17" i="2"/>
  <c r="CR17" i="2"/>
  <c r="CO26" i="2"/>
  <c r="CS11" i="2"/>
  <c r="CX66" i="2"/>
  <c r="CW66" i="2"/>
  <c r="CZ65" i="2"/>
  <c r="CY60" i="2"/>
  <c r="CY61" i="2"/>
  <c r="CY51" i="2"/>
  <c r="CY52" i="2"/>
  <c r="CY53" i="2"/>
  <c r="CY54" i="2"/>
  <c r="CY63" i="2"/>
  <c r="CV33" i="2"/>
  <c r="CZ33" i="2" s="1"/>
  <c r="CY30" i="2"/>
  <c r="CX14" i="2"/>
  <c r="CY14" i="2"/>
  <c r="CX15" i="2"/>
  <c r="CY15" i="2"/>
  <c r="CX16" i="2"/>
  <c r="CY16" i="2"/>
  <c r="CX17" i="2"/>
  <c r="CY17" i="2"/>
  <c r="CV26" i="2"/>
  <c r="CZ11" i="2"/>
  <c r="DE66" i="2"/>
  <c r="DD66" i="2"/>
  <c r="DG65" i="2"/>
  <c r="DF60" i="2"/>
  <c r="DF61" i="2"/>
  <c r="DF51" i="2"/>
  <c r="DF52" i="2"/>
  <c r="DF53" i="2"/>
  <c r="DF54" i="2"/>
  <c r="DF63" i="2"/>
  <c r="DC33" i="2"/>
  <c r="DG33" i="2" s="1"/>
  <c r="DF30" i="2"/>
  <c r="DE14" i="2"/>
  <c r="DF14" i="2"/>
  <c r="DE15" i="2"/>
  <c r="DF15" i="2"/>
  <c r="DE16" i="2"/>
  <c r="DF16" i="2"/>
  <c r="DE17" i="2"/>
  <c r="DF17" i="2"/>
  <c r="DC26" i="2"/>
  <c r="DC75" i="2"/>
  <c r="C14" i="22725"/>
  <c r="C15" i="22725"/>
  <c r="C16" i="22725"/>
  <c r="C17" i="22725"/>
  <c r="D37" i="22725"/>
  <c r="D35" i="22725"/>
  <c r="D36" i="22725"/>
  <c r="D49" i="22725"/>
  <c r="C40" i="22725"/>
  <c r="D40" i="22725"/>
  <c r="C41" i="22725"/>
  <c r="D41" i="22725"/>
  <c r="D85" i="5"/>
  <c r="C57" i="22725" s="1"/>
  <c r="D58" i="22725"/>
  <c r="C56" i="3"/>
  <c r="D51" i="3"/>
  <c r="D53" i="3"/>
  <c r="D60" i="3"/>
  <c r="E52" i="3"/>
  <c r="B181" i="16"/>
  <c r="E33" i="22731"/>
  <c r="E58" i="1" s="1"/>
  <c r="E34" i="22731"/>
  <c r="E59" i="1" s="1"/>
  <c r="E35" i="22731"/>
  <c r="E60" i="1" s="1"/>
  <c r="E36" i="22731"/>
  <c r="E61" i="1"/>
  <c r="E37" i="22731"/>
  <c r="E62" i="1" s="1"/>
  <c r="E16" i="22731"/>
  <c r="E17" i="22731"/>
  <c r="E43" i="1" s="1"/>
  <c r="E18" i="22731"/>
  <c r="E44" i="1" s="1"/>
  <c r="E20" i="22731"/>
  <c r="E45" i="1" s="1"/>
  <c r="E21" i="22731"/>
  <c r="E46" i="1" s="1"/>
  <c r="E22" i="22731"/>
  <c r="E47" i="1" s="1"/>
  <c r="E23" i="22731"/>
  <c r="E48" i="1" s="1"/>
  <c r="E25" i="22731"/>
  <c r="E49" i="1"/>
  <c r="E26" i="22731"/>
  <c r="E50" i="1" s="1"/>
  <c r="E27" i="22731"/>
  <c r="E51" i="1" s="1"/>
  <c r="E28" i="22731"/>
  <c r="E52" i="1" s="1"/>
  <c r="E29" i="22731"/>
  <c r="E53" i="1" s="1"/>
  <c r="D45" i="22731"/>
  <c r="E45" i="22731" s="1"/>
  <c r="D58" i="22731"/>
  <c r="E58" i="22731" s="1"/>
  <c r="D59" i="22731"/>
  <c r="E59" i="22731" s="1"/>
  <c r="D60" i="22731"/>
  <c r="E60" i="22731" s="1"/>
  <c r="C61" i="22731"/>
  <c r="D61" i="22731"/>
  <c r="B76" i="1"/>
  <c r="B3" i="22731"/>
  <c r="E11" i="22731"/>
  <c r="E12" i="22731"/>
  <c r="E13" i="22731"/>
  <c r="E14" i="22731"/>
  <c r="C72" i="22731"/>
  <c r="B73" i="22731"/>
  <c r="D73" i="22731"/>
  <c r="E73" i="22731"/>
  <c r="B74" i="22731"/>
  <c r="B87" i="22731"/>
  <c r="D74" i="22731"/>
  <c r="D87" i="22731"/>
  <c r="E74" i="22731"/>
  <c r="B75" i="22731"/>
  <c r="D75" i="22731"/>
  <c r="D88" i="22731" s="1"/>
  <c r="E75" i="22731"/>
  <c r="B76" i="22731"/>
  <c r="D76" i="22731"/>
  <c r="E76" i="22731"/>
  <c r="B77" i="22731"/>
  <c r="D77" i="22731"/>
  <c r="E77" i="22731"/>
  <c r="B78" i="22731"/>
  <c r="D78" i="22731"/>
  <c r="E78" i="22731"/>
  <c r="B79" i="22731"/>
  <c r="D79" i="22731"/>
  <c r="E79" i="22731"/>
  <c r="B80" i="22731"/>
  <c r="D80" i="22731"/>
  <c r="E80" i="22731"/>
  <c r="B81" i="22731"/>
  <c r="D81" i="22731"/>
  <c r="E81" i="22731"/>
  <c r="B82" i="22731"/>
  <c r="D82" i="22731"/>
  <c r="E82" i="22731"/>
  <c r="B83" i="22731"/>
  <c r="D83" i="22731"/>
  <c r="E83" i="22731"/>
  <c r="B84" i="22731"/>
  <c r="D84" i="22731"/>
  <c r="E84" i="22731"/>
  <c r="B85" i="22731"/>
  <c r="D85" i="22731"/>
  <c r="E85" i="22731"/>
  <c r="D86" i="22731"/>
  <c r="E86" i="22731"/>
  <c r="E87" i="22731"/>
  <c r="DC11" i="22723"/>
  <c r="CV11" i="22723"/>
  <c r="CO11" i="22723"/>
  <c r="CH11" i="22723"/>
  <c r="CA11" i="22723"/>
  <c r="BT11" i="22723"/>
  <c r="BM11" i="22723"/>
  <c r="BF11" i="22723"/>
  <c r="AY11" i="22723"/>
  <c r="AR11" i="22723"/>
  <c r="AK11" i="22723"/>
  <c r="AD11" i="22723"/>
  <c r="W11" i="22723"/>
  <c r="P11" i="22723"/>
  <c r="I11" i="22723"/>
  <c r="B11" i="22723"/>
  <c r="E85" i="16"/>
  <c r="B10" i="22715"/>
  <c r="C10" i="22715" s="1"/>
  <c r="B9" i="22715"/>
  <c r="C9" i="22715" s="1"/>
  <c r="A8" i="22715"/>
  <c r="A10" i="22715" s="1"/>
  <c r="A12" i="22715" s="1"/>
  <c r="A7" i="22715"/>
  <c r="A9" i="22715" s="1"/>
  <c r="A11" i="22715" s="1"/>
  <c r="DC5" i="22723"/>
  <c r="CV5" i="22723"/>
  <c r="CO5" i="22723"/>
  <c r="CH5" i="22723"/>
  <c r="CA5" i="22723"/>
  <c r="BT5" i="22723"/>
  <c r="BM5" i="22723"/>
  <c r="BF5" i="22723"/>
  <c r="AY5" i="22723"/>
  <c r="AR5" i="22723"/>
  <c r="AK5" i="22723"/>
  <c r="AD5" i="22723"/>
  <c r="W5" i="22723"/>
  <c r="P5" i="22723"/>
  <c r="I5" i="22723"/>
  <c r="DC5" i="2"/>
  <c r="CV5" i="2"/>
  <c r="CO5" i="2"/>
  <c r="CH5" i="2"/>
  <c r="CA5" i="2"/>
  <c r="BT5" i="2"/>
  <c r="BM5" i="2"/>
  <c r="BF5" i="2"/>
  <c r="AY5" i="2"/>
  <c r="AR5" i="2"/>
  <c r="AK5" i="2"/>
  <c r="AD5" i="2"/>
  <c r="W5" i="2"/>
  <c r="P5" i="2"/>
  <c r="I5" i="2"/>
  <c r="A3" i="22728"/>
  <c r="C38" i="22725"/>
  <c r="J38" i="22725"/>
  <c r="J43" i="22725"/>
  <c r="J35" i="22725"/>
  <c r="J36" i="22725"/>
  <c r="J37" i="22725"/>
  <c r="J40" i="22725"/>
  <c r="J41" i="22725"/>
  <c r="E26" i="22725"/>
  <c r="F26" i="22725" s="1"/>
  <c r="E28" i="22725"/>
  <c r="D14" i="22725"/>
  <c r="D15" i="22725"/>
  <c r="D16" i="22725"/>
  <c r="D17" i="22725"/>
  <c r="D82" i="22714"/>
  <c r="D76" i="22714"/>
  <c r="D78" i="22714"/>
  <c r="E78" i="22714" s="1"/>
  <c r="E40" i="22728"/>
  <c r="C23" i="5"/>
  <c r="C24" i="5" s="1"/>
  <c r="D64" i="22730" s="1"/>
  <c r="H64" i="22730" s="1"/>
  <c r="B28" i="16"/>
  <c r="B29" i="16" s="1"/>
  <c r="E31" i="3" s="1"/>
  <c r="C24" i="3"/>
  <c r="E24" i="3"/>
  <c r="B31" i="3"/>
  <c r="E26" i="3"/>
  <c r="F26" i="3" s="1"/>
  <c r="E27" i="3"/>
  <c r="E28" i="3"/>
  <c r="B28" i="5"/>
  <c r="B29" i="5" s="1"/>
  <c r="D30" i="22725" s="1"/>
  <c r="B24" i="22725"/>
  <c r="C24" i="22725"/>
  <c r="E24" i="22725"/>
  <c r="B31" i="22725"/>
  <c r="C61" i="22725"/>
  <c r="F60" i="22725"/>
  <c r="B92" i="22725" s="1"/>
  <c r="J106" i="22715" s="1"/>
  <c r="F44" i="22725"/>
  <c r="A24" i="22725"/>
  <c r="F11" i="22725"/>
  <c r="D54" i="22715" s="1"/>
  <c r="D63" i="3"/>
  <c r="C63" i="3"/>
  <c r="F62" i="3"/>
  <c r="B94" i="3" s="1"/>
  <c r="H106" i="22715" s="1"/>
  <c r="E57" i="3"/>
  <c r="E58" i="3"/>
  <c r="E49" i="3"/>
  <c r="E50" i="3"/>
  <c r="E51" i="3"/>
  <c r="E60" i="3"/>
  <c r="A24" i="3"/>
  <c r="C178" i="5"/>
  <c r="DB25" i="22723"/>
  <c r="CU25" i="22723"/>
  <c r="CN25" i="22723"/>
  <c r="CG25" i="22723"/>
  <c r="BZ25" i="22723"/>
  <c r="BS25" i="22723"/>
  <c r="BL25" i="22723"/>
  <c r="BE25" i="22723"/>
  <c r="AX25" i="22723"/>
  <c r="AQ25" i="22723"/>
  <c r="AJ25" i="22723"/>
  <c r="AC25" i="22723"/>
  <c r="V25" i="22723"/>
  <c r="O25" i="22723"/>
  <c r="H25" i="22723"/>
  <c r="A25" i="22723"/>
  <c r="DG11" i="22723"/>
  <c r="B47" i="2"/>
  <c r="O26" i="2"/>
  <c r="V26" i="2"/>
  <c r="AC26" i="2"/>
  <c r="AJ26" i="2"/>
  <c r="AQ26" i="2"/>
  <c r="AX26" i="2"/>
  <c r="BE26" i="2"/>
  <c r="BL26" i="2"/>
  <c r="BS26" i="2"/>
  <c r="BZ26" i="2"/>
  <c r="CG26" i="2"/>
  <c r="CN26" i="2"/>
  <c r="CU26" i="2"/>
  <c r="DB26" i="2"/>
  <c r="H26" i="2"/>
  <c r="A26" i="2"/>
  <c r="B183" i="16"/>
  <c r="B123" i="22714"/>
  <c r="B83" i="22714"/>
  <c r="B80" i="22714"/>
  <c r="B79" i="22714"/>
  <c r="B78" i="22714"/>
  <c r="B77" i="22714"/>
  <c r="B76" i="22714"/>
  <c r="B75" i="22714"/>
  <c r="B39" i="22714"/>
  <c r="B38" i="22714"/>
  <c r="B37" i="22714"/>
  <c r="A37" i="22714"/>
  <c r="B34" i="22714"/>
  <c r="B33" i="22714"/>
  <c r="B32" i="22714"/>
  <c r="B31" i="22714"/>
  <c r="B30" i="22714"/>
  <c r="B27" i="22714"/>
  <c r="B26" i="22714"/>
  <c r="B25" i="22714"/>
  <c r="B24" i="22714"/>
  <c r="B23" i="22714"/>
  <c r="B22" i="22714"/>
  <c r="B21" i="22714"/>
  <c r="B20" i="22714"/>
  <c r="B19" i="22714"/>
  <c r="B18" i="22714"/>
  <c r="B17" i="22714"/>
  <c r="B14" i="22714"/>
  <c r="B13" i="22714"/>
  <c r="B12" i="22714"/>
  <c r="B11" i="22714"/>
  <c r="B123" i="1"/>
  <c r="B83" i="1"/>
  <c r="B80" i="1"/>
  <c r="B79" i="1"/>
  <c r="B78" i="1"/>
  <c r="B77" i="1"/>
  <c r="B75" i="1"/>
  <c r="B38" i="1"/>
  <c r="B39" i="1"/>
  <c r="B37" i="1"/>
  <c r="A37" i="1"/>
  <c r="B31" i="1"/>
  <c r="B32" i="1"/>
  <c r="B33" i="1"/>
  <c r="B34" i="1"/>
  <c r="B30" i="1"/>
  <c r="B18" i="1"/>
  <c r="B19" i="1"/>
  <c r="B20" i="1"/>
  <c r="B21" i="1"/>
  <c r="B22" i="1"/>
  <c r="B23" i="1"/>
  <c r="B24" i="1"/>
  <c r="B25" i="1"/>
  <c r="B26" i="1"/>
  <c r="B27" i="1"/>
  <c r="B17" i="1"/>
  <c r="B12" i="1"/>
  <c r="B13" i="1"/>
  <c r="B14" i="1"/>
  <c r="B11" i="1"/>
  <c r="H62" i="22730"/>
  <c r="G62" i="22730"/>
  <c r="D62" i="22730"/>
  <c r="H8" i="22730"/>
  <c r="G8" i="22730"/>
  <c r="D8" i="22730"/>
  <c r="H15" i="22730"/>
  <c r="H19" i="22730"/>
  <c r="H20" i="22730"/>
  <c r="H22" i="22730" s="1"/>
  <c r="E143" i="22714" s="1"/>
  <c r="H23" i="22730"/>
  <c r="H24" i="22730"/>
  <c r="H25" i="22730"/>
  <c r="H26" i="22730"/>
  <c r="H27" i="22730"/>
  <c r="H30" i="22730"/>
  <c r="E144" i="22714" s="1"/>
  <c r="H28" i="22730"/>
  <c r="D37" i="22730"/>
  <c r="G37" i="22730"/>
  <c r="H37" i="22730"/>
  <c r="H38" i="22730"/>
  <c r="H42" i="22730"/>
  <c r="E43" i="22730"/>
  <c r="E44" i="22730"/>
  <c r="D48" i="22730" s="1"/>
  <c r="F43" i="22730"/>
  <c r="F44" i="22730" s="1"/>
  <c r="H71" i="22730"/>
  <c r="H72" i="22730"/>
  <c r="H75" i="22730"/>
  <c r="H76" i="22730"/>
  <c r="H77" i="22730"/>
  <c r="H78" i="22730"/>
  <c r="H79" i="22730"/>
  <c r="H80" i="22730"/>
  <c r="D90" i="22730"/>
  <c r="H90" i="22730" s="1"/>
  <c r="G90" i="22730"/>
  <c r="H91" i="22730"/>
  <c r="H96" i="22730"/>
  <c r="E97" i="22730"/>
  <c r="E98" i="22730"/>
  <c r="D102" i="22730" s="1"/>
  <c r="F97" i="22730"/>
  <c r="F98" i="22730" s="1"/>
  <c r="D101" i="22730" s="1"/>
  <c r="H62" i="22729"/>
  <c r="G62" i="22729"/>
  <c r="D62" i="22729"/>
  <c r="H8" i="22729"/>
  <c r="G8" i="22729"/>
  <c r="D8" i="22729"/>
  <c r="H71" i="22729"/>
  <c r="H72" i="22729"/>
  <c r="H74" i="22729" s="1"/>
  <c r="H75" i="22729"/>
  <c r="H76" i="22729"/>
  <c r="H77" i="22729"/>
  <c r="H78" i="22729"/>
  <c r="H79" i="22729"/>
  <c r="H80" i="22729"/>
  <c r="G90" i="22729"/>
  <c r="H90" i="22729" s="1"/>
  <c r="D90" i="22729"/>
  <c r="H96" i="22729"/>
  <c r="F97" i="22729"/>
  <c r="F98" i="22729" s="1"/>
  <c r="D101" i="22729" s="1"/>
  <c r="H91" i="22729"/>
  <c r="E97" i="22729"/>
  <c r="E98" i="22729" s="1"/>
  <c r="D102" i="22729" s="1"/>
  <c r="H15" i="22729"/>
  <c r="H19" i="22729"/>
  <c r="H20" i="22729"/>
  <c r="H23" i="22729"/>
  <c r="H24" i="22729"/>
  <c r="H25" i="22729"/>
  <c r="H26" i="22729"/>
  <c r="H27" i="22729"/>
  <c r="H28" i="22729"/>
  <c r="E43" i="22729"/>
  <c r="D47" i="22729" s="1"/>
  <c r="G37" i="22729"/>
  <c r="H37" i="22729" s="1"/>
  <c r="H44" i="22729" s="1"/>
  <c r="D37" i="22729"/>
  <c r="H38" i="22729"/>
  <c r="H42" i="22729"/>
  <c r="F43" i="22729"/>
  <c r="F44" i="22729"/>
  <c r="E41" i="22728"/>
  <c r="E42" i="22728"/>
  <c r="B3" i="22728"/>
  <c r="D82" i="22728"/>
  <c r="X25" i="22723" s="1"/>
  <c r="D83" i="22728"/>
  <c r="D95" i="22728" s="1"/>
  <c r="D84" i="22728"/>
  <c r="AL25" i="22723" s="1"/>
  <c r="D85" i="22728"/>
  <c r="AS25" i="22723" s="1"/>
  <c r="D86" i="22728"/>
  <c r="AZ25" i="22723" s="1"/>
  <c r="D87" i="22728"/>
  <c r="BG25" i="22723" s="1"/>
  <c r="D88" i="22728"/>
  <c r="BN25" i="22723" s="1"/>
  <c r="D89" i="22728"/>
  <c r="BU25" i="22723" s="1"/>
  <c r="D90" i="22728"/>
  <c r="CB25" i="22723" s="1"/>
  <c r="D91" i="22728"/>
  <c r="CI25" i="22723" s="1"/>
  <c r="D92" i="22728"/>
  <c r="CP25" i="22723" s="1"/>
  <c r="D80" i="22728"/>
  <c r="J25" i="22723" s="1"/>
  <c r="E93" i="22728"/>
  <c r="CY25" i="22723" s="1"/>
  <c r="B93" i="22728"/>
  <c r="E92" i="22728"/>
  <c r="CR25" i="22723"/>
  <c r="B92" i="22728"/>
  <c r="E91" i="22728"/>
  <c r="CK25" i="22723" s="1"/>
  <c r="B91" i="22728"/>
  <c r="E90" i="22728"/>
  <c r="CD25" i="22723"/>
  <c r="B90" i="22728"/>
  <c r="E89" i="22728"/>
  <c r="BW25" i="22723" s="1"/>
  <c r="B89" i="22728"/>
  <c r="E88" i="22728"/>
  <c r="BP25" i="22723"/>
  <c r="B88" i="22728"/>
  <c r="E87" i="22728"/>
  <c r="BI25" i="22723" s="1"/>
  <c r="B87" i="22728"/>
  <c r="E86" i="22728"/>
  <c r="BB25" i="22723"/>
  <c r="B86" i="22728"/>
  <c r="E85" i="22728"/>
  <c r="AU25" i="22723" s="1"/>
  <c r="B85" i="22728"/>
  <c r="E84" i="22728"/>
  <c r="AN25" i="22723"/>
  <c r="B84" i="22728"/>
  <c r="E83" i="22728"/>
  <c r="AG25" i="22723" s="1"/>
  <c r="B83" i="22728"/>
  <c r="E82" i="22728"/>
  <c r="Z25" i="22723"/>
  <c r="B82" i="22728"/>
  <c r="E81" i="22728"/>
  <c r="E94" i="22728" s="1"/>
  <c r="DF25" i="22723" s="1"/>
  <c r="D81" i="22728"/>
  <c r="Q25" i="22723"/>
  <c r="B81" i="22728"/>
  <c r="B94" i="22728"/>
  <c r="E80" i="22728"/>
  <c r="B80" i="22728"/>
  <c r="E16" i="22728"/>
  <c r="E17" i="22728"/>
  <c r="E18" i="22728"/>
  <c r="E19" i="22728"/>
  <c r="E20" i="22728"/>
  <c r="E21" i="22728"/>
  <c r="E22" i="22728"/>
  <c r="E23" i="22728"/>
  <c r="E24" i="22728"/>
  <c r="E25" i="22728"/>
  <c r="E28" i="22728"/>
  <c r="E29" i="22728"/>
  <c r="E30" i="22728"/>
  <c r="E31" i="22728"/>
  <c r="E32" i="22728"/>
  <c r="C56" i="22728"/>
  <c r="E60" i="22728"/>
  <c r="E61" i="22728"/>
  <c r="E62" i="22728"/>
  <c r="E13" i="22728"/>
  <c r="E12" i="22728"/>
  <c r="D66" i="22727"/>
  <c r="E66" i="22727" s="1"/>
  <c r="D65" i="22727"/>
  <c r="E65" i="22727" s="1"/>
  <c r="D54" i="22727"/>
  <c r="E54" i="22727" s="1"/>
  <c r="D55" i="22727"/>
  <c r="E55" i="22727" s="1"/>
  <c r="D56" i="22727"/>
  <c r="E56" i="22727" s="1"/>
  <c r="D53" i="22727"/>
  <c r="E53" i="22727" s="1"/>
  <c r="D40" i="22727"/>
  <c r="E40" i="22727" s="1"/>
  <c r="B3" i="22727"/>
  <c r="B82" i="22727"/>
  <c r="B83" i="22727"/>
  <c r="B84" i="22727"/>
  <c r="B85" i="22727"/>
  <c r="B86" i="22727"/>
  <c r="B87" i="22727"/>
  <c r="B88" i="22727"/>
  <c r="B89" i="22727"/>
  <c r="B90" i="22727"/>
  <c r="B91" i="22727"/>
  <c r="B92" i="22727"/>
  <c r="D82" i="22727"/>
  <c r="D83" i="22727"/>
  <c r="AE26" i="2" s="1"/>
  <c r="D84" i="22727"/>
  <c r="AL26" i="2" s="1"/>
  <c r="D85" i="22727"/>
  <c r="AS26" i="2" s="1"/>
  <c r="D86" i="22727"/>
  <c r="AZ26" i="2" s="1"/>
  <c r="D87" i="22727"/>
  <c r="BG26" i="2" s="1"/>
  <c r="D88" i="22727"/>
  <c r="BN26" i="2" s="1"/>
  <c r="D89" i="22727"/>
  <c r="BU26" i="2" s="1"/>
  <c r="D90" i="22727"/>
  <c r="CB26" i="2" s="1"/>
  <c r="D91" i="22727"/>
  <c r="CI26" i="2" s="1"/>
  <c r="D92" i="22727"/>
  <c r="CP26" i="2" s="1"/>
  <c r="D80" i="22727"/>
  <c r="J26" i="2" s="1"/>
  <c r="E92" i="22727"/>
  <c r="CR26" i="2" s="1"/>
  <c r="E91" i="22727"/>
  <c r="CK26" i="2" s="1"/>
  <c r="E90" i="22727"/>
  <c r="CD26" i="2" s="1"/>
  <c r="E89" i="22727"/>
  <c r="BW26" i="2" s="1"/>
  <c r="E88" i="22727"/>
  <c r="BP26" i="2" s="1"/>
  <c r="E87" i="22727"/>
  <c r="BI26" i="2" s="1"/>
  <c r="E86" i="22727"/>
  <c r="BB26" i="2" s="1"/>
  <c r="E85" i="22727"/>
  <c r="AU26" i="2" s="1"/>
  <c r="E84" i="22727"/>
  <c r="AN26" i="2" s="1"/>
  <c r="E83" i="22727"/>
  <c r="AG26" i="2" s="1"/>
  <c r="E82" i="22727"/>
  <c r="Z26" i="2" s="1"/>
  <c r="E81" i="22727"/>
  <c r="E93" i="22727" s="1"/>
  <c r="CY26" i="2" s="1"/>
  <c r="D81" i="22727"/>
  <c r="D93" i="22727" s="1"/>
  <c r="B81" i="22727"/>
  <c r="B93" i="22727" s="1"/>
  <c r="E80" i="22727"/>
  <c r="S26" i="2" s="1"/>
  <c r="B80" i="22727"/>
  <c r="E16" i="22727"/>
  <c r="E17" i="22727"/>
  <c r="E18" i="22727"/>
  <c r="E19" i="22727"/>
  <c r="E20" i="22727"/>
  <c r="E21" i="22727"/>
  <c r="E22" i="22727"/>
  <c r="E23" i="22727"/>
  <c r="E24" i="22727"/>
  <c r="E25" i="22727"/>
  <c r="E28" i="22727"/>
  <c r="E29" i="22727"/>
  <c r="E30" i="22727"/>
  <c r="E31" i="22727"/>
  <c r="E32" i="22727"/>
  <c r="C56" i="22727"/>
  <c r="E60" i="22727"/>
  <c r="E61" i="22727"/>
  <c r="E62" i="22727"/>
  <c r="E13" i="22727"/>
  <c r="E12" i="22727"/>
  <c r="B183" i="5"/>
  <c r="C179" i="5"/>
  <c r="B179" i="5"/>
  <c r="B179" i="16"/>
  <c r="B186" i="5"/>
  <c r="B185" i="5"/>
  <c r="B178" i="5"/>
  <c r="B177" i="5"/>
  <c r="B186" i="16"/>
  <c r="B185" i="16"/>
  <c r="B178" i="16"/>
  <c r="B177" i="16"/>
  <c r="B2" i="1"/>
  <c r="B22" i="4" s="1"/>
  <c r="B44" i="22725"/>
  <c r="B17" i="22725"/>
  <c r="B16" i="22725"/>
  <c r="AK39" i="2"/>
  <c r="AR39" i="2"/>
  <c r="AY39" i="2"/>
  <c r="BF39" i="2"/>
  <c r="BM39" i="2"/>
  <c r="BT39" i="2"/>
  <c r="CA39" i="2"/>
  <c r="CH39" i="2"/>
  <c r="CO39" i="2"/>
  <c r="CV39" i="2"/>
  <c r="DC39" i="2"/>
  <c r="I44" i="22723"/>
  <c r="P44" i="22723"/>
  <c r="W44" i="22723"/>
  <c r="AD44" i="22723"/>
  <c r="AK44" i="22723"/>
  <c r="AR44" i="22723"/>
  <c r="AY44" i="22723"/>
  <c r="BF44" i="22723"/>
  <c r="BM44" i="22723"/>
  <c r="BT44" i="22723"/>
  <c r="CA44" i="22723"/>
  <c r="CH44" i="22723"/>
  <c r="CO44" i="22723"/>
  <c r="CV44" i="22723"/>
  <c r="DC44" i="22723"/>
  <c r="CV47" i="22723"/>
  <c r="CO47" i="22723"/>
  <c r="CH47" i="22723"/>
  <c r="CA47" i="22723"/>
  <c r="BT47" i="22723"/>
  <c r="BM47" i="22723"/>
  <c r="BF47" i="22723"/>
  <c r="AY47" i="22723"/>
  <c r="AR47" i="22723"/>
  <c r="AK47" i="22723"/>
  <c r="AD47" i="22723"/>
  <c r="W47" i="22723"/>
  <c r="P47" i="22723"/>
  <c r="I47" i="22723"/>
  <c r="B47" i="22723"/>
  <c r="I43" i="2"/>
  <c r="P43" i="2"/>
  <c r="W43" i="2"/>
  <c r="AD43" i="2"/>
  <c r="AK43" i="2"/>
  <c r="AR43" i="2"/>
  <c r="AY43" i="2"/>
  <c r="BF43" i="2"/>
  <c r="BM43" i="2"/>
  <c r="BT43" i="2"/>
  <c r="CA43" i="2"/>
  <c r="CH43" i="2"/>
  <c r="CO43" i="2"/>
  <c r="CV43" i="2"/>
  <c r="DC43" i="2"/>
  <c r="I42" i="22723"/>
  <c r="P42" i="22723"/>
  <c r="W42" i="22723"/>
  <c r="AD42" i="22723"/>
  <c r="AK42" i="22723"/>
  <c r="AR42" i="22723"/>
  <c r="AY42" i="22723"/>
  <c r="BF42" i="22723"/>
  <c r="BM42" i="22723"/>
  <c r="BT42" i="22723"/>
  <c r="CA42" i="22723"/>
  <c r="CH42" i="22723"/>
  <c r="CO42" i="22723"/>
  <c r="CV42" i="22723"/>
  <c r="DC42" i="22723"/>
  <c r="AK16" i="22723"/>
  <c r="AR16" i="22723"/>
  <c r="AY16" i="22723"/>
  <c r="BF16" i="22723"/>
  <c r="BM16" i="22723"/>
  <c r="BT16" i="22723"/>
  <c r="CA16" i="22723"/>
  <c r="CH16" i="22723"/>
  <c r="CO16" i="22723"/>
  <c r="CV16" i="22723"/>
  <c r="DC16" i="22723"/>
  <c r="AK17" i="22723"/>
  <c r="AR17" i="22723"/>
  <c r="AY17" i="22723"/>
  <c r="BF17" i="22723"/>
  <c r="BM17" i="22723"/>
  <c r="BT17" i="22723"/>
  <c r="CA17" i="22723"/>
  <c r="CH17" i="22723"/>
  <c r="CO17" i="22723"/>
  <c r="CV17" i="22723"/>
  <c r="DC17" i="22723"/>
  <c r="AD17" i="22723"/>
  <c r="AD16" i="22723"/>
  <c r="AK14" i="22723"/>
  <c r="AR14" i="22723"/>
  <c r="AY14" i="22723"/>
  <c r="BF14" i="22723"/>
  <c r="BM14" i="22723"/>
  <c r="BT14" i="22723"/>
  <c r="CA14" i="22723"/>
  <c r="CH14" i="22723"/>
  <c r="CO14" i="22723"/>
  <c r="CV14" i="22723"/>
  <c r="DC14" i="22723"/>
  <c r="AK15" i="22723"/>
  <c r="AR15" i="22723"/>
  <c r="AY15" i="22723"/>
  <c r="BF15" i="22723"/>
  <c r="BM15" i="22723"/>
  <c r="BT15" i="22723"/>
  <c r="CA15" i="22723"/>
  <c r="CH15" i="22723"/>
  <c r="CO15" i="22723"/>
  <c r="CV15" i="22723"/>
  <c r="DC15" i="22723"/>
  <c r="W14" i="22723"/>
  <c r="AD14" i="22723"/>
  <c r="W15" i="22723"/>
  <c r="AD15" i="22723"/>
  <c r="P14" i="22723"/>
  <c r="P15" i="22723"/>
  <c r="I14" i="22723"/>
  <c r="I15" i="22723"/>
  <c r="AK15" i="2"/>
  <c r="AR15" i="2"/>
  <c r="AY15" i="2"/>
  <c r="BF15" i="2"/>
  <c r="BM15" i="2"/>
  <c r="BT15" i="2"/>
  <c r="CA15" i="2"/>
  <c r="CH15" i="2"/>
  <c r="CO15" i="2"/>
  <c r="CV15" i="2"/>
  <c r="DC15" i="2"/>
  <c r="AK14" i="2"/>
  <c r="AR14" i="2"/>
  <c r="AY14" i="2"/>
  <c r="BF14" i="2"/>
  <c r="BM14" i="2"/>
  <c r="BT14" i="2"/>
  <c r="CA14" i="2"/>
  <c r="CH14" i="2"/>
  <c r="CO14" i="2"/>
  <c r="CV14" i="2"/>
  <c r="DC14" i="2"/>
  <c r="B17" i="3"/>
  <c r="B16" i="3"/>
  <c r="AD14" i="2"/>
  <c r="AD15" i="2"/>
  <c r="AD16" i="2"/>
  <c r="AK16" i="2"/>
  <c r="AR16" i="2"/>
  <c r="AD17" i="2"/>
  <c r="AK17" i="2"/>
  <c r="AR17" i="2"/>
  <c r="AC30" i="2"/>
  <c r="F40" i="16"/>
  <c r="AF30" i="2" s="1"/>
  <c r="AJ30" i="2"/>
  <c r="AQ30" i="2"/>
  <c r="AD62" i="2"/>
  <c r="AD55" i="2"/>
  <c r="AD53" i="2"/>
  <c r="AD45" i="2"/>
  <c r="AD42" i="2"/>
  <c r="AD40" i="2"/>
  <c r="AD39" i="2"/>
  <c r="AD38" i="2"/>
  <c r="AD37" i="2"/>
  <c r="AK62" i="2"/>
  <c r="AK55" i="2"/>
  <c r="AK53" i="2"/>
  <c r="AK45" i="2"/>
  <c r="AK42" i="2"/>
  <c r="AK40" i="2"/>
  <c r="AK38" i="2"/>
  <c r="AK37" i="2"/>
  <c r="AR62" i="2"/>
  <c r="AR55" i="2"/>
  <c r="AR53" i="2"/>
  <c r="AR45" i="2"/>
  <c r="AR42" i="2"/>
  <c r="AR40" i="2"/>
  <c r="AR38" i="2"/>
  <c r="AR37" i="2"/>
  <c r="AY62" i="2"/>
  <c r="BF62" i="2"/>
  <c r="BM62" i="2"/>
  <c r="BT62" i="2"/>
  <c r="CA62" i="2"/>
  <c r="CH62" i="2"/>
  <c r="CO62" i="2"/>
  <c r="CV62" i="2"/>
  <c r="DC62" i="2"/>
  <c r="BF53" i="2"/>
  <c r="BM53" i="2"/>
  <c r="BT53" i="2"/>
  <c r="CA53" i="2"/>
  <c r="CH53" i="2"/>
  <c r="CO53" i="2"/>
  <c r="CV53" i="2"/>
  <c r="DC53" i="2"/>
  <c r="BF55" i="2"/>
  <c r="BM55" i="2"/>
  <c r="BT55" i="2"/>
  <c r="CA55" i="2"/>
  <c r="CH55" i="2"/>
  <c r="CO55" i="2"/>
  <c r="CV55" i="2"/>
  <c r="DC55" i="2"/>
  <c r="AY53" i="2"/>
  <c r="AY55" i="2"/>
  <c r="DC45" i="2"/>
  <c r="DC42" i="2"/>
  <c r="DC40" i="2"/>
  <c r="DC38" i="2"/>
  <c r="DC37" i="2"/>
  <c r="CV45" i="2"/>
  <c r="CV42" i="2"/>
  <c r="CV40" i="2"/>
  <c r="CV38" i="2"/>
  <c r="CV37" i="2"/>
  <c r="CO45" i="2"/>
  <c r="CO42" i="2"/>
  <c r="CO40" i="2"/>
  <c r="CO38" i="2"/>
  <c r="CO37" i="2"/>
  <c r="CH45" i="2"/>
  <c r="CH42" i="2"/>
  <c r="CH40" i="2"/>
  <c r="CH38" i="2"/>
  <c r="CH37" i="2"/>
  <c r="CA45" i="2"/>
  <c r="CA42" i="2"/>
  <c r="CA40" i="2"/>
  <c r="CA38" i="2"/>
  <c r="CA37" i="2"/>
  <c r="BT45" i="2"/>
  <c r="BT42" i="2"/>
  <c r="BT40" i="2"/>
  <c r="BT38" i="2"/>
  <c r="BT37" i="2"/>
  <c r="BM45" i="2"/>
  <c r="BM42" i="2"/>
  <c r="BM40" i="2"/>
  <c r="BM38" i="2"/>
  <c r="BM37" i="2"/>
  <c r="BF45" i="2"/>
  <c r="BF42" i="2"/>
  <c r="BF40" i="2"/>
  <c r="BF38" i="2"/>
  <c r="BF37" i="2"/>
  <c r="AY45" i="2"/>
  <c r="AY42" i="2"/>
  <c r="AY40" i="2"/>
  <c r="AY38" i="2"/>
  <c r="AY37" i="2"/>
  <c r="W45" i="2"/>
  <c r="W42" i="2"/>
  <c r="W40" i="2"/>
  <c r="W39" i="2"/>
  <c r="W38" i="2"/>
  <c r="W37" i="2"/>
  <c r="P45" i="2"/>
  <c r="P42" i="2"/>
  <c r="P40" i="2"/>
  <c r="P39" i="2"/>
  <c r="P38" i="2"/>
  <c r="P37" i="2"/>
  <c r="I45" i="2"/>
  <c r="I42" i="2"/>
  <c r="I40" i="2"/>
  <c r="I39" i="2"/>
  <c r="I38" i="2"/>
  <c r="I37" i="2"/>
  <c r="W53" i="2"/>
  <c r="W55" i="2"/>
  <c r="W62" i="2"/>
  <c r="B55" i="2"/>
  <c r="BF16" i="2"/>
  <c r="BM16" i="2"/>
  <c r="BT16" i="2"/>
  <c r="CA16" i="2"/>
  <c r="CH16" i="2"/>
  <c r="CO16" i="2"/>
  <c r="CV16" i="2"/>
  <c r="DC16" i="2"/>
  <c r="BF17" i="2"/>
  <c r="BM17" i="2"/>
  <c r="BT17" i="2"/>
  <c r="CA17" i="2"/>
  <c r="CH17" i="2"/>
  <c r="CO17" i="2"/>
  <c r="CV17" i="2"/>
  <c r="DC17" i="2"/>
  <c r="BF28" i="2"/>
  <c r="BM28" i="2"/>
  <c r="CA28" i="2"/>
  <c r="CH28" i="2"/>
  <c r="DC28" i="2"/>
  <c r="BE30" i="2"/>
  <c r="BL30" i="2"/>
  <c r="BS30" i="2"/>
  <c r="BZ30" i="2"/>
  <c r="CG30" i="2"/>
  <c r="CN30" i="2"/>
  <c r="CQ30" i="2"/>
  <c r="CU30" i="2"/>
  <c r="DB30" i="2"/>
  <c r="AY17" i="2"/>
  <c r="AY16" i="2"/>
  <c r="AX30" i="2"/>
  <c r="W14" i="2"/>
  <c r="W15" i="2"/>
  <c r="W28" i="2"/>
  <c r="V30" i="2"/>
  <c r="P15" i="2"/>
  <c r="P14" i="2"/>
  <c r="H30" i="2"/>
  <c r="K30" i="2"/>
  <c r="D62" i="16"/>
  <c r="A3" i="22725"/>
  <c r="A3" i="3"/>
  <c r="C20" i="16"/>
  <c r="B20" i="16"/>
  <c r="C14" i="5"/>
  <c r="B42" i="22726" s="1"/>
  <c r="B14" i="5"/>
  <c r="B52" i="4"/>
  <c r="B51" i="4"/>
  <c r="F11" i="3"/>
  <c r="B54" i="22715" s="1"/>
  <c r="DG11" i="2"/>
  <c r="B15" i="2"/>
  <c r="B14" i="2"/>
  <c r="B4" i="22714"/>
  <c r="B16" i="22715"/>
  <c r="C16" i="22715" s="1"/>
  <c r="B15" i="22723"/>
  <c r="B14" i="22723"/>
  <c r="E47" i="16"/>
  <c r="B46" i="2"/>
  <c r="J35" i="3"/>
  <c r="J36" i="3"/>
  <c r="J37" i="3"/>
  <c r="J38" i="3"/>
  <c r="J40" i="3"/>
  <c r="J41" i="3"/>
  <c r="J43" i="3"/>
  <c r="B2" i="22714"/>
  <c r="B2" i="22725" s="1"/>
  <c r="P28" i="2"/>
  <c r="D65" i="16"/>
  <c r="E46" i="16"/>
  <c r="C68" i="16"/>
  <c r="B2" i="22715"/>
  <c r="B1" i="22714"/>
  <c r="W4" i="22723" s="1"/>
  <c r="A1" i="22726"/>
  <c r="A1" i="22723"/>
  <c r="B1" i="1"/>
  <c r="AR4" i="2" s="1"/>
  <c r="A1" i="2"/>
  <c r="A1" i="1"/>
  <c r="A2" i="1"/>
  <c r="B4" i="1"/>
  <c r="B45" i="16"/>
  <c r="I8" i="2" s="1"/>
  <c r="A2" i="4"/>
  <c r="A1" i="4"/>
  <c r="A2" i="3"/>
  <c r="A1" i="3"/>
  <c r="F2" i="22715"/>
  <c r="E50" i="16"/>
  <c r="E51" i="16"/>
  <c r="E52" i="16"/>
  <c r="E53" i="16"/>
  <c r="E54" i="16"/>
  <c r="E55" i="16"/>
  <c r="E56" i="16"/>
  <c r="E57" i="16"/>
  <c r="E58" i="16"/>
  <c r="E59" i="16"/>
  <c r="E60" i="16"/>
  <c r="E61" i="16"/>
  <c r="E48" i="16"/>
  <c r="E49" i="16"/>
  <c r="A1" i="22725"/>
  <c r="DB6" i="2"/>
  <c r="CU6" i="2"/>
  <c r="CN6" i="2"/>
  <c r="CG6" i="2"/>
  <c r="BZ6" i="2"/>
  <c r="BS6" i="2"/>
  <c r="BL6" i="2"/>
  <c r="BE6" i="2"/>
  <c r="AX6" i="2"/>
  <c r="AQ6" i="2"/>
  <c r="AJ6" i="2"/>
  <c r="AC6" i="2"/>
  <c r="V6" i="2"/>
  <c r="O6" i="2"/>
  <c r="H6" i="2"/>
  <c r="A6" i="2"/>
  <c r="DC11" i="2"/>
  <c r="CV11" i="2"/>
  <c r="CO11" i="2"/>
  <c r="CH11" i="2"/>
  <c r="CA11" i="2"/>
  <c r="BT11" i="2"/>
  <c r="BM11" i="2"/>
  <c r="BF11" i="2"/>
  <c r="AY11" i="2"/>
  <c r="AR11" i="2"/>
  <c r="AK11" i="2"/>
  <c r="AD11" i="2"/>
  <c r="W11" i="2"/>
  <c r="P11" i="2"/>
  <c r="I11" i="2"/>
  <c r="B11" i="2"/>
  <c r="P62" i="2"/>
  <c r="I62" i="2"/>
  <c r="B62" i="2"/>
  <c r="P55" i="2"/>
  <c r="I55" i="2"/>
  <c r="O30" i="2"/>
  <c r="A30" i="2"/>
  <c r="P53" i="2"/>
  <c r="I53" i="2"/>
  <c r="B53" i="2"/>
  <c r="B48" i="2"/>
  <c r="B45" i="2"/>
  <c r="B43" i="2"/>
  <c r="B42" i="2"/>
  <c r="B40" i="2"/>
  <c r="B39" i="2"/>
  <c r="B38" i="2"/>
  <c r="B37" i="2"/>
  <c r="I15" i="2"/>
  <c r="I14" i="2"/>
  <c r="DC9" i="2"/>
  <c r="CV9" i="2"/>
  <c r="CO9" i="2"/>
  <c r="CH9" i="2"/>
  <c r="CA9" i="2"/>
  <c r="BT9" i="2"/>
  <c r="BM9" i="2"/>
  <c r="BF9" i="2"/>
  <c r="AY9" i="2"/>
  <c r="AR9" i="2"/>
  <c r="AK9" i="2"/>
  <c r="AD9" i="2"/>
  <c r="W9" i="2"/>
  <c r="P9" i="2"/>
  <c r="I9" i="2"/>
  <c r="B9" i="2"/>
  <c r="B28" i="2"/>
  <c r="AY8" i="2"/>
  <c r="DC8" i="2"/>
  <c r="B59" i="3"/>
  <c r="A160" i="3" s="1"/>
  <c r="B38" i="3"/>
  <c r="A157" i="3" s="1"/>
  <c r="A95" i="3"/>
  <c r="G107" i="22715" s="1"/>
  <c r="G111" i="22715" s="1"/>
  <c r="A94" i="3"/>
  <c r="G106" i="22715"/>
  <c r="G110" i="22715" s="1"/>
  <c r="A121" i="3"/>
  <c r="G136" i="22715"/>
  <c r="A106" i="3"/>
  <c r="A113" i="3"/>
  <c r="G119" i="22715" s="1"/>
  <c r="B51" i="3"/>
  <c r="A100" i="3" s="1"/>
  <c r="A111" i="3" s="1"/>
  <c r="G117" i="22715" s="1"/>
  <c r="G123" i="22715" s="1"/>
  <c r="A104" i="3"/>
  <c r="A125" i="3"/>
  <c r="A126" i="3"/>
  <c r="G151" i="22715" s="1"/>
  <c r="G155" i="22715" s="1"/>
  <c r="A127" i="3"/>
  <c r="G152" i="22715"/>
  <c r="A91" i="3"/>
  <c r="A105" i="3"/>
  <c r="A103" i="3"/>
  <c r="A102" i="3"/>
  <c r="B53" i="3"/>
  <c r="A101" i="3" s="1"/>
  <c r="A119" i="3"/>
  <c r="G134" i="22715" s="1"/>
  <c r="G140" i="22715" s="1"/>
  <c r="A118" i="3"/>
  <c r="G133" i="22715" s="1"/>
  <c r="G139" i="22715" s="1"/>
  <c r="A28" i="3"/>
  <c r="A117" i="3" s="1"/>
  <c r="G132" i="22715" s="1"/>
  <c r="G138" i="22715" s="1"/>
  <c r="B11" i="3"/>
  <c r="B46" i="3"/>
  <c r="B15" i="3"/>
  <c r="B14" i="3"/>
  <c r="B43" i="3"/>
  <c r="B41" i="3"/>
  <c r="B40" i="3"/>
  <c r="B37" i="3"/>
  <c r="B36" i="3"/>
  <c r="B35" i="3"/>
  <c r="B9" i="3"/>
  <c r="C82" i="3" s="1"/>
  <c r="B8" i="3"/>
  <c r="C81" i="3" s="1"/>
  <c r="B68" i="16"/>
  <c r="B10" i="16"/>
  <c r="B1" i="16"/>
  <c r="D63" i="16"/>
  <c r="DC61" i="22723"/>
  <c r="CV61" i="22723"/>
  <c r="CO61" i="22723"/>
  <c r="CH61" i="22723"/>
  <c r="CA61" i="22723"/>
  <c r="BT61" i="22723"/>
  <c r="BM61" i="22723"/>
  <c r="BF61" i="22723"/>
  <c r="AY61" i="22723"/>
  <c r="AR61" i="22723"/>
  <c r="AK61" i="22723"/>
  <c r="AD61" i="22723"/>
  <c r="W61" i="22723"/>
  <c r="P61" i="22723"/>
  <c r="I61" i="22723"/>
  <c r="B61" i="22723"/>
  <c r="DC54" i="22723"/>
  <c r="CV54" i="22723"/>
  <c r="CO54" i="22723"/>
  <c r="CH54" i="22723"/>
  <c r="CA54" i="22723"/>
  <c r="BT54" i="22723"/>
  <c r="BM54" i="22723"/>
  <c r="BF54" i="22723"/>
  <c r="AY54" i="22723"/>
  <c r="AR54" i="22723"/>
  <c r="AK54" i="22723"/>
  <c r="AD54" i="22723"/>
  <c r="W54" i="22723"/>
  <c r="P54" i="22723"/>
  <c r="I54" i="22723"/>
  <c r="B54" i="22723"/>
  <c r="DC52" i="22723"/>
  <c r="CV52" i="22723"/>
  <c r="CO52" i="22723"/>
  <c r="CH52" i="22723"/>
  <c r="CA52" i="22723"/>
  <c r="BT52" i="22723"/>
  <c r="BM52" i="22723"/>
  <c r="BF52" i="22723"/>
  <c r="AY52" i="22723"/>
  <c r="AR52" i="22723"/>
  <c r="AK52" i="22723"/>
  <c r="AD52" i="22723"/>
  <c r="W52" i="22723"/>
  <c r="P52" i="22723"/>
  <c r="I52" i="22723"/>
  <c r="B52" i="22723"/>
  <c r="B44" i="22723"/>
  <c r="B42" i="22723"/>
  <c r="DC41" i="22723"/>
  <c r="CV41" i="22723"/>
  <c r="CO41" i="22723"/>
  <c r="CH41" i="22723"/>
  <c r="CA41" i="22723"/>
  <c r="BT41" i="22723"/>
  <c r="BM41" i="22723"/>
  <c r="BF41" i="22723"/>
  <c r="AY41" i="22723"/>
  <c r="AR41" i="22723"/>
  <c r="AK41" i="22723"/>
  <c r="AD41" i="22723"/>
  <c r="W41" i="22723"/>
  <c r="P41" i="22723"/>
  <c r="I41" i="22723"/>
  <c r="B41" i="22723"/>
  <c r="DC39" i="22723"/>
  <c r="CV39" i="22723"/>
  <c r="CO39" i="22723"/>
  <c r="CH39" i="22723"/>
  <c r="CA39" i="22723"/>
  <c r="BT39" i="22723"/>
  <c r="BM39" i="22723"/>
  <c r="BF39" i="22723"/>
  <c r="AY39" i="22723"/>
  <c r="AR39" i="22723"/>
  <c r="AK39" i="22723"/>
  <c r="AD39" i="22723"/>
  <c r="W39" i="22723"/>
  <c r="P39" i="22723"/>
  <c r="I39" i="22723"/>
  <c r="B39" i="22723"/>
  <c r="DC38" i="22723"/>
  <c r="CV38" i="22723"/>
  <c r="CO38" i="22723"/>
  <c r="CH38" i="22723"/>
  <c r="CA38" i="22723"/>
  <c r="BT38" i="22723"/>
  <c r="BM38" i="22723"/>
  <c r="BF38" i="22723"/>
  <c r="AY38" i="22723"/>
  <c r="AR38" i="22723"/>
  <c r="AK38" i="22723"/>
  <c r="AD38" i="22723"/>
  <c r="W38" i="22723"/>
  <c r="P38" i="22723"/>
  <c r="I38" i="22723"/>
  <c r="B38" i="22723"/>
  <c r="DC37" i="22723"/>
  <c r="CV37" i="22723"/>
  <c r="CO37" i="22723"/>
  <c r="CH37" i="22723"/>
  <c r="CA37" i="22723"/>
  <c r="BT37" i="22723"/>
  <c r="BM37" i="22723"/>
  <c r="BF37" i="22723"/>
  <c r="AY37" i="22723"/>
  <c r="AR37" i="22723"/>
  <c r="AK37" i="22723"/>
  <c r="AD37" i="22723"/>
  <c r="W37" i="22723"/>
  <c r="P37" i="22723"/>
  <c r="I37" i="22723"/>
  <c r="B37" i="22723"/>
  <c r="DC36" i="22723"/>
  <c r="CV36" i="22723"/>
  <c r="CO36" i="22723"/>
  <c r="CH36" i="22723"/>
  <c r="CA36" i="22723"/>
  <c r="BT36" i="22723"/>
  <c r="BM36" i="22723"/>
  <c r="BF36" i="22723"/>
  <c r="AY36" i="22723"/>
  <c r="AR36" i="22723"/>
  <c r="AK36" i="22723"/>
  <c r="AD36" i="22723"/>
  <c r="W36" i="22723"/>
  <c r="P36" i="22723"/>
  <c r="I36" i="22723"/>
  <c r="B36" i="22723"/>
  <c r="DB29" i="22723"/>
  <c r="CU29" i="22723"/>
  <c r="CN29" i="22723"/>
  <c r="CG29" i="22723"/>
  <c r="BZ29" i="22723"/>
  <c r="BS29" i="22723"/>
  <c r="BL29" i="22723"/>
  <c r="BE29" i="22723"/>
  <c r="AX29" i="22723"/>
  <c r="AQ29" i="22723"/>
  <c r="AJ29" i="22723"/>
  <c r="AC29" i="22723"/>
  <c r="V29" i="22723"/>
  <c r="O29" i="22723"/>
  <c r="H29" i="22723"/>
  <c r="A29" i="22723"/>
  <c r="B28" i="22723"/>
  <c r="CA28" i="22723"/>
  <c r="B57" i="22725"/>
  <c r="A158" i="22725" s="1"/>
  <c r="B38" i="22725"/>
  <c r="A155" i="22725" s="1"/>
  <c r="A93" i="22725"/>
  <c r="A92" i="22725"/>
  <c r="A89" i="22725"/>
  <c r="A125" i="22725"/>
  <c r="A124" i="22725"/>
  <c r="A123" i="22725"/>
  <c r="A119" i="22725"/>
  <c r="A117" i="22725"/>
  <c r="A116" i="22725"/>
  <c r="A28" i="22725"/>
  <c r="A115" i="22725" s="1"/>
  <c r="A111" i="22725"/>
  <c r="B49" i="22725"/>
  <c r="A98" i="22725" s="1"/>
  <c r="A109" i="22725" s="1"/>
  <c r="A104" i="22725"/>
  <c r="A103" i="22725"/>
  <c r="A102" i="22725"/>
  <c r="A101" i="22725"/>
  <c r="A100" i="22725"/>
  <c r="B51" i="22725"/>
  <c r="A99" i="22725" s="1"/>
  <c r="B11" i="22725"/>
  <c r="B43" i="22725"/>
  <c r="B41" i="22725"/>
  <c r="B40" i="22725"/>
  <c r="B37" i="22725"/>
  <c r="B36" i="22725"/>
  <c r="B35" i="22725"/>
  <c r="B15" i="22725"/>
  <c r="B14" i="22725"/>
  <c r="C20" i="5"/>
  <c r="B20" i="5"/>
  <c r="B10" i="5"/>
  <c r="C11" i="22728" s="1"/>
  <c r="E11" i="22728" s="1"/>
  <c r="A2" i="5"/>
  <c r="B1" i="5"/>
  <c r="G258" i="22715"/>
  <c r="G257" i="22715"/>
  <c r="G262" i="22715" s="1"/>
  <c r="G256" i="22715"/>
  <c r="G261" i="22715" s="1"/>
  <c r="G230" i="22715"/>
  <c r="G235" i="22715" s="1"/>
  <c r="G229" i="22715"/>
  <c r="G234" i="22715" s="1"/>
  <c r="G200" i="22715"/>
  <c r="G205" i="22715" s="1"/>
  <c r="G201" i="22715"/>
  <c r="G206" i="22715" s="1"/>
  <c r="G199" i="22715"/>
  <c r="G204" i="22715" s="1"/>
  <c r="G202" i="22715"/>
  <c r="G179" i="22715"/>
  <c r="G183" i="22715" s="1"/>
  <c r="G178" i="22715"/>
  <c r="G182" i="22715" s="1"/>
  <c r="G135" i="22715"/>
  <c r="G141" i="22715" s="1"/>
  <c r="G118" i="22715"/>
  <c r="G124" i="22715" s="1"/>
  <c r="G92" i="22715"/>
  <c r="G97" i="22715" s="1"/>
  <c r="G91" i="22715"/>
  <c r="G96" i="22715" s="1"/>
  <c r="G93" i="22715"/>
  <c r="G98" i="22715" s="1"/>
  <c r="G108" i="22715"/>
  <c r="B82" i="22715"/>
  <c r="B20" i="22715"/>
  <c r="C20" i="22715" s="1"/>
  <c r="B19" i="22715"/>
  <c r="C19" i="22715" s="1"/>
  <c r="B17" i="22715"/>
  <c r="C17" i="22715" s="1"/>
  <c r="B23" i="22715"/>
  <c r="C23" i="22715" s="1"/>
  <c r="B22" i="22715"/>
  <c r="C22" i="22715" s="1"/>
  <c r="I94" i="22715"/>
  <c r="G150" i="22715"/>
  <c r="G154" i="22715" s="1"/>
  <c r="E68" i="22714"/>
  <c r="CV28" i="22723"/>
  <c r="CH28" i="22723"/>
  <c r="BT28" i="22723"/>
  <c r="BF28" i="22723"/>
  <c r="AR28" i="22723"/>
  <c r="AD28" i="22723"/>
  <c r="P28" i="22723"/>
  <c r="L25" i="22723"/>
  <c r="S25" i="22723"/>
  <c r="D34" i="22723"/>
  <c r="K34" i="22723"/>
  <c r="R34" i="22723"/>
  <c r="Y34" i="22723"/>
  <c r="AF34" i="22723"/>
  <c r="AT34" i="22723"/>
  <c r="BH34" i="22723"/>
  <c r="BV34" i="22723"/>
  <c r="CJ34" i="22723"/>
  <c r="CX34" i="22723"/>
  <c r="AM34" i="22723"/>
  <c r="BA34" i="22723"/>
  <c r="BO34" i="22723"/>
  <c r="CC34" i="22723"/>
  <c r="CQ34" i="22723"/>
  <c r="DE34" i="22723"/>
  <c r="D90" i="1"/>
  <c r="D93" i="1"/>
  <c r="D95" i="1"/>
  <c r="E95" i="1" s="1"/>
  <c r="D97" i="1"/>
  <c r="D135" i="1"/>
  <c r="F102" i="22729"/>
  <c r="D99" i="1"/>
  <c r="E99" i="1" s="1"/>
  <c r="D100" i="1"/>
  <c r="D101" i="1"/>
  <c r="E101" i="1" s="1"/>
  <c r="D103" i="1"/>
  <c r="D102" i="1"/>
  <c r="E102" i="1" s="1"/>
  <c r="E60" i="2"/>
  <c r="E61" i="2"/>
  <c r="E52" i="2"/>
  <c r="E54" i="2"/>
  <c r="J62" i="2"/>
  <c r="AR28" i="2"/>
  <c r="D93" i="22728"/>
  <c r="CW25" i="22723" s="1"/>
  <c r="B94" i="22727"/>
  <c r="D94" i="22728"/>
  <c r="X26" i="2"/>
  <c r="U8" i="2"/>
  <c r="C104" i="22714"/>
  <c r="E42" i="22714"/>
  <c r="DC28" i="22723"/>
  <c r="AY28" i="22723"/>
  <c r="CO28" i="22723"/>
  <c r="BM28" i="22723"/>
  <c r="AK28" i="22723"/>
  <c r="W28" i="22723"/>
  <c r="I28" i="22723"/>
  <c r="R59" i="2"/>
  <c r="Y61" i="2"/>
  <c r="AT61" i="2"/>
  <c r="BA59" i="2"/>
  <c r="BV59" i="2"/>
  <c r="CC61" i="2"/>
  <c r="BV60" i="2"/>
  <c r="C131" i="1"/>
  <c r="DE59" i="2"/>
  <c r="CJ59" i="2"/>
  <c r="CC59" i="2"/>
  <c r="BH59" i="2"/>
  <c r="BA61" i="2"/>
  <c r="AF59" i="2"/>
  <c r="Y59" i="2"/>
  <c r="D59" i="2"/>
  <c r="AK4" i="22723"/>
  <c r="AD4" i="22723"/>
  <c r="BA10" i="2"/>
  <c r="H33" i="4" s="1"/>
  <c r="DE61" i="2"/>
  <c r="E45" i="3"/>
  <c r="DF47" i="2"/>
  <c r="BB47" i="2"/>
  <c r="CY47" i="2"/>
  <c r="AN47" i="2"/>
  <c r="CK42" i="2"/>
  <c r="BB43" i="2"/>
  <c r="AG43" i="2"/>
  <c r="E41" i="3"/>
  <c r="S43" i="2"/>
  <c r="D47" i="22732"/>
  <c r="E47" i="22732" s="1"/>
  <c r="D80" i="22714"/>
  <c r="CR45" i="2"/>
  <c r="L45" i="2"/>
  <c r="S45" i="2"/>
  <c r="BP46" i="2"/>
  <c r="E43" i="3"/>
  <c r="E46" i="2"/>
  <c r="F46" i="2" s="1"/>
  <c r="D44" i="22731"/>
  <c r="E44" i="22731" s="1"/>
  <c r="CK46" i="2"/>
  <c r="D83" i="1"/>
  <c r="D132" i="1" s="1"/>
  <c r="D79" i="22714"/>
  <c r="E79" i="22714" s="1"/>
  <c r="D46" i="22732"/>
  <c r="E46" i="22732" s="1"/>
  <c r="D68" i="22728"/>
  <c r="E68" i="22728" s="1"/>
  <c r="E38" i="3"/>
  <c r="AN40" i="2"/>
  <c r="DF40" i="2"/>
  <c r="AG40" i="2"/>
  <c r="Z40" i="2"/>
  <c r="CY40" i="2"/>
  <c r="BW40" i="2"/>
  <c r="CR40" i="2"/>
  <c r="BP40" i="2"/>
  <c r="E37" i="3"/>
  <c r="CK39" i="2"/>
  <c r="BI39" i="2"/>
  <c r="DF39" i="2"/>
  <c r="CD39" i="2"/>
  <c r="AU39" i="2"/>
  <c r="Z39" i="2"/>
  <c r="E39" i="2"/>
  <c r="CY39" i="2"/>
  <c r="BW39" i="2"/>
  <c r="BB39" i="2"/>
  <c r="S39" i="2"/>
  <c r="CR39" i="2"/>
  <c r="BP39" i="2"/>
  <c r="AG37" i="2"/>
  <c r="BI37" i="2"/>
  <c r="AU37" i="2"/>
  <c r="BW37" i="2"/>
  <c r="BP37" i="2"/>
  <c r="DD25" i="22723"/>
  <c r="CV8" i="2"/>
  <c r="BT8" i="2"/>
  <c r="B8" i="2"/>
  <c r="AD8" i="2"/>
  <c r="BF8" i="2"/>
  <c r="AM30" i="2"/>
  <c r="BA30" i="2"/>
  <c r="CX30" i="2"/>
  <c r="CJ30" i="2"/>
  <c r="BV30" i="2"/>
  <c r="D33" i="22725"/>
  <c r="BB52" i="2"/>
  <c r="AU52" i="2"/>
  <c r="AM35" i="2"/>
  <c r="AN53" i="2"/>
  <c r="AN60" i="2"/>
  <c r="AG51" i="2"/>
  <c r="Z54" i="2"/>
  <c r="Z61" i="2"/>
  <c r="S61" i="2"/>
  <c r="N8" i="2"/>
  <c r="K8" i="2" s="1"/>
  <c r="L52" i="2"/>
  <c r="F53" i="22729"/>
  <c r="H53" i="22729" s="1"/>
  <c r="AN35" i="2"/>
  <c r="D96" i="1"/>
  <c r="E96" i="1" s="1"/>
  <c r="D94" i="1"/>
  <c r="E94" i="1" s="1"/>
  <c r="D92" i="1"/>
  <c r="E92" i="1" s="1"/>
  <c r="D91" i="1"/>
  <c r="S54" i="2"/>
  <c r="S51" i="2"/>
  <c r="L53" i="2"/>
  <c r="L60" i="2"/>
  <c r="F109" i="22729"/>
  <c r="E55" i="2"/>
  <c r="L56" i="2"/>
  <c r="S57" i="2"/>
  <c r="AG55" i="2"/>
  <c r="AN56" i="2"/>
  <c r="AU57" i="2"/>
  <c r="BI55" i="2"/>
  <c r="BP56" i="2"/>
  <c r="BW57" i="2"/>
  <c r="CK55" i="2"/>
  <c r="CR56" i="2"/>
  <c r="CY57" i="2"/>
  <c r="E58" i="2"/>
  <c r="AG58" i="2"/>
  <c r="BI58" i="2"/>
  <c r="CK58" i="2"/>
  <c r="E54" i="3"/>
  <c r="L58" i="2"/>
  <c r="AN58" i="2"/>
  <c r="BP58" i="2"/>
  <c r="CR58" i="2"/>
  <c r="E55" i="3"/>
  <c r="E56" i="2"/>
  <c r="F56" i="2" s="1"/>
  <c r="S55" i="2"/>
  <c r="Z56" i="2"/>
  <c r="AG57" i="2"/>
  <c r="AU55" i="2"/>
  <c r="BB56" i="2"/>
  <c r="BI57" i="2"/>
  <c r="BW55" i="2"/>
  <c r="CD56" i="2"/>
  <c r="CK57" i="2"/>
  <c r="CY55" i="2"/>
  <c r="DF56" i="2"/>
  <c r="S58" i="2"/>
  <c r="AU58" i="2"/>
  <c r="BW58" i="2"/>
  <c r="CY58" i="2"/>
  <c r="E56" i="3"/>
  <c r="L55" i="2"/>
  <c r="S56" i="2"/>
  <c r="Z57" i="2"/>
  <c r="AN55" i="2"/>
  <c r="AU56" i="2"/>
  <c r="BB57" i="2"/>
  <c r="BP55" i="2"/>
  <c r="BW56" i="2"/>
  <c r="CD57" i="2"/>
  <c r="CR55" i="2"/>
  <c r="CY56" i="2"/>
  <c r="DF57" i="2"/>
  <c r="Z58" i="2"/>
  <c r="BB58" i="2"/>
  <c r="CD58" i="2"/>
  <c r="DF58" i="2"/>
  <c r="E35" i="2"/>
  <c r="AU35" i="2"/>
  <c r="L35" i="2"/>
  <c r="AG35" i="2"/>
  <c r="Z35" i="2"/>
  <c r="BB35" i="2"/>
  <c r="DF35" i="2"/>
  <c r="CK35" i="2"/>
  <c r="E33" i="3"/>
  <c r="BP35" i="2"/>
  <c r="CR35" i="2"/>
  <c r="BW35" i="2"/>
  <c r="C103" i="1"/>
  <c r="D47" i="22730"/>
  <c r="B86" i="22731"/>
  <c r="D98" i="1"/>
  <c r="E87" i="22732"/>
  <c r="L57" i="2"/>
  <c r="AG56" i="2"/>
  <c r="BB55" i="2"/>
  <c r="BP57" i="2"/>
  <c r="CK56" i="2"/>
  <c r="B5" i="22723"/>
  <c r="B79" i="16"/>
  <c r="B80" i="16" s="1"/>
  <c r="CF8" i="2" s="1"/>
  <c r="BR8" i="2"/>
  <c r="D86" i="22732"/>
  <c r="D87" i="22732"/>
  <c r="D88" i="22732"/>
  <c r="CK38" i="2"/>
  <c r="AN38" i="2"/>
  <c r="CD38" i="2"/>
  <c r="AG38" i="2"/>
  <c r="L38" i="2"/>
  <c r="CY38" i="2"/>
  <c r="BB38" i="2"/>
  <c r="E36" i="3"/>
  <c r="CR38" i="2"/>
  <c r="BP38" i="2"/>
  <c r="BI38" i="2"/>
  <c r="AU38" i="2"/>
  <c r="E38" i="2"/>
  <c r="S38" i="2"/>
  <c r="Z38" i="2"/>
  <c r="DF38" i="2"/>
  <c r="BW38" i="2"/>
  <c r="C104" i="1"/>
  <c r="E42" i="1"/>
  <c r="E38" i="22731"/>
  <c r="E64" i="22731" s="1"/>
  <c r="H30" i="22729"/>
  <c r="E144" i="1" s="1"/>
  <c r="D18" i="16"/>
  <c r="C103" i="22714"/>
  <c r="AT30" i="2"/>
  <c r="H44" i="22730"/>
  <c r="H47" i="22730" s="1"/>
  <c r="E147" i="22714" s="1"/>
  <c r="C74" i="16"/>
  <c r="AP9" i="2" s="1"/>
  <c r="K35" i="2"/>
  <c r="CC35" i="2"/>
  <c r="CJ35" i="2"/>
  <c r="D33" i="3"/>
  <c r="D35" i="2"/>
  <c r="AT35" i="2"/>
  <c r="BV35" i="2"/>
  <c r="CX35" i="2"/>
  <c r="R35" i="2"/>
  <c r="CQ35" i="2"/>
  <c r="AK8" i="2"/>
  <c r="W8" i="2"/>
  <c r="CA8" i="2"/>
  <c r="BO30" i="2"/>
  <c r="Y30" i="2"/>
  <c r="D30" i="2"/>
  <c r="AD28" i="2"/>
  <c r="BT28" i="2"/>
  <c r="CV28" i="2"/>
  <c r="AY28" i="2"/>
  <c r="I28" i="2"/>
  <c r="B26" i="3"/>
  <c r="AK28" i="2"/>
  <c r="H22" i="22729"/>
  <c r="E143" i="1" s="1"/>
  <c r="H82" i="22729"/>
  <c r="E27" i="1"/>
  <c r="E53" i="3"/>
  <c r="Z55" i="2"/>
  <c r="CR57" i="2"/>
  <c r="DF55" i="2"/>
  <c r="AN57" i="2"/>
  <c r="BT27" i="22723"/>
  <c r="CH27" i="22723"/>
  <c r="BF27" i="22723"/>
  <c r="B26" i="22725"/>
  <c r="B27" i="22723"/>
  <c r="AD27" i="22723"/>
  <c r="CV27" i="22723"/>
  <c r="W27" i="22723"/>
  <c r="BM27" i="22723"/>
  <c r="P27" i="22723"/>
  <c r="CO27" i="22723"/>
  <c r="AK27" i="22723"/>
  <c r="AR27" i="22723"/>
  <c r="CA27" i="22723"/>
  <c r="I27" i="22723"/>
  <c r="DC27" i="22723"/>
  <c r="AY27" i="22723"/>
  <c r="D81" i="22714"/>
  <c r="E81" i="22714" s="1"/>
  <c r="D10" i="22725"/>
  <c r="H98" i="22730" l="1"/>
  <c r="H101" i="22730" s="1"/>
  <c r="E159" i="22714" s="1"/>
  <c r="D106" i="22730"/>
  <c r="H106" i="22730" s="1"/>
  <c r="D106" i="22729"/>
  <c r="H106" i="22729" s="1"/>
  <c r="H98" i="22729"/>
  <c r="H101" i="22729" s="1"/>
  <c r="E159" i="1" s="1"/>
  <c r="E161" i="1" s="1"/>
  <c r="F160" i="1" s="1"/>
  <c r="H47" i="22729"/>
  <c r="E147" i="1" s="1"/>
  <c r="CW26" i="2"/>
  <c r="Q26" i="2"/>
  <c r="D94" i="22727"/>
  <c r="DD26" i="2" s="1"/>
  <c r="R30" i="2"/>
  <c r="CC30" i="2"/>
  <c r="L26" i="2"/>
  <c r="E94" i="22727"/>
  <c r="DF26" i="2" s="1"/>
  <c r="AE25" i="22723"/>
  <c r="H74" i="22730"/>
  <c r="E61" i="22731"/>
  <c r="E34" i="1"/>
  <c r="E32" i="1"/>
  <c r="E35" i="1" s="1"/>
  <c r="E22" i="1"/>
  <c r="E39" i="1"/>
  <c r="E13" i="1"/>
  <c r="E34" i="22714"/>
  <c r="E35" i="22714" s="1"/>
  <c r="E18" i="22714"/>
  <c r="E37" i="22714"/>
  <c r="C28" i="3"/>
  <c r="DE30" i="2"/>
  <c r="E44" i="22729"/>
  <c r="D48" i="22729" s="1"/>
  <c r="E23" i="1"/>
  <c r="E19" i="1"/>
  <c r="E28" i="1" s="1"/>
  <c r="E65" i="1"/>
  <c r="H102" i="22729"/>
  <c r="E160" i="1" s="1"/>
  <c r="E22" i="22714"/>
  <c r="E28" i="22714" s="1"/>
  <c r="E19" i="22714"/>
  <c r="E17" i="22714"/>
  <c r="E122" i="22714"/>
  <c r="E38" i="22714"/>
  <c r="H82" i="22730"/>
  <c r="E63" i="1"/>
  <c r="E56" i="1"/>
  <c r="E68" i="1"/>
  <c r="E103" i="1"/>
  <c r="E100" i="1"/>
  <c r="E97" i="1"/>
  <c r="E93" i="1"/>
  <c r="E30" i="1"/>
  <c r="E21" i="1"/>
  <c r="E63" i="22727"/>
  <c r="E40" i="1"/>
  <c r="E33" i="22727"/>
  <c r="E71" i="22727" s="1"/>
  <c r="E38" i="22732"/>
  <c r="E64" i="22732" s="1"/>
  <c r="E63" i="22714"/>
  <c r="E56" i="22714"/>
  <c r="E63" i="22728"/>
  <c r="E40" i="22714"/>
  <c r="E33" i="22728"/>
  <c r="E71" i="22728" s="1"/>
  <c r="X56" i="22723"/>
  <c r="AF54" i="22723"/>
  <c r="B78" i="5"/>
  <c r="BR8" i="22723" s="1"/>
  <c r="CB55" i="22723"/>
  <c r="CX54" i="22723"/>
  <c r="E8" i="22723"/>
  <c r="CS56" i="2"/>
  <c r="BJ55" i="2"/>
  <c r="AO47" i="2"/>
  <c r="F33" i="3"/>
  <c r="CO8" i="2"/>
  <c r="AR8" i="2"/>
  <c r="U9" i="2"/>
  <c r="C80" i="22727"/>
  <c r="K26" i="2" s="1"/>
  <c r="L51" i="2"/>
  <c r="E51" i="2"/>
  <c r="D104" i="1"/>
  <c r="E104" i="1" s="1"/>
  <c r="M56" i="2"/>
  <c r="BQ46" i="2"/>
  <c r="CZ47" i="2"/>
  <c r="Y8" i="2"/>
  <c r="AT9" i="2"/>
  <c r="M14" i="2"/>
  <c r="H54" i="22729"/>
  <c r="H55" i="22729" s="1"/>
  <c r="F48" i="22729"/>
  <c r="H48" i="22729" s="1"/>
  <c r="E148" i="1" s="1"/>
  <c r="D131" i="22714"/>
  <c r="BV60" i="22723"/>
  <c r="CO4" i="22723"/>
  <c r="E62" i="22730"/>
  <c r="D66" i="22730" s="1"/>
  <c r="H66" i="22730" s="1"/>
  <c r="BQ16" i="22723"/>
  <c r="D20" i="5"/>
  <c r="D51" i="22725"/>
  <c r="CE16" i="22723"/>
  <c r="AN62" i="22723"/>
  <c r="AO62" i="22723" s="1"/>
  <c r="AG62" i="22723"/>
  <c r="AH62" i="22723" s="1"/>
  <c r="K35" i="22725"/>
  <c r="A97" i="22725"/>
  <c r="A108" i="22725" s="1"/>
  <c r="B83" i="5"/>
  <c r="DA8" i="22723" s="1"/>
  <c r="C11" i="22714"/>
  <c r="E11" i="22714" s="1"/>
  <c r="E80" i="22714"/>
  <c r="DE60" i="22723"/>
  <c r="CX60" i="22723"/>
  <c r="CC60" i="22723"/>
  <c r="BJ17" i="22723"/>
  <c r="BA60" i="22723"/>
  <c r="Q18" i="22723"/>
  <c r="R51" i="22723"/>
  <c r="AU46" i="2"/>
  <c r="AV46" i="2" s="1"/>
  <c r="BW46" i="2"/>
  <c r="BX46" i="2" s="1"/>
  <c r="D39" i="22727"/>
  <c r="E39" i="22727" s="1"/>
  <c r="DF45" i="2"/>
  <c r="CK45" i="2"/>
  <c r="BP45" i="2"/>
  <c r="DF46" i="2"/>
  <c r="DG46" i="2" s="1"/>
  <c r="E45" i="2"/>
  <c r="BB46" i="2"/>
  <c r="BC46" i="2" s="1"/>
  <c r="D39" i="22728"/>
  <c r="E39" i="22728" s="1"/>
  <c r="E43" i="22728" s="1"/>
  <c r="D44" i="22732"/>
  <c r="E44" i="22732" s="1"/>
  <c r="D83" i="22714"/>
  <c r="D67" i="22728"/>
  <c r="E67" i="22728" s="1"/>
  <c r="C79" i="16"/>
  <c r="C80" i="16" s="1"/>
  <c r="C81" i="16" s="1"/>
  <c r="C73" i="22731"/>
  <c r="L8" i="2"/>
  <c r="L34" i="22723"/>
  <c r="M34" i="22723" s="1"/>
  <c r="BI34" i="22723"/>
  <c r="S34" i="22723"/>
  <c r="T34" i="22723" s="1"/>
  <c r="AN34" i="22723"/>
  <c r="AO34" i="22723" s="1"/>
  <c r="AG34" i="22723"/>
  <c r="AH34" i="22723" s="1"/>
  <c r="E34" i="22723"/>
  <c r="F34" i="22723" s="1"/>
  <c r="DF34" i="22723"/>
  <c r="DG34" i="22723" s="1"/>
  <c r="BP34" i="22723"/>
  <c r="BQ34" i="22723" s="1"/>
  <c r="CR34" i="22723"/>
  <c r="CS34" i="22723" s="1"/>
  <c r="CY34" i="22723"/>
  <c r="CD34" i="22723"/>
  <c r="CE34" i="22723" s="1"/>
  <c r="Z34" i="22723"/>
  <c r="AA34" i="22723" s="1"/>
  <c r="CK34" i="22723"/>
  <c r="CL34" i="22723" s="1"/>
  <c r="AU34" i="22723"/>
  <c r="E33" i="22725"/>
  <c r="F33" i="22725" s="1"/>
  <c r="BW34" i="22723"/>
  <c r="BX34" i="22723" s="1"/>
  <c r="BB34" i="22723"/>
  <c r="BC34" i="22723" s="1"/>
  <c r="BO54" i="22723"/>
  <c r="DE54" i="22723"/>
  <c r="AM54" i="22723"/>
  <c r="BA54" i="22723"/>
  <c r="C18" i="3"/>
  <c r="C37" i="3" s="1"/>
  <c r="K37" i="3" s="1"/>
  <c r="F45" i="3"/>
  <c r="C190" i="16"/>
  <c r="E166" i="1" s="1"/>
  <c r="C58" i="3"/>
  <c r="C60" i="2"/>
  <c r="J60" i="2"/>
  <c r="Q59" i="2"/>
  <c r="AE61" i="2"/>
  <c r="AS59" i="2"/>
  <c r="AZ60" i="2"/>
  <c r="BG61" i="2"/>
  <c r="BU59" i="2"/>
  <c r="CB60" i="2"/>
  <c r="CI61" i="2"/>
  <c r="CW59" i="2"/>
  <c r="E165" i="1"/>
  <c r="C57" i="3"/>
  <c r="C59" i="2"/>
  <c r="J59" i="2"/>
  <c r="X61" i="2"/>
  <c r="AA61" i="2" s="1"/>
  <c r="AE60" i="2"/>
  <c r="AL61" i="2"/>
  <c r="AZ59" i="2"/>
  <c r="BG60" i="2"/>
  <c r="BJ60" i="2" s="1"/>
  <c r="BN61" i="2"/>
  <c r="CB59" i="2"/>
  <c r="CI60" i="2"/>
  <c r="CP61" i="2"/>
  <c r="CS61" i="2" s="1"/>
  <c r="DD61" i="2"/>
  <c r="DG61" i="2" s="1"/>
  <c r="Q61" i="2"/>
  <c r="X60" i="2"/>
  <c r="AE59" i="2"/>
  <c r="AL60" i="2"/>
  <c r="AS61" i="2"/>
  <c r="AV61" i="2" s="1"/>
  <c r="BG59" i="2"/>
  <c r="BN60" i="2"/>
  <c r="BQ60" i="2" s="1"/>
  <c r="BU61" i="2"/>
  <c r="CI59" i="2"/>
  <c r="CP60" i="2"/>
  <c r="CW61" i="2"/>
  <c r="DD60" i="2"/>
  <c r="E167" i="1"/>
  <c r="E170" i="1" s="1"/>
  <c r="DG58" i="2"/>
  <c r="CE56" i="2"/>
  <c r="AO58" i="2"/>
  <c r="BC43" i="2"/>
  <c r="AF62" i="2"/>
  <c r="AE41" i="2" s="1"/>
  <c r="CZ15" i="2"/>
  <c r="CS14" i="2"/>
  <c r="DE62" i="2"/>
  <c r="DD41" i="2" s="1"/>
  <c r="DE40" i="2" s="1"/>
  <c r="DG40" i="2" s="1"/>
  <c r="M15" i="2"/>
  <c r="CL38" i="2"/>
  <c r="BX55" i="2"/>
  <c r="AH57" i="2"/>
  <c r="AO53" i="2"/>
  <c r="DG47" i="2"/>
  <c r="DG53" i="2"/>
  <c r="CS53" i="2"/>
  <c r="BC63" i="2"/>
  <c r="AA53" i="2"/>
  <c r="BJ57" i="2"/>
  <c r="AF9" i="2"/>
  <c r="AH29" i="2" s="1"/>
  <c r="CZ55" i="2"/>
  <c r="CS58" i="2"/>
  <c r="AA58" i="2"/>
  <c r="CL57" i="2"/>
  <c r="BC56" i="2"/>
  <c r="T55" i="2"/>
  <c r="BQ58" i="2"/>
  <c r="DG63" i="2"/>
  <c r="CE63" i="2"/>
  <c r="BJ16" i="22723"/>
  <c r="CD35" i="2"/>
  <c r="CE35" i="2" s="1"/>
  <c r="BI56" i="2"/>
  <c r="T43" i="2"/>
  <c r="K60" i="2"/>
  <c r="AO57" i="2"/>
  <c r="BC38" i="2"/>
  <c r="BK10" i="2"/>
  <c r="H110" i="22729"/>
  <c r="AH56" i="2"/>
  <c r="R60" i="2"/>
  <c r="T60" i="2" s="1"/>
  <c r="R8" i="2"/>
  <c r="DG57" i="2"/>
  <c r="F56" i="3"/>
  <c r="T58" i="2"/>
  <c r="T57" i="2"/>
  <c r="BC47" i="2"/>
  <c r="Y60" i="2"/>
  <c r="B2" i="3"/>
  <c r="CZ16" i="2"/>
  <c r="CL63" i="2"/>
  <c r="BC16" i="2"/>
  <c r="K9" i="2"/>
  <c r="M29" i="2" s="1"/>
  <c r="E118" i="1"/>
  <c r="AO63" i="2"/>
  <c r="CS63" i="2"/>
  <c r="AA38" i="2"/>
  <c r="BH62" i="2"/>
  <c r="BG41" i="2" s="1"/>
  <c r="BH40" i="2" s="1"/>
  <c r="CJ62" i="2"/>
  <c r="CI41" i="2" s="1"/>
  <c r="BX35" i="2"/>
  <c r="BR10" i="2"/>
  <c r="CH4" i="2"/>
  <c r="BX56" i="2"/>
  <c r="BJ58" i="2"/>
  <c r="C120" i="1"/>
  <c r="E120" i="1" s="1"/>
  <c r="L62" i="2"/>
  <c r="CH8" i="2"/>
  <c r="P8" i="2"/>
  <c r="D20" i="16"/>
  <c r="BC14" i="2"/>
  <c r="AM8" i="2"/>
  <c r="AO30" i="2" s="1"/>
  <c r="AO31" i="2" s="1"/>
  <c r="CZ56" i="2"/>
  <c r="BQ55" i="2"/>
  <c r="AH58" i="2"/>
  <c r="BM8" i="2"/>
  <c r="CE53" i="2"/>
  <c r="C1" i="4"/>
  <c r="AM62" i="2"/>
  <c r="CJ40" i="2"/>
  <c r="BY8" i="2"/>
  <c r="BV8" i="2" s="1"/>
  <c r="BX30" i="2" s="1"/>
  <c r="AA55" i="2"/>
  <c r="CV4" i="2"/>
  <c r="BC57" i="2"/>
  <c r="T56" i="2"/>
  <c r="AA56" i="2"/>
  <c r="B5" i="2"/>
  <c r="K61" i="2"/>
  <c r="M61" i="2" s="1"/>
  <c r="AM61" i="2"/>
  <c r="BO59" i="2"/>
  <c r="CQ61" i="2"/>
  <c r="BX60" i="2"/>
  <c r="BO61" i="2"/>
  <c r="AM59" i="2"/>
  <c r="K59" i="2"/>
  <c r="W4" i="2"/>
  <c r="BJ14" i="2"/>
  <c r="AV16" i="2"/>
  <c r="AT62" i="2"/>
  <c r="CC54" i="2"/>
  <c r="CE54" i="2" s="1"/>
  <c r="CJ54" i="2"/>
  <c r="CA4" i="2"/>
  <c r="AM9" i="2"/>
  <c r="AO29" i="2" s="1"/>
  <c r="CE57" i="2"/>
  <c r="AV56" i="2"/>
  <c r="CL58" i="2"/>
  <c r="D57" i="3"/>
  <c r="F57" i="3" s="1"/>
  <c r="R61" i="2"/>
  <c r="AT59" i="2"/>
  <c r="BV61" i="2"/>
  <c r="CX61" i="2"/>
  <c r="CJ61" i="2"/>
  <c r="BH61" i="2"/>
  <c r="AF61" i="2"/>
  <c r="CS16" i="2"/>
  <c r="CE16" i="2"/>
  <c r="AO16" i="2"/>
  <c r="AT8" i="2"/>
  <c r="G10" i="2"/>
  <c r="F63" i="2"/>
  <c r="D61" i="2"/>
  <c r="F61" i="2" s="1"/>
  <c r="J18" i="2"/>
  <c r="J39" i="2" s="1"/>
  <c r="K44" i="2" s="1"/>
  <c r="Q16" i="2"/>
  <c r="Q39" i="2" s="1"/>
  <c r="R51" i="2" s="1"/>
  <c r="T51" i="2" s="1"/>
  <c r="X16" i="2"/>
  <c r="AT54" i="2"/>
  <c r="BH8" i="2"/>
  <c r="BJ30" i="2" s="1"/>
  <c r="BA9" i="2"/>
  <c r="BC29" i="2" s="1"/>
  <c r="D50" i="3"/>
  <c r="F50" i="3" s="1"/>
  <c r="CJ52" i="2"/>
  <c r="CL52" i="2" s="1"/>
  <c r="BA52" i="2"/>
  <c r="BC52" i="2" s="1"/>
  <c r="D18" i="5"/>
  <c r="E8" i="22730"/>
  <c r="D13" i="22730" s="1"/>
  <c r="H13" i="22730" s="1"/>
  <c r="CS55" i="2"/>
  <c r="AO55" i="2"/>
  <c r="AV55" i="2"/>
  <c r="DG55" i="2"/>
  <c r="CL54" i="2"/>
  <c r="BP59" i="2"/>
  <c r="BB62" i="2"/>
  <c r="Z62" i="2"/>
  <c r="AA30" i="2"/>
  <c r="E10" i="2"/>
  <c r="BG55" i="22723"/>
  <c r="AL56" i="22723"/>
  <c r="J55" i="22723"/>
  <c r="AZ45" i="22723"/>
  <c r="AE56" i="22723"/>
  <c r="CW55" i="22723"/>
  <c r="CB56" i="22723"/>
  <c r="Q55" i="22723"/>
  <c r="BU55" i="22723"/>
  <c r="BN56" i="22723"/>
  <c r="CI55" i="22723"/>
  <c r="BU56" i="22723"/>
  <c r="B81" i="5"/>
  <c r="CM8" i="22723" s="1"/>
  <c r="B84" i="5"/>
  <c r="DH8" i="22723" s="1"/>
  <c r="B82" i="5"/>
  <c r="CT8" i="22723" s="1"/>
  <c r="BK8" i="22723"/>
  <c r="B79" i="5"/>
  <c r="BY8" i="22723" s="1"/>
  <c r="E31" i="22725"/>
  <c r="F31" i="22725" s="1"/>
  <c r="B80" i="5"/>
  <c r="CF8" i="22723" s="1"/>
  <c r="CZ16" i="22723"/>
  <c r="BQ17" i="22723"/>
  <c r="B77" i="5"/>
  <c r="C35" i="5"/>
  <c r="AU61" i="22723" s="1"/>
  <c r="DF62" i="22723"/>
  <c r="DG62" i="22723" s="1"/>
  <c r="BP62" i="22723"/>
  <c r="BQ62" i="22723" s="1"/>
  <c r="A1" i="22714"/>
  <c r="A1" i="22727"/>
  <c r="BG57" i="22723"/>
  <c r="BG45" i="22723"/>
  <c r="C46" i="22723"/>
  <c r="C2" i="4"/>
  <c r="D63" i="22729"/>
  <c r="D67" i="22729" s="1"/>
  <c r="H67" i="22729" s="1"/>
  <c r="D65" i="22729"/>
  <c r="H65" i="22729" s="1"/>
  <c r="D66" i="22729"/>
  <c r="H66" i="22729" s="1"/>
  <c r="F14" i="3"/>
  <c r="F41" i="3"/>
  <c r="K41" i="3"/>
  <c r="F54" i="3"/>
  <c r="F16" i="3"/>
  <c r="CS16" i="22723"/>
  <c r="CL16" i="22723"/>
  <c r="AV17" i="22723"/>
  <c r="J16" i="22723"/>
  <c r="J38" i="22723" s="1"/>
  <c r="AS18" i="22723"/>
  <c r="AS38" i="22723" s="1"/>
  <c r="AT50" i="22723" s="1"/>
  <c r="CQ53" i="22723"/>
  <c r="CX53" i="22723"/>
  <c r="E119" i="22714"/>
  <c r="K40" i="22725"/>
  <c r="BQ59" i="2"/>
  <c r="E57" i="2"/>
  <c r="F57" i="2" s="1"/>
  <c r="C37" i="5"/>
  <c r="E53" i="22725" s="1"/>
  <c r="A99" i="3"/>
  <c r="A110" i="3" s="1"/>
  <c r="G116" i="22715" s="1"/>
  <c r="G122" i="22715" s="1"/>
  <c r="F53" i="3"/>
  <c r="B101" i="3" s="1"/>
  <c r="F60" i="3"/>
  <c r="B102" i="3" s="1"/>
  <c r="M38" i="2"/>
  <c r="CE58" i="2"/>
  <c r="DG56" i="2"/>
  <c r="M58" i="2"/>
  <c r="AV57" i="2"/>
  <c r="N10" i="2"/>
  <c r="BC58" i="2"/>
  <c r="BX57" i="2"/>
  <c r="F55" i="2"/>
  <c r="AA60" i="2"/>
  <c r="CL55" i="2"/>
  <c r="M53" i="2"/>
  <c r="BO9" i="2"/>
  <c r="AF40" i="2"/>
  <c r="AH40" i="2" s="1"/>
  <c r="CZ57" i="2"/>
  <c r="BQ56" i="2"/>
  <c r="BJ61" i="2"/>
  <c r="DG16" i="2"/>
  <c r="DG14" i="2"/>
  <c r="CZ17" i="2"/>
  <c r="CL15" i="2"/>
  <c r="CE14" i="2"/>
  <c r="BX17" i="2"/>
  <c r="BX15" i="2"/>
  <c r="BQ16" i="2"/>
  <c r="BQ14" i="2"/>
  <c r="AH17" i="2"/>
  <c r="D46" i="22731"/>
  <c r="E46" i="22731" s="1"/>
  <c r="D79" i="1"/>
  <c r="D41" i="22727"/>
  <c r="E41" i="22727" s="1"/>
  <c r="D68" i="22727"/>
  <c r="E68" i="22727" s="1"/>
  <c r="E169" i="1"/>
  <c r="E164" i="1"/>
  <c r="BH30" i="2"/>
  <c r="E124" i="1"/>
  <c r="E75" i="1"/>
  <c r="F31" i="3"/>
  <c r="DG17" i="2"/>
  <c r="DG15" i="2"/>
  <c r="CZ14" i="2"/>
  <c r="CZ18" i="2" s="1"/>
  <c r="BX16" i="2"/>
  <c r="BX14" i="2"/>
  <c r="AO14" i="2"/>
  <c r="AH16" i="2"/>
  <c r="AH14" i="2"/>
  <c r="M63" i="2"/>
  <c r="BO62" i="2"/>
  <c r="BN41" i="2" s="1"/>
  <c r="BO40" i="2" s="1"/>
  <c r="E62" i="16"/>
  <c r="AV17" i="2"/>
  <c r="AV15" i="2"/>
  <c r="AA14" i="2"/>
  <c r="E122" i="1"/>
  <c r="E9" i="1"/>
  <c r="BX53" i="2"/>
  <c r="CZ53" i="2"/>
  <c r="Y54" i="2"/>
  <c r="AA54" i="2" s="1"/>
  <c r="BH54" i="2"/>
  <c r="BJ54" i="2" s="1"/>
  <c r="BV62" i="2"/>
  <c r="BT64" i="2" s="1"/>
  <c r="CI18" i="2"/>
  <c r="CI39" i="2" s="1"/>
  <c r="CJ51" i="2" s="1"/>
  <c r="CL51" i="2" s="1"/>
  <c r="CX54" i="2"/>
  <c r="CZ54" i="2" s="1"/>
  <c r="DE54" i="2"/>
  <c r="DG54" i="2" s="1"/>
  <c r="F17" i="3"/>
  <c r="F15" i="3"/>
  <c r="AA63" i="2"/>
  <c r="I37" i="4"/>
  <c r="AL18" i="2"/>
  <c r="AL39" i="2" s="1"/>
  <c r="AM51" i="2" s="1"/>
  <c r="AO51" i="2" s="1"/>
  <c r="BA54" i="2"/>
  <c r="BC54" i="2" s="1"/>
  <c r="BV54" i="2"/>
  <c r="BX54" i="2" s="1"/>
  <c r="CQ62" i="2"/>
  <c r="BH9" i="2"/>
  <c r="BJ29" i="2" s="1"/>
  <c r="BJ31" i="2" s="1"/>
  <c r="H36" i="4"/>
  <c r="I36" i="4" s="1"/>
  <c r="M57" i="2"/>
  <c r="CZ58" i="2"/>
  <c r="F55" i="3"/>
  <c r="CL42" i="2"/>
  <c r="DE60" i="2"/>
  <c r="DG60" i="2" s="1"/>
  <c r="AF60" i="2"/>
  <c r="C68" i="5"/>
  <c r="CS57" i="2"/>
  <c r="C45" i="5"/>
  <c r="AY9" i="22723" s="1"/>
  <c r="B1" i="3"/>
  <c r="AD4" i="2"/>
  <c r="C32" i="22715"/>
  <c r="E79" i="1"/>
  <c r="BQ57" i="2"/>
  <c r="J8" i="2"/>
  <c r="BX58" i="2"/>
  <c r="F58" i="2"/>
  <c r="AO56" i="2"/>
  <c r="CL46" i="2"/>
  <c r="H35" i="4"/>
  <c r="I35" i="4" s="1"/>
  <c r="CC60" i="2"/>
  <c r="AT60" i="2"/>
  <c r="CX60" i="2"/>
  <c r="CZ60" i="2" s="1"/>
  <c r="AW10" i="2"/>
  <c r="BO60" i="2"/>
  <c r="G2" i="22715"/>
  <c r="BQ63" i="2"/>
  <c r="AO17" i="2"/>
  <c r="AO15" i="2"/>
  <c r="AA15" i="2"/>
  <c r="AH53" i="2"/>
  <c r="AV63" i="2"/>
  <c r="BX63" i="2"/>
  <c r="CL53" i="2"/>
  <c r="CZ63" i="2"/>
  <c r="D62" i="2"/>
  <c r="R54" i="2"/>
  <c r="T54" i="2" s="1"/>
  <c r="Y62" i="2"/>
  <c r="AD64" i="2"/>
  <c r="CL56" i="2"/>
  <c r="AA57" i="2"/>
  <c r="CJ60" i="2"/>
  <c r="CL60" i="2" s="1"/>
  <c r="AM60" i="2"/>
  <c r="AO60" i="2" s="1"/>
  <c r="P4" i="2"/>
  <c r="BO8" i="2"/>
  <c r="BQ30" i="2" s="1"/>
  <c r="BC55" i="2"/>
  <c r="AV58" i="2"/>
  <c r="AH55" i="2"/>
  <c r="H109" i="22729"/>
  <c r="AH43" i="2"/>
  <c r="BA60" i="2"/>
  <c r="BH60" i="2"/>
  <c r="D58" i="3"/>
  <c r="CX59" i="2"/>
  <c r="CQ60" i="2"/>
  <c r="CS60" i="2" s="1"/>
  <c r="K62" i="2"/>
  <c r="J41" i="2" s="1"/>
  <c r="K40" i="2" s="1"/>
  <c r="CS17" i="2"/>
  <c r="CE17" i="2"/>
  <c r="BQ15" i="2"/>
  <c r="BC53" i="2"/>
  <c r="Y9" i="2"/>
  <c r="F15" i="2"/>
  <c r="E121" i="1"/>
  <c r="CC62" i="2"/>
  <c r="D52" i="3"/>
  <c r="F52" i="3" s="1"/>
  <c r="B104" i="3" s="1"/>
  <c r="J9" i="2"/>
  <c r="C14" i="22727"/>
  <c r="E14" i="22727" s="1"/>
  <c r="C11" i="22727"/>
  <c r="AG42" i="2"/>
  <c r="AH42" i="2" s="1"/>
  <c r="E40" i="3"/>
  <c r="F40" i="3" s="1"/>
  <c r="S42" i="2"/>
  <c r="T42" i="2" s="1"/>
  <c r="BI42" i="2"/>
  <c r="BJ42" i="2" s="1"/>
  <c r="AU42" i="2"/>
  <c r="AV42" i="2" s="1"/>
  <c r="Z42" i="2"/>
  <c r="AA42" i="2" s="1"/>
  <c r="CY42" i="2"/>
  <c r="CZ42" i="2" s="1"/>
  <c r="CR42" i="2"/>
  <c r="CS42" i="2" s="1"/>
  <c r="AN42" i="2"/>
  <c r="AO42" i="2" s="1"/>
  <c r="L42" i="2"/>
  <c r="M42" i="2" s="1"/>
  <c r="BW42" i="2"/>
  <c r="BX42" i="2" s="1"/>
  <c r="BP42" i="2"/>
  <c r="BQ42" i="2" s="1"/>
  <c r="DF42" i="2"/>
  <c r="DG42" i="2" s="1"/>
  <c r="AP10" i="2"/>
  <c r="I41" i="4"/>
  <c r="D85" i="16"/>
  <c r="CR37" i="2"/>
  <c r="CY37" i="2"/>
  <c r="CD37" i="2"/>
  <c r="CK37" i="2"/>
  <c r="BB42" i="2"/>
  <c r="BC42" i="2" s="1"/>
  <c r="AV30" i="2"/>
  <c r="B1" i="2"/>
  <c r="AK4" i="2"/>
  <c r="CO4" i="2"/>
  <c r="BT4" i="2"/>
  <c r="B1" i="22715"/>
  <c r="AY4" i="2"/>
  <c r="DC4" i="2"/>
  <c r="BF4" i="2"/>
  <c r="I4" i="2"/>
  <c r="BM4" i="2"/>
  <c r="F51" i="3"/>
  <c r="B100" i="3" s="1"/>
  <c r="B111" i="3" s="1"/>
  <c r="H117" i="22715" s="1"/>
  <c r="CK40" i="2"/>
  <c r="CD40" i="2"/>
  <c r="L40" i="2"/>
  <c r="BB40" i="2"/>
  <c r="BI40" i="2"/>
  <c r="BJ40" i="2" s="1"/>
  <c r="AU40" i="2"/>
  <c r="E40" i="2"/>
  <c r="BW45" i="2"/>
  <c r="AG46" i="2"/>
  <c r="AH46" i="2" s="1"/>
  <c r="AN46" i="2"/>
  <c r="AO46" i="2" s="1"/>
  <c r="AU45" i="2"/>
  <c r="D82" i="1"/>
  <c r="CR46" i="2"/>
  <c r="CS46" i="2" s="1"/>
  <c r="D81" i="1"/>
  <c r="E81" i="1" s="1"/>
  <c r="BI45" i="2"/>
  <c r="CD45" i="2"/>
  <c r="E44" i="3"/>
  <c r="F44" i="3" s="1"/>
  <c r="BI46" i="2"/>
  <c r="BJ46" i="2" s="1"/>
  <c r="Z45" i="2"/>
  <c r="AN45" i="2"/>
  <c r="S46" i="2"/>
  <c r="T46" i="2" s="1"/>
  <c r="Z46" i="2"/>
  <c r="AA46" i="2" s="1"/>
  <c r="CD46" i="2"/>
  <c r="CE46" i="2" s="1"/>
  <c r="D67" i="22727"/>
  <c r="E67" i="22727" s="1"/>
  <c r="E69" i="22727" s="1"/>
  <c r="E74" i="22727" s="1"/>
  <c r="L46" i="2"/>
  <c r="M46" i="2" s="1"/>
  <c r="AG45" i="2"/>
  <c r="CY46" i="2"/>
  <c r="CZ46" i="2" s="1"/>
  <c r="BB45" i="2"/>
  <c r="I27" i="4"/>
  <c r="B81" i="16"/>
  <c r="CM8" i="2" s="1"/>
  <c r="CJ8" i="2" s="1"/>
  <c r="BY9" i="2"/>
  <c r="BV9" i="2" s="1"/>
  <c r="BU9" i="2" s="1"/>
  <c r="AH62" i="2"/>
  <c r="F35" i="2"/>
  <c r="M35" i="2"/>
  <c r="D86" i="16"/>
  <c r="D30" i="3"/>
  <c r="BI35" i="2"/>
  <c r="CY35" i="2"/>
  <c r="CZ35" i="2" s="1"/>
  <c r="S35" i="2"/>
  <c r="T35" i="2" s="1"/>
  <c r="S37" i="2"/>
  <c r="E37" i="2"/>
  <c r="DF37" i="2"/>
  <c r="E35" i="3"/>
  <c r="E42" i="2"/>
  <c r="F42" i="2" s="1"/>
  <c r="D131" i="1"/>
  <c r="E131" i="1" s="1"/>
  <c r="E78" i="1"/>
  <c r="L59" i="2"/>
  <c r="M59" i="2" s="1"/>
  <c r="E62" i="2"/>
  <c r="S59" i="2"/>
  <c r="T59" i="2" s="1"/>
  <c r="S62" i="2"/>
  <c r="AN59" i="2"/>
  <c r="AO59" i="2" s="1"/>
  <c r="AU62" i="2"/>
  <c r="AV62" i="2" s="1"/>
  <c r="BI62" i="2"/>
  <c r="BJ62" i="2" s="1"/>
  <c r="BW62" i="2"/>
  <c r="CD62" i="2"/>
  <c r="CK62" i="2"/>
  <c r="CR62" i="2"/>
  <c r="CY62" i="2"/>
  <c r="DF62" i="2"/>
  <c r="DG62" i="2" s="1"/>
  <c r="E59" i="3"/>
  <c r="E59" i="2"/>
  <c r="AG59" i="2"/>
  <c r="AN62" i="2"/>
  <c r="AO62" i="2" s="1"/>
  <c r="BB59" i="2"/>
  <c r="BC59" i="2" s="1"/>
  <c r="BI59" i="2"/>
  <c r="BJ59" i="2" s="1"/>
  <c r="BW59" i="2"/>
  <c r="CD59" i="2"/>
  <c r="CK59" i="2"/>
  <c r="CR59" i="2"/>
  <c r="CS59" i="2" s="1"/>
  <c r="CY59" i="2"/>
  <c r="DF59" i="2"/>
  <c r="DG59" i="2" s="1"/>
  <c r="Z59" i="2"/>
  <c r="AA59" i="2" s="1"/>
  <c r="AU59" i="2"/>
  <c r="BP62" i="2"/>
  <c r="H28" i="4"/>
  <c r="I28" i="4" s="1"/>
  <c r="R62" i="2"/>
  <c r="Q41" i="2" s="1"/>
  <c r="R9" i="2"/>
  <c r="Q9" i="2" s="1"/>
  <c r="L47" i="2"/>
  <c r="M47" i="2" s="1"/>
  <c r="Z47" i="2"/>
  <c r="AA47" i="2" s="1"/>
  <c r="CR47" i="2"/>
  <c r="CS47" i="2" s="1"/>
  <c r="AU47" i="2"/>
  <c r="AV47" i="2" s="1"/>
  <c r="CK47" i="2"/>
  <c r="CL47" i="2" s="1"/>
  <c r="E47" i="2"/>
  <c r="F47" i="2" s="1"/>
  <c r="D80" i="1"/>
  <c r="E80" i="1" s="1"/>
  <c r="CD47" i="2"/>
  <c r="CE47" i="2" s="1"/>
  <c r="AG47" i="2"/>
  <c r="AH47" i="2" s="1"/>
  <c r="BW47" i="2"/>
  <c r="BX47" i="2" s="1"/>
  <c r="D47" i="22731"/>
  <c r="E47" i="22731" s="1"/>
  <c r="D42" i="22727"/>
  <c r="E42" i="22727" s="1"/>
  <c r="BP47" i="2"/>
  <c r="BQ47" i="2" s="1"/>
  <c r="S47" i="2"/>
  <c r="T47" i="2" s="1"/>
  <c r="BI47" i="2"/>
  <c r="BJ47" i="2" s="1"/>
  <c r="AG39" i="2"/>
  <c r="L39" i="2"/>
  <c r="M39" i="2" s="1"/>
  <c r="AN39" i="2"/>
  <c r="I32" i="4"/>
  <c r="X8" i="2"/>
  <c r="BB37" i="2"/>
  <c r="Z37" i="2"/>
  <c r="AN37" i="2"/>
  <c r="CD42" i="2"/>
  <c r="CE42" i="2" s="1"/>
  <c r="M18" i="2"/>
  <c r="AF35" i="2"/>
  <c r="AH35" i="2" s="1"/>
  <c r="BO35" i="2"/>
  <c r="BQ35" i="2" s="1"/>
  <c r="Y35" i="2"/>
  <c r="AA35" i="2" s="1"/>
  <c r="BA35" i="2"/>
  <c r="BC35" i="2" s="1"/>
  <c r="BH35" i="2"/>
  <c r="DE35" i="2"/>
  <c r="DG35" i="2" s="1"/>
  <c r="E8" i="22729"/>
  <c r="D11" i="22729" s="1"/>
  <c r="H11" i="22729" s="1"/>
  <c r="C24" i="16"/>
  <c r="D64" i="22729" s="1"/>
  <c r="H64" i="22729" s="1"/>
  <c r="C119" i="1"/>
  <c r="E119" i="1" s="1"/>
  <c r="C123" i="1"/>
  <c r="E123" i="1" s="1"/>
  <c r="DF43" i="2"/>
  <c r="DG43" i="2" s="1"/>
  <c r="Z43" i="2"/>
  <c r="AA43" i="2" s="1"/>
  <c r="CK43" i="2"/>
  <c r="CL43" i="2" s="1"/>
  <c r="CD43" i="2"/>
  <c r="CE43" i="2" s="1"/>
  <c r="CY43" i="2"/>
  <c r="CZ43" i="2" s="1"/>
  <c r="CR43" i="2"/>
  <c r="CS43" i="2" s="1"/>
  <c r="L43" i="2"/>
  <c r="M43" i="2" s="1"/>
  <c r="BW43" i="2"/>
  <c r="BX43" i="2" s="1"/>
  <c r="BP43" i="2"/>
  <c r="BQ43" i="2" s="1"/>
  <c r="BI43" i="2"/>
  <c r="BJ43" i="2" s="1"/>
  <c r="AU43" i="2"/>
  <c r="AV43" i="2" s="1"/>
  <c r="E43" i="2"/>
  <c r="F43" i="2" s="1"/>
  <c r="AN43" i="2"/>
  <c r="AO43" i="2" s="1"/>
  <c r="D76" i="1"/>
  <c r="E76" i="1" s="1"/>
  <c r="BX61" i="2"/>
  <c r="AV54" i="2"/>
  <c r="K40" i="3"/>
  <c r="CS15" i="2"/>
  <c r="BQ17" i="2"/>
  <c r="BJ16" i="2"/>
  <c r="BJ53" i="2"/>
  <c r="BC17" i="2"/>
  <c r="BC15" i="2"/>
  <c r="BC61" i="2"/>
  <c r="AV60" i="2"/>
  <c r="BQ38" i="2"/>
  <c r="CE61" i="2"/>
  <c r="T63" i="2"/>
  <c r="CS38" i="2"/>
  <c r="AV14" i="2"/>
  <c r="I30" i="4"/>
  <c r="AH15" i="2"/>
  <c r="I34" i="4"/>
  <c r="E98" i="1"/>
  <c r="T38" i="2"/>
  <c r="CQ54" i="2"/>
  <c r="CS54" i="2" s="1"/>
  <c r="C48" i="16"/>
  <c r="BF64" i="2"/>
  <c r="BQ53" i="2"/>
  <c r="AB10" i="2"/>
  <c r="CS35" i="2"/>
  <c r="AV35" i="2"/>
  <c r="CL35" i="2"/>
  <c r="DG38" i="2"/>
  <c r="CL17" i="2"/>
  <c r="E77" i="1"/>
  <c r="CE15" i="2"/>
  <c r="BD10" i="2"/>
  <c r="K36" i="3"/>
  <c r="I29" i="4"/>
  <c r="CL14" i="2"/>
  <c r="T14" i="2"/>
  <c r="D54" i="2"/>
  <c r="F54" i="2" s="1"/>
  <c r="C18" i="2"/>
  <c r="C39" i="2" s="1"/>
  <c r="K54" i="2"/>
  <c r="M54" i="2" s="1"/>
  <c r="CW18" i="2"/>
  <c r="CW39" i="2" s="1"/>
  <c r="DD18" i="2"/>
  <c r="DD39" i="2" s="1"/>
  <c r="DE51" i="2" s="1"/>
  <c r="DG51" i="2" s="1"/>
  <c r="CF9" i="2"/>
  <c r="CC9" i="2" s="1"/>
  <c r="CE29" i="2" s="1"/>
  <c r="AM54" i="2"/>
  <c r="AO54" i="2" s="1"/>
  <c r="CB18" i="2"/>
  <c r="CB39" i="2" s="1"/>
  <c r="CC51" i="2" s="1"/>
  <c r="CE51" i="2" s="1"/>
  <c r="CM9" i="2"/>
  <c r="CJ9" i="2" s="1"/>
  <c r="CL29" i="2" s="1"/>
  <c r="C82" i="16"/>
  <c r="AS41" i="2"/>
  <c r="AT40" i="2" s="1"/>
  <c r="AR64" i="2"/>
  <c r="AS8" i="2"/>
  <c r="C91" i="1"/>
  <c r="E91" i="1" s="1"/>
  <c r="X18" i="2"/>
  <c r="X39" i="2" s="1"/>
  <c r="Y51" i="2" s="1"/>
  <c r="AA51" i="2" s="1"/>
  <c r="AE18" i="2"/>
  <c r="AE39" i="2" s="1"/>
  <c r="AF51" i="2" s="1"/>
  <c r="AH51" i="2" s="1"/>
  <c r="AS18" i="2"/>
  <c r="AS39" i="2" s="1"/>
  <c r="AV39" i="2" s="1"/>
  <c r="AZ18" i="2"/>
  <c r="AZ39" i="2" s="1"/>
  <c r="BC39" i="2" s="1"/>
  <c r="E62" i="22731"/>
  <c r="E66" i="22731" s="1"/>
  <c r="E48" i="22731"/>
  <c r="E65" i="22731" s="1"/>
  <c r="AO35" i="2"/>
  <c r="F38" i="2"/>
  <c r="T53" i="2"/>
  <c r="AH63" i="2"/>
  <c r="AV53" i="2"/>
  <c r="BJ63" i="2"/>
  <c r="BJ56" i="2"/>
  <c r="CL16" i="2"/>
  <c r="BJ17" i="2"/>
  <c r="BJ15" i="2"/>
  <c r="F14" i="2"/>
  <c r="E84" i="1"/>
  <c r="AF54" i="2"/>
  <c r="AH54" i="2" s="1"/>
  <c r="BO54" i="2"/>
  <c r="BQ54" i="2" s="1"/>
  <c r="BN18" i="2"/>
  <c r="BN39" i="2" s="1"/>
  <c r="CP18" i="2"/>
  <c r="CP39" i="2" s="1"/>
  <c r="AO38" i="2"/>
  <c r="E63" i="16"/>
  <c r="E57" i="22727"/>
  <c r="E73" i="22727" s="1"/>
  <c r="T15" i="2"/>
  <c r="AO39" i="2"/>
  <c r="BN9" i="2"/>
  <c r="CC8" i="2"/>
  <c r="CE30" i="2" s="1"/>
  <c r="H63" i="22729"/>
  <c r="T29" i="2"/>
  <c r="DC64" i="2"/>
  <c r="M8" i="2"/>
  <c r="BG9" i="2"/>
  <c r="C14" i="1"/>
  <c r="E14" i="1" s="1"/>
  <c r="I64" i="2"/>
  <c r="AI10" i="2"/>
  <c r="AF8" i="2"/>
  <c r="AE8" i="2" s="1"/>
  <c r="AS9" i="2"/>
  <c r="K51" i="2"/>
  <c r="M51" i="2" s="1"/>
  <c r="AH38" i="2"/>
  <c r="C132" i="1"/>
  <c r="E132" i="1" s="1"/>
  <c r="X41" i="2"/>
  <c r="Y40" i="2" s="1"/>
  <c r="AA40" i="2" s="1"/>
  <c r="W64" i="2"/>
  <c r="L10" i="2"/>
  <c r="AV38" i="2"/>
  <c r="F53" i="2"/>
  <c r="C90" i="1"/>
  <c r="C82" i="1"/>
  <c r="M55" i="2"/>
  <c r="CE55" i="2"/>
  <c r="F60" i="2"/>
  <c r="H26" i="4"/>
  <c r="I26" i="4" s="1"/>
  <c r="D8" i="2"/>
  <c r="I38" i="4"/>
  <c r="I33" i="4"/>
  <c r="CZ38" i="2"/>
  <c r="C54" i="22715"/>
  <c r="D9" i="2"/>
  <c r="E135" i="1"/>
  <c r="H40" i="4"/>
  <c r="I40" i="4" s="1"/>
  <c r="CX62" i="2"/>
  <c r="BJ38" i="2"/>
  <c r="U10" i="2"/>
  <c r="H111" i="22729"/>
  <c r="BG18" i="2"/>
  <c r="BG39" i="2" s="1"/>
  <c r="BU18" i="2"/>
  <c r="BU39" i="2" s="1"/>
  <c r="I106" i="22715"/>
  <c r="M26" i="2"/>
  <c r="I31" i="4"/>
  <c r="I39" i="4"/>
  <c r="M30" i="2"/>
  <c r="F26" i="2"/>
  <c r="C82" i="22715"/>
  <c r="CE38" i="2"/>
  <c r="AM52" i="2"/>
  <c r="AO52" i="2" s="1"/>
  <c r="CQ52" i="2"/>
  <c r="CS52" i="2" s="1"/>
  <c r="BX38" i="2"/>
  <c r="AS46" i="22723"/>
  <c r="DC4" i="22723"/>
  <c r="K53" i="22723"/>
  <c r="AL55" i="22723"/>
  <c r="AU58" i="22723"/>
  <c r="CQ54" i="22723"/>
  <c r="CC54" i="22723"/>
  <c r="BV54" i="22723"/>
  <c r="AF65" i="22723"/>
  <c r="CC65" i="22723"/>
  <c r="B1" i="22723"/>
  <c r="BF4" i="22723"/>
  <c r="C1" i="22726"/>
  <c r="B1" i="22725"/>
  <c r="CX65" i="22723"/>
  <c r="AY4" i="22723"/>
  <c r="K41" i="22725"/>
  <c r="K58" i="22723"/>
  <c r="AE46" i="22723"/>
  <c r="C2" i="22726"/>
  <c r="Y65" i="22723"/>
  <c r="CJ65" i="22723"/>
  <c r="AR4" i="22723"/>
  <c r="I4" i="22723"/>
  <c r="BX16" i="22723"/>
  <c r="AV16" i="22723"/>
  <c r="AS55" i="22723"/>
  <c r="C56" i="22723"/>
  <c r="AS56" i="22723"/>
  <c r="CW56" i="22723"/>
  <c r="C45" i="22723"/>
  <c r="CI56" i="22723"/>
  <c r="AE55" i="22723"/>
  <c r="CP56" i="22723"/>
  <c r="C55" i="22723"/>
  <c r="J56" i="22723"/>
  <c r="BN55" i="22723"/>
  <c r="C53" i="22725"/>
  <c r="DD55" i="22723"/>
  <c r="Q56" i="22723"/>
  <c r="CV4" i="22723"/>
  <c r="CJ54" i="22723"/>
  <c r="AT54" i="22723"/>
  <c r="B12" i="22726"/>
  <c r="AM65" i="22723"/>
  <c r="D65" i="22723"/>
  <c r="AT58" i="22723"/>
  <c r="P4" i="22723"/>
  <c r="BT4" i="22723"/>
  <c r="BM4" i="22723"/>
  <c r="CH4" i="22723"/>
  <c r="CA4" i="22723"/>
  <c r="C77" i="5"/>
  <c r="E77" i="22714"/>
  <c r="AN56" i="22723"/>
  <c r="DF56" i="22723"/>
  <c r="BP54" i="22723"/>
  <c r="BB54" i="22723"/>
  <c r="CK55" i="22723"/>
  <c r="CL55" i="22723" s="1"/>
  <c r="AN55" i="22723"/>
  <c r="DF55" i="22723"/>
  <c r="C36" i="5"/>
  <c r="AG53" i="22723" s="1"/>
  <c r="AV34" i="22723"/>
  <c r="CR62" i="22723"/>
  <c r="CS62" i="22723" s="1"/>
  <c r="BI62" i="22723"/>
  <c r="BJ62" i="22723" s="1"/>
  <c r="BB62" i="22723"/>
  <c r="BC62" i="22723" s="1"/>
  <c r="AO17" i="22723"/>
  <c r="Z62" i="22723"/>
  <c r="AA62" i="22723" s="1"/>
  <c r="S62" i="22723"/>
  <c r="T62" i="22723" s="1"/>
  <c r="R53" i="22723"/>
  <c r="Q38" i="22723"/>
  <c r="R50" i="22723" s="1"/>
  <c r="E62" i="22723"/>
  <c r="F62" i="22723" s="1"/>
  <c r="AG57" i="22723"/>
  <c r="C123" i="22714"/>
  <c r="E123" i="22714" s="1"/>
  <c r="C120" i="22714"/>
  <c r="E120" i="22714" s="1"/>
  <c r="CY62" i="22723"/>
  <c r="CZ62" i="22723" s="1"/>
  <c r="CK62" i="22723"/>
  <c r="CL62" i="22723" s="1"/>
  <c r="CD62" i="22723"/>
  <c r="CE62" i="22723" s="1"/>
  <c r="L62" i="22723"/>
  <c r="BW57" i="22723"/>
  <c r="CR61" i="22723"/>
  <c r="BF9" i="22723"/>
  <c r="CZ34" i="22723"/>
  <c r="BJ34" i="22723"/>
  <c r="E58" i="22725"/>
  <c r="F58" i="22725" s="1"/>
  <c r="B100" i="22725" s="1"/>
  <c r="BW62" i="22723"/>
  <c r="BX62" i="22723" s="1"/>
  <c r="AU62" i="22723"/>
  <c r="AV62" i="22723" s="1"/>
  <c r="AH17" i="22723"/>
  <c r="AE18" i="22723"/>
  <c r="AE38" i="22723" s="1"/>
  <c r="AF50" i="22723" s="1"/>
  <c r="E124" i="22714"/>
  <c r="E118" i="22714"/>
  <c r="E84" i="22714"/>
  <c r="E111" i="22730"/>
  <c r="G9" i="22723"/>
  <c r="C72" i="5"/>
  <c r="AB9" i="22723" s="1"/>
  <c r="C70" i="5"/>
  <c r="N9" i="22723" s="1"/>
  <c r="C74" i="5"/>
  <c r="AP9" i="22723" s="1"/>
  <c r="C75" i="5"/>
  <c r="AW9" i="22723" s="1"/>
  <c r="C73" i="5"/>
  <c r="AI9" i="22723" s="1"/>
  <c r="BH59" i="22723"/>
  <c r="AF59" i="22723"/>
  <c r="AM59" i="22723"/>
  <c r="Y59" i="22723"/>
  <c r="CQ59" i="22723"/>
  <c r="B74" i="5"/>
  <c r="AP8" i="22723" s="1"/>
  <c r="B73" i="5"/>
  <c r="B72" i="5"/>
  <c r="AB8" i="22723" s="1"/>
  <c r="AB10" i="22723" s="1"/>
  <c r="D56" i="22725"/>
  <c r="AW10" i="22723"/>
  <c r="W9" i="22723"/>
  <c r="BT9" i="22723"/>
  <c r="B41" i="22726"/>
  <c r="F40" i="5"/>
  <c r="BV29" i="22723" s="1"/>
  <c r="B68" i="5"/>
  <c r="B45" i="5"/>
  <c r="G8" i="22723"/>
  <c r="BP56" i="22723"/>
  <c r="AG54" i="22723"/>
  <c r="AH54" i="22723" s="1"/>
  <c r="CD55" i="22723"/>
  <c r="E51" i="22725"/>
  <c r="CR55" i="22723"/>
  <c r="L54" i="22723"/>
  <c r="M54" i="22723" s="1"/>
  <c r="BB56" i="22723"/>
  <c r="CS17" i="22723"/>
  <c r="BC17" i="22723"/>
  <c r="BD10" i="22723"/>
  <c r="M62" i="22723"/>
  <c r="D53" i="22723"/>
  <c r="C16" i="22723"/>
  <c r="C38" i="22723" s="1"/>
  <c r="D50" i="22723" s="1"/>
  <c r="AM53" i="22723"/>
  <c r="AL18" i="22723"/>
  <c r="AL38" i="22723" s="1"/>
  <c r="AM50" i="22723" s="1"/>
  <c r="AT53" i="22723"/>
  <c r="AZ18" i="22723"/>
  <c r="AZ38" i="22723" s="1"/>
  <c r="BA50" i="22723" s="1"/>
  <c r="CP18" i="22723"/>
  <c r="CP38" i="22723" s="1"/>
  <c r="CQ50" i="22723" s="1"/>
  <c r="CW18" i="22723"/>
  <c r="CW38" i="22723" s="1"/>
  <c r="CX50" i="22723" s="1"/>
  <c r="E121" i="22714"/>
  <c r="E75" i="22714"/>
  <c r="J210" i="22715"/>
  <c r="BX17" i="22723"/>
  <c r="Y53" i="22723"/>
  <c r="R60" i="22723"/>
  <c r="C82" i="22714"/>
  <c r="E82" i="22714" s="1"/>
  <c r="AF51" i="22723"/>
  <c r="AT51" i="22723"/>
  <c r="BV51" i="22723"/>
  <c r="C14" i="22728"/>
  <c r="C14" i="22714" s="1"/>
  <c r="E14" i="22714" s="1"/>
  <c r="C18" i="22725"/>
  <c r="C37" i="22725" s="1"/>
  <c r="K37" i="22725" s="1"/>
  <c r="DG16" i="22723"/>
  <c r="DE53" i="22723"/>
  <c r="CL17" i="22723"/>
  <c r="CE17" i="22723"/>
  <c r="C132" i="22714"/>
  <c r="E131" i="22714"/>
  <c r="AT60" i="22723"/>
  <c r="BO58" i="22723"/>
  <c r="CQ58" i="22723"/>
  <c r="K50" i="22723"/>
  <c r="D55" i="22725"/>
  <c r="DD18" i="22723"/>
  <c r="DD38" i="22723" s="1"/>
  <c r="DE50" i="22723" s="1"/>
  <c r="CZ17" i="22723"/>
  <c r="CX58" i="22723"/>
  <c r="CC58" i="22723"/>
  <c r="BA58" i="22723"/>
  <c r="Y60" i="22723"/>
  <c r="R58" i="22723"/>
  <c r="D60" i="22723"/>
  <c r="BA53" i="22723"/>
  <c r="BH53" i="22723"/>
  <c r="BG18" i="22723"/>
  <c r="BG38" i="22723" s="1"/>
  <c r="BH50" i="22723" s="1"/>
  <c r="BO53" i="22723"/>
  <c r="BN18" i="22723"/>
  <c r="BN38" i="22723" s="1"/>
  <c r="BO50" i="22723" s="1"/>
  <c r="BV53" i="22723"/>
  <c r="BU18" i="22723"/>
  <c r="BU38" i="22723" s="1"/>
  <c r="BV50" i="22723" s="1"/>
  <c r="CC53" i="22723"/>
  <c r="CB18" i="22723"/>
  <c r="CB38" i="22723" s="1"/>
  <c r="CC50" i="22723" s="1"/>
  <c r="CJ53" i="22723"/>
  <c r="CI18" i="22723"/>
  <c r="CI38" i="22723" s="1"/>
  <c r="CJ50" i="22723" s="1"/>
  <c r="E72" i="22728"/>
  <c r="E48" i="22732"/>
  <c r="E65" i="22732" s="1"/>
  <c r="AM58" i="22723"/>
  <c r="BH58" i="22723"/>
  <c r="BO60" i="22723"/>
  <c r="CQ60" i="22723"/>
  <c r="CJ60" i="22723"/>
  <c r="BC16" i="22723"/>
  <c r="AF60" i="22723"/>
  <c r="AF53" i="22723"/>
  <c r="Y58" i="22723"/>
  <c r="AM60" i="22723"/>
  <c r="BH60" i="22723"/>
  <c r="BV58" i="22723"/>
  <c r="DE58" i="22723"/>
  <c r="D50" i="22725"/>
  <c r="DG17" i="22723"/>
  <c r="CJ58" i="22723"/>
  <c r="AH16" i="22723"/>
  <c r="AF58" i="22723"/>
  <c r="X18" i="22723"/>
  <c r="X38" i="22723" s="1"/>
  <c r="Y50" i="22723" s="1"/>
  <c r="K60" i="22723"/>
  <c r="E9" i="22714"/>
  <c r="C54" i="22725"/>
  <c r="AZ57" i="22723"/>
  <c r="CB57" i="22723"/>
  <c r="CP57" i="22723"/>
  <c r="J57" i="22723"/>
  <c r="CW57" i="22723"/>
  <c r="C57" i="22723"/>
  <c r="AS57" i="22723"/>
  <c r="AE57" i="22723"/>
  <c r="BU57" i="22723"/>
  <c r="AL57" i="22723"/>
  <c r="Q57" i="22723"/>
  <c r="CB46" i="22723"/>
  <c r="X46" i="22723"/>
  <c r="CI57" i="22723"/>
  <c r="AS45" i="22723"/>
  <c r="BN46" i="22723"/>
  <c r="DD57" i="22723"/>
  <c r="CB45" i="22723"/>
  <c r="X57" i="22723"/>
  <c r="J45" i="22723"/>
  <c r="X45" i="22723"/>
  <c r="AL45" i="22723"/>
  <c r="BU45" i="22723"/>
  <c r="CW45" i="22723"/>
  <c r="CI45" i="22723"/>
  <c r="D132" i="22714"/>
  <c r="BI52" i="22723"/>
  <c r="BJ52" i="22723" s="1"/>
  <c r="L52" i="22723"/>
  <c r="M52" i="22723" s="1"/>
  <c r="D99" i="22714"/>
  <c r="E99" i="22714" s="1"/>
  <c r="BB52" i="22723"/>
  <c r="BC52" i="22723" s="1"/>
  <c r="DF51" i="22723"/>
  <c r="BP52" i="22723"/>
  <c r="BQ52" i="22723" s="1"/>
  <c r="DF59" i="22723"/>
  <c r="AZ46" i="22723"/>
  <c r="BN45" i="22723"/>
  <c r="Q46" i="22723"/>
  <c r="CP46" i="22723"/>
  <c r="AE45" i="22723"/>
  <c r="J46" i="22723"/>
  <c r="Q45" i="22723"/>
  <c r="BN57" i="22723"/>
  <c r="C187" i="5"/>
  <c r="DD45" i="22723"/>
  <c r="AL46" i="22723"/>
  <c r="CP45" i="22723"/>
  <c r="BG46" i="22723"/>
  <c r="CI46" i="22723"/>
  <c r="BU46" i="22723"/>
  <c r="DF52" i="22723"/>
  <c r="DG52" i="22723" s="1"/>
  <c r="DD46" i="22723"/>
  <c r="AO16" i="22723"/>
  <c r="E9" i="22723"/>
  <c r="C47" i="5"/>
  <c r="D59" i="22723"/>
  <c r="BO59" i="22723"/>
  <c r="BV59" i="22723"/>
  <c r="DE59" i="22723"/>
  <c r="CJ59" i="22723"/>
  <c r="R59" i="22723"/>
  <c r="AT59" i="22723"/>
  <c r="CX59" i="22723"/>
  <c r="CC59" i="22723"/>
  <c r="BA59" i="22723"/>
  <c r="K59" i="22723"/>
  <c r="C91" i="22714"/>
  <c r="E76" i="22714"/>
  <c r="E54" i="22730"/>
  <c r="H54" i="22730" s="1"/>
  <c r="F111" i="22730"/>
  <c r="B71" i="5"/>
  <c r="U8" i="22723" s="1"/>
  <c r="B70" i="5"/>
  <c r="D63" i="22730"/>
  <c r="D65" i="22730"/>
  <c r="H65" i="22730" s="1"/>
  <c r="D61" i="22725"/>
  <c r="CQ65" i="22723"/>
  <c r="AT65" i="22723"/>
  <c r="R65" i="22723"/>
  <c r="BA65" i="22723"/>
  <c r="BV65" i="22723"/>
  <c r="BO65" i="22723"/>
  <c r="K65" i="22723"/>
  <c r="BH65" i="22723"/>
  <c r="CW46" i="22723"/>
  <c r="AZ56" i="22723"/>
  <c r="X55" i="22723"/>
  <c r="BG56" i="22723"/>
  <c r="CP55" i="22723"/>
  <c r="C52" i="22725"/>
  <c r="DD56" i="22723"/>
  <c r="C71" i="5"/>
  <c r="Y52" i="2"/>
  <c r="AM51" i="22723"/>
  <c r="B13" i="22715"/>
  <c r="C13" i="22715" s="1"/>
  <c r="D51" i="5" s="1"/>
  <c r="E64" i="16"/>
  <c r="BQ29" i="2"/>
  <c r="BQ31" i="2" s="1"/>
  <c r="BA62" i="2"/>
  <c r="BA8" i="2"/>
  <c r="E65" i="16"/>
  <c r="AV29" i="2"/>
  <c r="AL41" i="2"/>
  <c r="AM40" i="2" s="1"/>
  <c r="AK64" i="2"/>
  <c r="AL9" i="2"/>
  <c r="D57" i="22725"/>
  <c r="B48" i="16"/>
  <c r="B48" i="5"/>
  <c r="L8" i="22723"/>
  <c r="A1" i="22732"/>
  <c r="A1" i="22731"/>
  <c r="A1" i="22728"/>
  <c r="A1" i="22729"/>
  <c r="AV31" i="2" l="1"/>
  <c r="D93" i="22714"/>
  <c r="E93" i="22714" s="1"/>
  <c r="AN50" i="22723"/>
  <c r="AG51" i="22723"/>
  <c r="CY59" i="22723"/>
  <c r="D65" i="22728"/>
  <c r="E65" i="22728" s="1"/>
  <c r="L60" i="22723"/>
  <c r="D90" i="22714"/>
  <c r="E90" i="22714" s="1"/>
  <c r="F51" i="22725"/>
  <c r="B99" i="22725" s="1"/>
  <c r="B9" i="22725"/>
  <c r="C80" i="22725" s="1"/>
  <c r="I9" i="22723"/>
  <c r="AK9" i="22723"/>
  <c r="CV9" i="22723"/>
  <c r="AL8" i="2"/>
  <c r="E125" i="1"/>
  <c r="CZ61" i="2"/>
  <c r="D95" i="22727"/>
  <c r="D95" i="22714"/>
  <c r="E95" i="22714" s="1"/>
  <c r="D61" i="22732"/>
  <c r="E61" i="22732" s="1"/>
  <c r="D92" i="22714"/>
  <c r="E92" i="22714" s="1"/>
  <c r="E59" i="22723"/>
  <c r="AD9" i="22723"/>
  <c r="P9" i="22723"/>
  <c r="B9" i="22723"/>
  <c r="AR9" i="22723"/>
  <c r="CO9" i="22723"/>
  <c r="BJ35" i="2"/>
  <c r="F48" i="22730"/>
  <c r="H48" i="22730" s="1"/>
  <c r="E148" i="22714" s="1"/>
  <c r="AN51" i="22723"/>
  <c r="D94" i="22714"/>
  <c r="E94" i="22714" s="1"/>
  <c r="BI50" i="22723"/>
  <c r="D14" i="22730"/>
  <c r="H14" i="22730" s="1"/>
  <c r="D56" i="22728"/>
  <c r="E56" i="22728" s="1"/>
  <c r="D59" i="22732"/>
  <c r="E59" i="22732" s="1"/>
  <c r="D58" i="22732"/>
  <c r="E58" i="22732" s="1"/>
  <c r="AU51" i="22723"/>
  <c r="E49" i="22725"/>
  <c r="F49" i="22725" s="1"/>
  <c r="B98" i="22725" s="1"/>
  <c r="B109" i="22725" s="1"/>
  <c r="J117" i="22715" s="1"/>
  <c r="Z60" i="22723"/>
  <c r="BB59" i="22723"/>
  <c r="CK50" i="22723"/>
  <c r="CY50" i="22723"/>
  <c r="BM9" i="22723"/>
  <c r="CA9" i="22723"/>
  <c r="CH9" i="22723"/>
  <c r="AH61" i="2"/>
  <c r="D11" i="22730"/>
  <c r="H11" i="22730" s="1"/>
  <c r="CE55" i="22723"/>
  <c r="AU54" i="22723"/>
  <c r="AV54" i="22723" s="1"/>
  <c r="S56" i="22723"/>
  <c r="T56" i="22723" s="1"/>
  <c r="BI55" i="22723"/>
  <c r="BJ55" i="22723" s="1"/>
  <c r="Z55" i="22723"/>
  <c r="Z56" i="22723"/>
  <c r="AA56" i="22723" s="1"/>
  <c r="CY56" i="22723"/>
  <c r="CZ56" i="22723" s="1"/>
  <c r="BB61" i="22723"/>
  <c r="AN58" i="22723"/>
  <c r="S54" i="22723"/>
  <c r="T54" i="22723" s="1"/>
  <c r="CD54" i="22723"/>
  <c r="CE54" i="22723" s="1"/>
  <c r="E55" i="22723"/>
  <c r="F55" i="22723" s="1"/>
  <c r="CY54" i="22723"/>
  <c r="CZ54" i="22723" s="1"/>
  <c r="L56" i="22723"/>
  <c r="E54" i="22725"/>
  <c r="BW58" i="22723"/>
  <c r="BI57" i="22723"/>
  <c r="BJ57" i="22723" s="1"/>
  <c r="D103" i="22714"/>
  <c r="E103" i="22714" s="1"/>
  <c r="S59" i="22723"/>
  <c r="CD52" i="22723"/>
  <c r="CE52" i="22723" s="1"/>
  <c r="E52" i="22723"/>
  <c r="F52" i="22723" s="1"/>
  <c r="BP51" i="22723"/>
  <c r="BW51" i="22723"/>
  <c r="CR50" i="22723"/>
  <c r="CS50" i="22723" s="1"/>
  <c r="L59" i="22723"/>
  <c r="CD50" i="22723"/>
  <c r="Z53" i="22723"/>
  <c r="F102" i="22730"/>
  <c r="H102" i="22730" s="1"/>
  <c r="E160" i="22714" s="1"/>
  <c r="E161" i="22714" s="1"/>
  <c r="E50" i="22725"/>
  <c r="F50" i="22725" s="1"/>
  <c r="B102" i="22725" s="1"/>
  <c r="D135" i="22714"/>
  <c r="E135" i="22714" s="1"/>
  <c r="CY60" i="22723"/>
  <c r="AG59" i="22723"/>
  <c r="AG52" i="22723"/>
  <c r="AH52" i="22723" s="1"/>
  <c r="E50" i="22723"/>
  <c r="F50" i="22723" s="1"/>
  <c r="E51" i="22723"/>
  <c r="D91" i="22714"/>
  <c r="D102" i="22714"/>
  <c r="E102" i="22714" s="1"/>
  <c r="Z50" i="22723"/>
  <c r="AA50" i="22723" s="1"/>
  <c r="BI53" i="22723"/>
  <c r="BJ53" i="22723" s="1"/>
  <c r="AU53" i="22723"/>
  <c r="AV53" i="22723" s="1"/>
  <c r="AU59" i="22723"/>
  <c r="CK59" i="22723"/>
  <c r="BI59" i="22723"/>
  <c r="CD60" i="22723"/>
  <c r="BW53" i="22723"/>
  <c r="BX53" i="22723" s="1"/>
  <c r="S51" i="22723"/>
  <c r="AU50" i="22723"/>
  <c r="DF60" i="22723"/>
  <c r="E15" i="22714"/>
  <c r="BQ54" i="22723"/>
  <c r="AO56" i="22723"/>
  <c r="AN54" i="22723"/>
  <c r="AO54" i="22723" s="1"/>
  <c r="BB55" i="22723"/>
  <c r="BC55" i="22723" s="1"/>
  <c r="CD56" i="22723"/>
  <c r="CE56" i="22723" s="1"/>
  <c r="BI54" i="22723"/>
  <c r="BJ54" i="22723" s="1"/>
  <c r="Z54" i="22723"/>
  <c r="AA54" i="22723" s="1"/>
  <c r="CR56" i="22723"/>
  <c r="CS56" i="22723" s="1"/>
  <c r="E52" i="22725"/>
  <c r="BW55" i="22723"/>
  <c r="BX55" i="22723" s="1"/>
  <c r="BW54" i="22723"/>
  <c r="BX54" i="22723" s="1"/>
  <c r="CY55" i="22723"/>
  <c r="BP55" i="22723"/>
  <c r="AG55" i="22723"/>
  <c r="AH55" i="22723" s="1"/>
  <c r="DF54" i="22723"/>
  <c r="DG54" i="22723" s="1"/>
  <c r="BI61" i="22723"/>
  <c r="L57" i="22723"/>
  <c r="AU57" i="22723"/>
  <c r="AG58" i="22723"/>
  <c r="BI56" i="22723"/>
  <c r="BJ56" i="22723" s="1"/>
  <c r="AU55" i="22723"/>
  <c r="E56" i="22723"/>
  <c r="L55" i="22723"/>
  <c r="M55" i="22723" s="1"/>
  <c r="S55" i="22723"/>
  <c r="CK54" i="22723"/>
  <c r="E54" i="22723"/>
  <c r="F54" i="22723" s="1"/>
  <c r="AG56" i="22723"/>
  <c r="AH56" i="22723" s="1"/>
  <c r="AU56" i="22723"/>
  <c r="AV56" i="22723" s="1"/>
  <c r="CR54" i="22723"/>
  <c r="CS54" i="22723" s="1"/>
  <c r="CK56" i="22723"/>
  <c r="CL56" i="22723" s="1"/>
  <c r="BW56" i="22723"/>
  <c r="BX56" i="22723" s="1"/>
  <c r="CY58" i="22723"/>
  <c r="E43" i="22727"/>
  <c r="E72" i="22727" s="1"/>
  <c r="AL10" i="2"/>
  <c r="CJ44" i="2"/>
  <c r="CJ45" i="2" s="1"/>
  <c r="CL45" i="2" s="1"/>
  <c r="AA39" i="2"/>
  <c r="BY10" i="2"/>
  <c r="CL39" i="2"/>
  <c r="M9" i="2"/>
  <c r="CL59" i="2"/>
  <c r="BX59" i="2"/>
  <c r="AH59" i="2"/>
  <c r="CL62" i="2"/>
  <c r="AA62" i="2"/>
  <c r="AE9" i="2"/>
  <c r="CH64" i="2"/>
  <c r="CL61" i="2"/>
  <c r="T61" i="2"/>
  <c r="F18" i="3"/>
  <c r="BQ61" i="2"/>
  <c r="T37" i="2"/>
  <c r="R52" i="2"/>
  <c r="R64" i="2" s="1"/>
  <c r="E163" i="1"/>
  <c r="AO61" i="2"/>
  <c r="AO64" i="2" s="1"/>
  <c r="F59" i="2"/>
  <c r="AV50" i="22723"/>
  <c r="J209" i="22715"/>
  <c r="G10" i="22723"/>
  <c r="E82" i="1"/>
  <c r="B82" i="16"/>
  <c r="BC54" i="22723"/>
  <c r="I117" i="22715"/>
  <c r="F58" i="3"/>
  <c r="CE59" i="2"/>
  <c r="BC60" i="2"/>
  <c r="CE60" i="2"/>
  <c r="AV59" i="2"/>
  <c r="AH60" i="2"/>
  <c r="M60" i="2"/>
  <c r="Q8" i="2"/>
  <c r="Q10" i="2" s="1"/>
  <c r="CL40" i="2"/>
  <c r="AH39" i="2"/>
  <c r="AV18" i="2"/>
  <c r="AH18" i="2"/>
  <c r="CL37" i="2"/>
  <c r="AZ9" i="2"/>
  <c r="T30" i="2"/>
  <c r="T31" i="2" s="1"/>
  <c r="CB8" i="2"/>
  <c r="M31" i="2"/>
  <c r="CS62" i="2"/>
  <c r="AO51" i="22723"/>
  <c r="AA37" i="2"/>
  <c r="CS37" i="2"/>
  <c r="Y44" i="2"/>
  <c r="Y45" i="2" s="1"/>
  <c r="AA45" i="2" s="1"/>
  <c r="BC37" i="2"/>
  <c r="F37" i="2"/>
  <c r="BG8" i="2"/>
  <c r="BG10" i="2" s="1"/>
  <c r="DG37" i="2"/>
  <c r="AV37" i="2"/>
  <c r="BH44" i="2"/>
  <c r="BH45" i="2" s="1"/>
  <c r="BJ45" i="2" s="1"/>
  <c r="AA16" i="2"/>
  <c r="BQ18" i="2"/>
  <c r="DG18" i="2"/>
  <c r="T16" i="2"/>
  <c r="CS18" i="2"/>
  <c r="M62" i="2"/>
  <c r="CE62" i="2"/>
  <c r="BQ62" i="2"/>
  <c r="BU41" i="2"/>
  <c r="BV40" i="2" s="1"/>
  <c r="BX40" i="2" s="1"/>
  <c r="T55" i="22723"/>
  <c r="M56" i="22723"/>
  <c r="CZ55" i="22723"/>
  <c r="BQ56" i="22723"/>
  <c r="AO55" i="22723"/>
  <c r="D51" i="22723"/>
  <c r="AN57" i="22723"/>
  <c r="AO57" i="22723" s="1"/>
  <c r="CR58" i="22723"/>
  <c r="Z58" i="22723"/>
  <c r="BW61" i="22723"/>
  <c r="BB58" i="22723"/>
  <c r="CR57" i="22723"/>
  <c r="CS57" i="22723" s="1"/>
  <c r="BP58" i="22723"/>
  <c r="CK57" i="22723"/>
  <c r="CL57" i="22723" s="1"/>
  <c r="S61" i="22723"/>
  <c r="CD58" i="22723"/>
  <c r="DF57" i="22723"/>
  <c r="DG57" i="22723" s="1"/>
  <c r="Z61" i="22723"/>
  <c r="L61" i="22723"/>
  <c r="E58" i="22723"/>
  <c r="AG61" i="22723"/>
  <c r="DF58" i="22723"/>
  <c r="CK61" i="22723"/>
  <c r="L58" i="22723"/>
  <c r="Z57" i="22723"/>
  <c r="AA57" i="22723" s="1"/>
  <c r="AN61" i="22723"/>
  <c r="E57" i="22723"/>
  <c r="F57" i="22723" s="1"/>
  <c r="CD61" i="22723"/>
  <c r="BP61" i="22723"/>
  <c r="H111" i="22730"/>
  <c r="DE29" i="22723"/>
  <c r="AO50" i="22723"/>
  <c r="CZ50" i="22723"/>
  <c r="CY57" i="22723"/>
  <c r="CZ57" i="22723" s="1"/>
  <c r="CK58" i="22723"/>
  <c r="E61" i="22723"/>
  <c r="CD57" i="22723"/>
  <c r="CE57" i="22723" s="1"/>
  <c r="BB57" i="22723"/>
  <c r="BC57" i="22723" s="1"/>
  <c r="E57" i="22725"/>
  <c r="F57" i="22725" s="1"/>
  <c r="BI58" i="22723"/>
  <c r="CY61" i="22723"/>
  <c r="BP57" i="22723"/>
  <c r="BQ57" i="22723" s="1"/>
  <c r="S57" i="22723"/>
  <c r="T57" i="22723" s="1"/>
  <c r="S58" i="22723"/>
  <c r="DC9" i="22723"/>
  <c r="DF61" i="22723"/>
  <c r="D55" i="22728"/>
  <c r="E55" i="22728" s="1"/>
  <c r="L50" i="22723"/>
  <c r="M50" i="22723" s="1"/>
  <c r="BW59" i="22723"/>
  <c r="CY51" i="22723"/>
  <c r="BB53" i="22723"/>
  <c r="BC53" i="22723" s="1"/>
  <c r="D98" i="22714"/>
  <c r="E98" i="22714" s="1"/>
  <c r="E47" i="22725"/>
  <c r="E53" i="22723"/>
  <c r="F53" i="22723" s="1"/>
  <c r="DF50" i="22723"/>
  <c r="DG50" i="22723" s="1"/>
  <c r="D101" i="22714"/>
  <c r="E101" i="22714" s="1"/>
  <c r="S60" i="22723"/>
  <c r="BI60" i="22723"/>
  <c r="L53" i="22723"/>
  <c r="M53" i="22723" s="1"/>
  <c r="AG60" i="22723"/>
  <c r="CD53" i="22723"/>
  <c r="CE53" i="22723" s="1"/>
  <c r="BW52" i="22723"/>
  <c r="BX52" i="22723" s="1"/>
  <c r="AN59" i="22723"/>
  <c r="CK53" i="22723"/>
  <c r="CL53" i="22723" s="1"/>
  <c r="CR59" i="22723"/>
  <c r="CK60" i="22723"/>
  <c r="S52" i="22723"/>
  <c r="T52" i="22723" s="1"/>
  <c r="CD51" i="22723"/>
  <c r="F110" i="22730"/>
  <c r="H110" i="22730" s="1"/>
  <c r="BP50" i="22723"/>
  <c r="BQ50" i="22723" s="1"/>
  <c r="E48" i="22725"/>
  <c r="BP60" i="22723"/>
  <c r="BP59" i="22723"/>
  <c r="L51" i="22723"/>
  <c r="AU60" i="22723"/>
  <c r="CY52" i="22723"/>
  <c r="CZ52" i="22723" s="1"/>
  <c r="F53" i="22730"/>
  <c r="H53" i="22730" s="1"/>
  <c r="D104" i="22714"/>
  <c r="E104" i="22714" s="1"/>
  <c r="AV57" i="22723"/>
  <c r="S53" i="22723"/>
  <c r="T53" i="22723" s="1"/>
  <c r="CD59" i="22723"/>
  <c r="BW50" i="22723"/>
  <c r="BX50" i="22723" s="1"/>
  <c r="AN53" i="22723"/>
  <c r="AO53" i="22723" s="1"/>
  <c r="BB60" i="22723"/>
  <c r="AU52" i="22723"/>
  <c r="AV52" i="22723" s="1"/>
  <c r="E56" i="22725"/>
  <c r="AN60" i="22723"/>
  <c r="CR51" i="22723"/>
  <c r="CR52" i="22723"/>
  <c r="CS52" i="22723" s="1"/>
  <c r="CR60" i="22723"/>
  <c r="DF53" i="22723"/>
  <c r="DG53" i="22723" s="1"/>
  <c r="D97" i="22714"/>
  <c r="E97" i="22714" s="1"/>
  <c r="BI51" i="22723"/>
  <c r="F51" i="22730"/>
  <c r="H51" i="22730" s="1"/>
  <c r="AG50" i="22723"/>
  <c r="AH50" i="22723" s="1"/>
  <c r="CR53" i="22723"/>
  <c r="CS53" i="22723" s="1"/>
  <c r="BB50" i="22723"/>
  <c r="BC50" i="22723" s="1"/>
  <c r="CK51" i="22723"/>
  <c r="Z59" i="22723"/>
  <c r="E60" i="22723"/>
  <c r="S50" i="22723"/>
  <c r="T50" i="22723" s="1"/>
  <c r="D54" i="22728"/>
  <c r="E54" i="22728" s="1"/>
  <c r="D60" i="22732"/>
  <c r="E60" i="22732" s="1"/>
  <c r="E62" i="22732" s="1"/>
  <c r="E66" i="22732" s="1"/>
  <c r="E67" i="22732" s="1"/>
  <c r="D66" i="22728"/>
  <c r="E66" i="22728" s="1"/>
  <c r="E69" i="22728" s="1"/>
  <c r="E74" i="22728" s="1"/>
  <c r="D96" i="22714"/>
  <c r="E96" i="22714" s="1"/>
  <c r="BW60" i="22723"/>
  <c r="CK52" i="22723"/>
  <c r="CL52" i="22723" s="1"/>
  <c r="D100" i="22714"/>
  <c r="E100" i="22714" s="1"/>
  <c r="D53" i="22728"/>
  <c r="E53" i="22728" s="1"/>
  <c r="F109" i="22730"/>
  <c r="H109" i="22730" s="1"/>
  <c r="H69" i="22729"/>
  <c r="H85" i="22729" s="1"/>
  <c r="H100" i="22729" s="1"/>
  <c r="D105" i="22729" s="1"/>
  <c r="C26" i="22715"/>
  <c r="B27" i="22715"/>
  <c r="C27" i="22715" s="1"/>
  <c r="DF15" i="22723" s="1"/>
  <c r="DG15" i="22723" s="1"/>
  <c r="F53" i="22725"/>
  <c r="BO51" i="22723"/>
  <c r="K51" i="22723"/>
  <c r="F56" i="22723"/>
  <c r="CJ51" i="22723"/>
  <c r="K52" i="2"/>
  <c r="M52" i="2" s="1"/>
  <c r="BX57" i="22723"/>
  <c r="M57" i="22723"/>
  <c r="DG56" i="22723"/>
  <c r="DG55" i="22723"/>
  <c r="E125" i="22714"/>
  <c r="E126" i="22714" s="1"/>
  <c r="E127" i="22714" s="1"/>
  <c r="E129" i="22714" s="1"/>
  <c r="F52" i="22725"/>
  <c r="BQ55" i="22723"/>
  <c r="CQ51" i="22723"/>
  <c r="BH51" i="22723"/>
  <c r="AV55" i="22723"/>
  <c r="H210" i="22715"/>
  <c r="D49" i="3"/>
  <c r="F49" i="3" s="1"/>
  <c r="B105" i="3" s="1"/>
  <c r="F37" i="3"/>
  <c r="BM64" i="2"/>
  <c r="M10" i="2"/>
  <c r="M12" i="2" s="1"/>
  <c r="CF10" i="2"/>
  <c r="BU8" i="2"/>
  <c r="BU10" i="2" s="1"/>
  <c r="F18" i="2"/>
  <c r="M40" i="2"/>
  <c r="BX18" i="2"/>
  <c r="BN8" i="2"/>
  <c r="BN10" i="2" s="1"/>
  <c r="CJ64" i="2"/>
  <c r="BX62" i="2"/>
  <c r="BV44" i="2"/>
  <c r="BV45" i="2" s="1"/>
  <c r="BX45" i="2" s="1"/>
  <c r="K45" i="2"/>
  <c r="M45" i="2" s="1"/>
  <c r="M37" i="2"/>
  <c r="D46" i="5"/>
  <c r="D10" i="22723" s="1"/>
  <c r="F36" i="3"/>
  <c r="B137" i="3" s="1"/>
  <c r="CL18" i="2"/>
  <c r="E67" i="22731"/>
  <c r="CE39" i="2"/>
  <c r="CM10" i="2"/>
  <c r="AO18" i="2"/>
  <c r="BA51" i="2"/>
  <c r="BC51" i="2" s="1"/>
  <c r="J10" i="2"/>
  <c r="BC18" i="2"/>
  <c r="CE18" i="2"/>
  <c r="CZ59" i="2"/>
  <c r="AT51" i="2"/>
  <c r="AV51" i="2" s="1"/>
  <c r="AS10" i="2"/>
  <c r="T39" i="2"/>
  <c r="CE31" i="2"/>
  <c r="CB9" i="2"/>
  <c r="CB10" i="2" s="1"/>
  <c r="CI9" i="2"/>
  <c r="E75" i="22727"/>
  <c r="F62" i="2"/>
  <c r="CB41" i="2"/>
  <c r="CC40" i="2" s="1"/>
  <c r="CE40" i="2" s="1"/>
  <c r="CA64" i="2"/>
  <c r="X9" i="2"/>
  <c r="X10" i="2" s="1"/>
  <c r="AA29" i="2"/>
  <c r="AA31" i="2" s="1"/>
  <c r="D14" i="22729"/>
  <c r="H14" i="22729" s="1"/>
  <c r="AE10" i="2"/>
  <c r="BX29" i="2"/>
  <c r="BX31" i="2" s="1"/>
  <c r="C41" i="2"/>
  <c r="D40" i="2" s="1"/>
  <c r="B64" i="2"/>
  <c r="D50" i="5"/>
  <c r="F50" i="5" s="1"/>
  <c r="AO37" i="2"/>
  <c r="AF44" i="2"/>
  <c r="AF45" i="2" s="1"/>
  <c r="AH45" i="2" s="1"/>
  <c r="D13" i="22729"/>
  <c r="H13" i="22729" s="1"/>
  <c r="H17" i="22729" s="1"/>
  <c r="E142" i="1" s="1"/>
  <c r="AV40" i="2"/>
  <c r="CO64" i="2"/>
  <c r="CP41" i="2"/>
  <c r="CQ40" i="2" s="1"/>
  <c r="CL44" i="2"/>
  <c r="CL49" i="2" s="1"/>
  <c r="BJ37" i="2"/>
  <c r="BH52" i="2"/>
  <c r="P64" i="2"/>
  <c r="T62" i="2"/>
  <c r="R40" i="2"/>
  <c r="T40" i="2" s="1"/>
  <c r="C59" i="3"/>
  <c r="D59" i="3" s="1"/>
  <c r="C39" i="3" s="1"/>
  <c r="D38" i="3" s="1"/>
  <c r="B15" i="22715"/>
  <c r="E11" i="22727"/>
  <c r="C11" i="1"/>
  <c r="E11" i="1" s="1"/>
  <c r="E15" i="1" s="1"/>
  <c r="AF52" i="2"/>
  <c r="AH52" i="2" s="1"/>
  <c r="K29" i="22723"/>
  <c r="C28" i="22725"/>
  <c r="C49" i="16"/>
  <c r="S9" i="2"/>
  <c r="T9" i="2" s="1"/>
  <c r="DG39" i="2"/>
  <c r="AM64" i="2"/>
  <c r="CC29" i="22723"/>
  <c r="AF29" i="22723"/>
  <c r="AH30" i="2"/>
  <c r="AH31" i="2" s="1"/>
  <c r="D51" i="2"/>
  <c r="F51" i="2" s="1"/>
  <c r="F39" i="2"/>
  <c r="CX51" i="2"/>
  <c r="CZ51" i="2" s="1"/>
  <c r="CZ39" i="2"/>
  <c r="BJ18" i="2"/>
  <c r="CS39" i="2"/>
  <c r="CQ51" i="2"/>
  <c r="C83" i="16"/>
  <c r="CT9" i="2"/>
  <c r="CQ9" i="2" s="1"/>
  <c r="BQ39" i="2"/>
  <c r="BO51" i="2"/>
  <c r="BQ51" i="2" s="1"/>
  <c r="CV64" i="2"/>
  <c r="CZ62" i="2"/>
  <c r="CW41" i="2"/>
  <c r="CX40" i="2" s="1"/>
  <c r="E133" i="1"/>
  <c r="AH37" i="2"/>
  <c r="AH44" i="2" s="1"/>
  <c r="BX39" i="2"/>
  <c r="BV51" i="2"/>
  <c r="BX51" i="2" s="1"/>
  <c r="F9" i="2"/>
  <c r="F29" i="2"/>
  <c r="C9" i="2"/>
  <c r="C105" i="1"/>
  <c r="E105" i="1" s="1"/>
  <c r="E90" i="1"/>
  <c r="D48" i="5"/>
  <c r="F48" i="5" s="1"/>
  <c r="D52" i="5"/>
  <c r="F52" i="5" s="1"/>
  <c r="D56" i="5"/>
  <c r="BV10" i="22723" s="1"/>
  <c r="D60" i="5"/>
  <c r="CX10" i="22723" s="1"/>
  <c r="D53" i="5"/>
  <c r="F53" i="5" s="1"/>
  <c r="D57" i="5"/>
  <c r="F57" i="5" s="1"/>
  <c r="D61" i="5"/>
  <c r="D54" i="5"/>
  <c r="F54" i="5" s="1"/>
  <c r="D58" i="5"/>
  <c r="F58" i="5" s="1"/>
  <c r="D55" i="5"/>
  <c r="F55" i="5" s="1"/>
  <c r="D59" i="5"/>
  <c r="CQ10" i="22723" s="1"/>
  <c r="D47" i="5"/>
  <c r="K10" i="22723" s="1"/>
  <c r="K9" i="22723" s="1"/>
  <c r="AA44" i="2"/>
  <c r="BH51" i="2"/>
  <c r="BJ51" i="2" s="1"/>
  <c r="BJ39" i="2"/>
  <c r="C83" i="1"/>
  <c r="E83" i="1" s="1"/>
  <c r="E126" i="1"/>
  <c r="E127" i="1" s="1"/>
  <c r="D49" i="5"/>
  <c r="F49" i="5" s="1"/>
  <c r="CL64" i="2"/>
  <c r="F30" i="2"/>
  <c r="C8" i="2"/>
  <c r="F8" i="2"/>
  <c r="CL30" i="2"/>
  <c r="CL31" i="2" s="1"/>
  <c r="CI8" i="2"/>
  <c r="F157" i="1"/>
  <c r="F158" i="1"/>
  <c r="F159" i="1"/>
  <c r="F161" i="1"/>
  <c r="F154" i="1"/>
  <c r="F155" i="1"/>
  <c r="F156" i="1"/>
  <c r="BQ37" i="2"/>
  <c r="BO52" i="2"/>
  <c r="CZ37" i="2"/>
  <c r="CX52" i="2"/>
  <c r="BV52" i="2"/>
  <c r="BX37" i="2"/>
  <c r="B138" i="3"/>
  <c r="H209" i="22715"/>
  <c r="K35" i="3"/>
  <c r="F35" i="3"/>
  <c r="CC51" i="22723"/>
  <c r="AA53" i="22723"/>
  <c r="AH57" i="22723"/>
  <c r="BK9" i="22723"/>
  <c r="BK10" i="22723" s="1"/>
  <c r="C78" i="5"/>
  <c r="T51" i="22723"/>
  <c r="Y51" i="22723"/>
  <c r="BJ50" i="22723"/>
  <c r="CL50" i="22723"/>
  <c r="D47" i="22725"/>
  <c r="E132" i="22714"/>
  <c r="E133" i="22714" s="1"/>
  <c r="CL54" i="22723"/>
  <c r="AH53" i="22723"/>
  <c r="E72" i="22714"/>
  <c r="AN52" i="22723"/>
  <c r="AO52" i="22723" s="1"/>
  <c r="CY53" i="22723"/>
  <c r="CZ53" i="22723" s="1"/>
  <c r="BB51" i="22723"/>
  <c r="Z52" i="22723"/>
  <c r="AA52" i="22723" s="1"/>
  <c r="BP53" i="22723"/>
  <c r="BQ53" i="22723" s="1"/>
  <c r="Z51" i="22723"/>
  <c r="E55" i="22725"/>
  <c r="H17" i="22730"/>
  <c r="E142" i="22714" s="1"/>
  <c r="DE51" i="22723"/>
  <c r="DG51" i="22723" s="1"/>
  <c r="AA55" i="22723"/>
  <c r="E14" i="22728"/>
  <c r="AH51" i="22723"/>
  <c r="E10" i="22723"/>
  <c r="AV51" i="22723"/>
  <c r="F54" i="22725"/>
  <c r="C83" i="22714"/>
  <c r="E83" i="22714" s="1"/>
  <c r="E86" i="22714" s="1"/>
  <c r="D48" i="22725"/>
  <c r="BC56" i="22723"/>
  <c r="K36" i="22725"/>
  <c r="BX51" i="22723"/>
  <c r="CE50" i="22723"/>
  <c r="R29" i="22723"/>
  <c r="BA29" i="22723"/>
  <c r="AT29" i="22723"/>
  <c r="CQ29" i="22723"/>
  <c r="AP10" i="22723"/>
  <c r="CS55" i="22723"/>
  <c r="CJ29" i="22723"/>
  <c r="AM29" i="22723"/>
  <c r="BO29" i="22723"/>
  <c r="BM8" i="22723"/>
  <c r="P8" i="22723"/>
  <c r="I8" i="22723"/>
  <c r="W8" i="22723"/>
  <c r="CA8" i="22723"/>
  <c r="CV8" i="22723"/>
  <c r="B8" i="22725"/>
  <c r="C79" i="22725" s="1"/>
  <c r="CO8" i="22723"/>
  <c r="AK8" i="22723"/>
  <c r="B8" i="22723"/>
  <c r="AD8" i="22723"/>
  <c r="AR8" i="22723"/>
  <c r="BT8" i="22723"/>
  <c r="BF8" i="22723"/>
  <c r="CH8" i="22723"/>
  <c r="DC8" i="22723"/>
  <c r="AY8" i="22723"/>
  <c r="BH29" i="22723"/>
  <c r="D29" i="22723"/>
  <c r="Y29" i="22723"/>
  <c r="CX29" i="22723"/>
  <c r="B85" i="5"/>
  <c r="G8" i="22725" s="1"/>
  <c r="D8" i="22725" s="1"/>
  <c r="C8" i="22725" s="1"/>
  <c r="AI8" i="22723"/>
  <c r="AI10" i="22723" s="1"/>
  <c r="E71" i="22714"/>
  <c r="CX51" i="22723"/>
  <c r="C190" i="5"/>
  <c r="E166" i="22714" s="1"/>
  <c r="BU59" i="22723"/>
  <c r="C56" i="22725"/>
  <c r="Q58" i="22723"/>
  <c r="E167" i="22714"/>
  <c r="C55" i="22725"/>
  <c r="DD58" i="22723"/>
  <c r="AE58" i="22723"/>
  <c r="AH58" i="22723" s="1"/>
  <c r="CI60" i="22723"/>
  <c r="C60" i="22723"/>
  <c r="CB58" i="22723"/>
  <c r="J58" i="22723"/>
  <c r="BU58" i="22723"/>
  <c r="Q59" i="22723"/>
  <c r="BN59" i="22723"/>
  <c r="CP58" i="22723"/>
  <c r="X60" i="22723"/>
  <c r="AA60" i="22723" s="1"/>
  <c r="AL59" i="22723"/>
  <c r="CW58" i="22723"/>
  <c r="AZ60" i="22723"/>
  <c r="AL58" i="22723"/>
  <c r="AO58" i="22723" s="1"/>
  <c r="DD59" i="22723"/>
  <c r="DG59" i="22723" s="1"/>
  <c r="C192" i="5"/>
  <c r="E168" i="22714" s="1"/>
  <c r="E165" i="22714"/>
  <c r="AE59" i="22723"/>
  <c r="AS58" i="22723"/>
  <c r="AV58" i="22723" s="1"/>
  <c r="Q60" i="22723"/>
  <c r="AS59" i="22723"/>
  <c r="CP60" i="22723"/>
  <c r="J60" i="22723"/>
  <c r="M60" i="22723" s="1"/>
  <c r="CP59" i="22723"/>
  <c r="BN58" i="22723"/>
  <c r="CI58" i="22723"/>
  <c r="AZ58" i="22723"/>
  <c r="BU60" i="22723"/>
  <c r="BN60" i="22723"/>
  <c r="C58" i="22723"/>
  <c r="CB60" i="22723"/>
  <c r="CE60" i="22723" s="1"/>
  <c r="AE60" i="22723"/>
  <c r="AL60" i="22723"/>
  <c r="CW59" i="22723"/>
  <c r="CZ59" i="22723" s="1"/>
  <c r="BG60" i="22723"/>
  <c r="X59" i="22723"/>
  <c r="X58" i="22723"/>
  <c r="AZ59" i="22723"/>
  <c r="BC59" i="22723" s="1"/>
  <c r="CB59" i="22723"/>
  <c r="DD60" i="22723"/>
  <c r="AS60" i="22723"/>
  <c r="J59" i="22723"/>
  <c r="M59" i="22723" s="1"/>
  <c r="CW60" i="22723"/>
  <c r="CI59" i="22723"/>
  <c r="BG58" i="22723"/>
  <c r="BG59" i="22723"/>
  <c r="BJ59" i="22723" s="1"/>
  <c r="C59" i="22723"/>
  <c r="F59" i="22723" s="1"/>
  <c r="E91" i="22714"/>
  <c r="C105" i="22714"/>
  <c r="E105" i="22714" s="1"/>
  <c r="C48" i="5"/>
  <c r="L9" i="22723"/>
  <c r="N8" i="22723"/>
  <c r="N10" i="22723" s="1"/>
  <c r="B86" i="5"/>
  <c r="U9" i="22723"/>
  <c r="U10" i="22723" s="1"/>
  <c r="H63" i="22730"/>
  <c r="D67" i="22730"/>
  <c r="H67" i="22730" s="1"/>
  <c r="BA51" i="22723"/>
  <c r="Y64" i="2"/>
  <c r="AA52" i="2"/>
  <c r="B103" i="3"/>
  <c r="B142" i="3"/>
  <c r="B150" i="3" s="1"/>
  <c r="CE37" i="2"/>
  <c r="CE44" i="2" s="1"/>
  <c r="CC52" i="2"/>
  <c r="AF64" i="2"/>
  <c r="AZ41" i="2"/>
  <c r="BA40" i="2" s="1"/>
  <c r="AY64" i="2"/>
  <c r="BC62" i="2"/>
  <c r="AZ8" i="2"/>
  <c r="AZ10" i="2" s="1"/>
  <c r="BC30" i="2"/>
  <c r="BC31" i="2" s="1"/>
  <c r="BO44" i="2"/>
  <c r="BO45" i="2" s="1"/>
  <c r="BQ45" i="2" s="1"/>
  <c r="BQ40" i="2"/>
  <c r="F51" i="5"/>
  <c r="AM10" i="22723"/>
  <c r="CJ10" i="22723"/>
  <c r="AO40" i="2"/>
  <c r="AM44" i="2"/>
  <c r="AM45" i="2" s="1"/>
  <c r="AO45" i="2" s="1"/>
  <c r="BA10" i="22723"/>
  <c r="F59" i="5"/>
  <c r="D86" i="22715"/>
  <c r="B59" i="22725"/>
  <c r="C39" i="22725"/>
  <c r="D38" i="22725" s="1"/>
  <c r="B49" i="16"/>
  <c r="B62" i="16" s="1"/>
  <c r="C74" i="22731"/>
  <c r="C81" i="22727"/>
  <c r="S8" i="2"/>
  <c r="S8" i="22723"/>
  <c r="B49" i="5"/>
  <c r="C74" i="22732"/>
  <c r="H103" i="22729" l="1"/>
  <c r="E86" i="1"/>
  <c r="CL59" i="22723"/>
  <c r="DG60" i="22723"/>
  <c r="AH59" i="22723"/>
  <c r="BX58" i="22723"/>
  <c r="DG58" i="22723"/>
  <c r="BQ51" i="22723"/>
  <c r="H17" i="22726"/>
  <c r="I17" i="22726" s="1"/>
  <c r="CZ60" i="22723"/>
  <c r="AV59" i="22723"/>
  <c r="T59" i="22723"/>
  <c r="F51" i="22723"/>
  <c r="AA59" i="22723"/>
  <c r="CL58" i="22723"/>
  <c r="T60" i="22723"/>
  <c r="CZ58" i="22723"/>
  <c r="E57" i="22728"/>
  <c r="E73" i="22728" s="1"/>
  <c r="H55" i="22730"/>
  <c r="B136" i="3"/>
  <c r="AA64" i="2"/>
  <c r="AH64" i="2"/>
  <c r="DE44" i="2"/>
  <c r="DE45" i="2" s="1"/>
  <c r="DG45" i="2" s="1"/>
  <c r="DG22" i="22723"/>
  <c r="DG21" i="22723"/>
  <c r="DG20" i="22723"/>
  <c r="CZ22" i="22723"/>
  <c r="CZ21" i="22723"/>
  <c r="CZ20" i="22723"/>
  <c r="CS22" i="22723"/>
  <c r="CS21" i="22723"/>
  <c r="CS20" i="22723"/>
  <c r="CL22" i="22723"/>
  <c r="CL21" i="22723"/>
  <c r="CL20" i="22723"/>
  <c r="CE22" i="22723"/>
  <c r="CE21" i="22723"/>
  <c r="CE20" i="22723"/>
  <c r="BX22" i="22723"/>
  <c r="BX21" i="22723"/>
  <c r="BX20" i="22723"/>
  <c r="BQ22" i="22723"/>
  <c r="BQ21" i="22723"/>
  <c r="BQ20" i="22723"/>
  <c r="BJ22" i="22723"/>
  <c r="BJ21" i="22723"/>
  <c r="BJ20" i="22723"/>
  <c r="BC22" i="22723"/>
  <c r="BC21" i="22723"/>
  <c r="BC20" i="22723"/>
  <c r="AV22" i="22723"/>
  <c r="AV21" i="22723"/>
  <c r="AV20" i="22723"/>
  <c r="AA22" i="22723"/>
  <c r="AA20" i="22723"/>
  <c r="T22" i="22723"/>
  <c r="T20" i="22723"/>
  <c r="M22" i="22723"/>
  <c r="M20" i="22723"/>
  <c r="F21" i="22723"/>
  <c r="F21" i="22725"/>
  <c r="F20" i="22725"/>
  <c r="F19" i="22725"/>
  <c r="AO22" i="22723"/>
  <c r="AO21" i="22723"/>
  <c r="AO20" i="22723"/>
  <c r="AH22" i="22723"/>
  <c r="AH21" i="22723"/>
  <c r="AH20" i="22723"/>
  <c r="AA21" i="22723"/>
  <c r="T21" i="22723"/>
  <c r="M21" i="22723"/>
  <c r="F20" i="22723"/>
  <c r="F22" i="22723"/>
  <c r="F48" i="22725"/>
  <c r="B101" i="22725" s="1"/>
  <c r="AV60" i="22723"/>
  <c r="AA58" i="22723"/>
  <c r="AO60" i="22723"/>
  <c r="BC58" i="22723"/>
  <c r="BQ58" i="22723"/>
  <c r="AO59" i="22723"/>
  <c r="AT10" i="22723"/>
  <c r="AT9" i="22723" s="1"/>
  <c r="BO10" i="22723"/>
  <c r="H25" i="22726" s="1"/>
  <c r="I25" i="22726" s="1"/>
  <c r="F47" i="5"/>
  <c r="H32" i="22730"/>
  <c r="H46" i="22730" s="1"/>
  <c r="H49" i="22730" s="1"/>
  <c r="M51" i="22723"/>
  <c r="CC10" i="22723"/>
  <c r="CC8" i="22723" s="1"/>
  <c r="C73" i="22732"/>
  <c r="B83" i="16"/>
  <c r="CT8" i="2"/>
  <c r="CQ8" i="2" s="1"/>
  <c r="R26" i="2"/>
  <c r="T26" i="2" s="1"/>
  <c r="T44" i="2"/>
  <c r="DE52" i="2"/>
  <c r="AA49" i="2"/>
  <c r="CS51" i="22723"/>
  <c r="F58" i="22723"/>
  <c r="AT44" i="2"/>
  <c r="AT45" i="2" s="1"/>
  <c r="AV45" i="2" s="1"/>
  <c r="BA64" i="2"/>
  <c r="R44" i="2"/>
  <c r="R45" i="2" s="1"/>
  <c r="T45" i="2" s="1"/>
  <c r="C72" i="22732"/>
  <c r="BX44" i="2"/>
  <c r="BX49" i="2" s="1"/>
  <c r="CI10" i="2"/>
  <c r="D52" i="2"/>
  <c r="F52" i="2" s="1"/>
  <c r="Y10" i="22723"/>
  <c r="Y9" i="22723" s="1"/>
  <c r="BC64" i="2"/>
  <c r="AT52" i="2"/>
  <c r="AV52" i="2" s="1"/>
  <c r="AV64" i="2" s="1"/>
  <c r="M64" i="2"/>
  <c r="AV44" i="2"/>
  <c r="DG44" i="2"/>
  <c r="DG49" i="2" s="1"/>
  <c r="AT64" i="2"/>
  <c r="CR15" i="22723"/>
  <c r="CS15" i="22723" s="1"/>
  <c r="CD15" i="22723"/>
  <c r="CE15" i="22723" s="1"/>
  <c r="Z15" i="22723"/>
  <c r="AA15" i="22723" s="1"/>
  <c r="BI14" i="22723"/>
  <c r="BJ14" i="22723" s="1"/>
  <c r="AG14" i="22723"/>
  <c r="AH14" i="22723" s="1"/>
  <c r="E16" i="22725"/>
  <c r="F16" i="22725" s="1"/>
  <c r="DF14" i="22723"/>
  <c r="DG14" i="22723" s="1"/>
  <c r="E14" i="22725"/>
  <c r="F14" i="22725" s="1"/>
  <c r="S15" i="22723"/>
  <c r="T15" i="22723" s="1"/>
  <c r="BW15" i="22723"/>
  <c r="BX15" i="22723" s="1"/>
  <c r="CR14" i="22723"/>
  <c r="CS14" i="22723" s="1"/>
  <c r="CK14" i="22723"/>
  <c r="CL14" i="22723" s="1"/>
  <c r="AG15" i="22723"/>
  <c r="AH15" i="22723" s="1"/>
  <c r="BI15" i="22723"/>
  <c r="BJ15" i="22723" s="1"/>
  <c r="Z14" i="22723"/>
  <c r="AA14" i="22723" s="1"/>
  <c r="AA18" i="22723" s="1"/>
  <c r="L14" i="22723"/>
  <c r="M14" i="22723" s="1"/>
  <c r="BW14" i="22723"/>
  <c r="BX14" i="22723" s="1"/>
  <c r="AU14" i="22723"/>
  <c r="AV14" i="22723" s="1"/>
  <c r="AN15" i="22723"/>
  <c r="AO15" i="22723" s="1"/>
  <c r="S14" i="22723"/>
  <c r="T14" i="22723" s="1"/>
  <c r="CK15" i="22723"/>
  <c r="CL15" i="22723" s="1"/>
  <c r="E15" i="22723"/>
  <c r="F15" i="22723" s="1"/>
  <c r="CD14" i="22723"/>
  <c r="CE14" i="22723" s="1"/>
  <c r="CY14" i="22723"/>
  <c r="CZ14" i="22723" s="1"/>
  <c r="BB14" i="22723"/>
  <c r="BC14" i="22723" s="1"/>
  <c r="E17" i="22725"/>
  <c r="F17" i="22725" s="1"/>
  <c r="E15" i="22725"/>
  <c r="F15" i="22725" s="1"/>
  <c r="L15" i="22723"/>
  <c r="M15" i="22723" s="1"/>
  <c r="BP14" i="22723"/>
  <c r="BQ14" i="22723" s="1"/>
  <c r="AN14" i="22723"/>
  <c r="AO14" i="22723" s="1"/>
  <c r="E14" i="22723"/>
  <c r="F14" i="22723" s="1"/>
  <c r="CY15" i="22723"/>
  <c r="CZ15" i="22723" s="1"/>
  <c r="BB15" i="22723"/>
  <c r="BC15" i="22723" s="1"/>
  <c r="AU15" i="22723"/>
  <c r="AV15" i="22723" s="1"/>
  <c r="AV18" i="22723" s="1"/>
  <c r="BP15" i="22723"/>
  <c r="BQ15" i="22723" s="1"/>
  <c r="M44" i="2"/>
  <c r="M49" i="2" s="1"/>
  <c r="F46" i="5"/>
  <c r="BJ58" i="22723"/>
  <c r="BQ60" i="22723"/>
  <c r="BC60" i="22723"/>
  <c r="CS58" i="22723"/>
  <c r="M58" i="22723"/>
  <c r="T58" i="22723"/>
  <c r="AF10" i="22723"/>
  <c r="AF9" i="22723" s="1"/>
  <c r="AH60" i="22723"/>
  <c r="CE58" i="22723"/>
  <c r="CE51" i="22723"/>
  <c r="F60" i="5"/>
  <c r="D62" i="5"/>
  <c r="F60" i="22723"/>
  <c r="CS59" i="22723"/>
  <c r="BX60" i="22723"/>
  <c r="CS60" i="22723"/>
  <c r="CZ51" i="22723"/>
  <c r="CL60" i="22723"/>
  <c r="F47" i="22725"/>
  <c r="B103" i="22725" s="1"/>
  <c r="CL51" i="22723"/>
  <c r="BQ59" i="22723"/>
  <c r="F56" i="22725"/>
  <c r="CE59" i="22723"/>
  <c r="BJ60" i="22723"/>
  <c r="BX59" i="22723"/>
  <c r="BJ51" i="22723"/>
  <c r="AO44" i="2"/>
  <c r="AO49" i="2" s="1"/>
  <c r="D61" i="3"/>
  <c r="B77" i="22715" s="1"/>
  <c r="B112" i="3"/>
  <c r="H118" i="22715" s="1"/>
  <c r="B140" i="22725"/>
  <c r="B148" i="22725" s="1"/>
  <c r="J201" i="22715" s="1"/>
  <c r="AA51" i="22723"/>
  <c r="K64" i="2"/>
  <c r="BC51" i="22723"/>
  <c r="E106" i="22714"/>
  <c r="E108" i="22714" s="1"/>
  <c r="B86" i="22715"/>
  <c r="C86" i="22715" s="1"/>
  <c r="B61" i="3"/>
  <c r="B83" i="22715" s="1"/>
  <c r="F59" i="3"/>
  <c r="B99" i="3" s="1"/>
  <c r="BQ44" i="2"/>
  <c r="BQ49" i="2" s="1"/>
  <c r="T52" i="2"/>
  <c r="T64" i="2" s="1"/>
  <c r="D27" i="4"/>
  <c r="M70" i="2"/>
  <c r="R10" i="22723"/>
  <c r="H18" i="22726" s="1"/>
  <c r="I18" i="22726" s="1"/>
  <c r="BJ44" i="2"/>
  <c r="BJ49" i="2" s="1"/>
  <c r="CT10" i="2"/>
  <c r="BH10" i="22723"/>
  <c r="BH9" i="22723" s="1"/>
  <c r="BG9" i="22723" s="1"/>
  <c r="C10" i="2"/>
  <c r="AH49" i="2"/>
  <c r="D44" i="2"/>
  <c r="D45" i="2" s="1"/>
  <c r="F45" i="2" s="1"/>
  <c r="F40" i="2"/>
  <c r="F44" i="2" s="1"/>
  <c r="CC44" i="2"/>
  <c r="CC45" i="2" s="1"/>
  <c r="CE45" i="2" s="1"/>
  <c r="CE49" i="2" s="1"/>
  <c r="F64" i="2"/>
  <c r="BH64" i="2"/>
  <c r="CS40" i="2"/>
  <c r="CS44" i="2" s="1"/>
  <c r="CQ44" i="2"/>
  <c r="CQ45" i="2" s="1"/>
  <c r="CS45" i="2" s="1"/>
  <c r="BJ52" i="2"/>
  <c r="BJ64" i="2" s="1"/>
  <c r="DG18" i="22723"/>
  <c r="C15" i="22715"/>
  <c r="D77" i="5" s="1"/>
  <c r="BG61" i="22723" s="1"/>
  <c r="H32" i="22729"/>
  <c r="H46" i="22729" s="1"/>
  <c r="H49" i="22729" s="1"/>
  <c r="F10" i="2"/>
  <c r="F12" i="2" s="1"/>
  <c r="F70" i="2" s="1"/>
  <c r="C50" i="16"/>
  <c r="Z9" i="2"/>
  <c r="AA9" i="2" s="1"/>
  <c r="C62" i="16"/>
  <c r="C107" i="1"/>
  <c r="DA9" i="2"/>
  <c r="C84" i="16"/>
  <c r="DH9" i="2" s="1"/>
  <c r="CS51" i="2"/>
  <c r="CS64" i="2" s="1"/>
  <c r="CQ64" i="2"/>
  <c r="D63" i="5"/>
  <c r="F31" i="2"/>
  <c r="CS29" i="2"/>
  <c r="CP9" i="2"/>
  <c r="E129" i="1"/>
  <c r="CZ40" i="2"/>
  <c r="CZ44" i="2" s="1"/>
  <c r="CX44" i="2"/>
  <c r="CX45" i="2" s="1"/>
  <c r="CZ45" i="2" s="1"/>
  <c r="D65" i="5"/>
  <c r="C106" i="1"/>
  <c r="E136" i="1"/>
  <c r="C107" i="22729"/>
  <c r="H107" i="22729" s="1"/>
  <c r="H105" i="22729"/>
  <c r="F56" i="5"/>
  <c r="E146" i="1"/>
  <c r="B133" i="3"/>
  <c r="B148" i="3" s="1"/>
  <c r="H199" i="22715" s="1"/>
  <c r="E72" i="1"/>
  <c r="E71" i="1"/>
  <c r="E111" i="1"/>
  <c r="F15" i="1" s="1"/>
  <c r="CS30" i="2"/>
  <c r="CS31" i="2" s="1"/>
  <c r="CP8" i="2"/>
  <c r="E106" i="1"/>
  <c r="E107" i="1"/>
  <c r="B139" i="3"/>
  <c r="B149" i="3" s="1"/>
  <c r="H200" i="22715" s="1"/>
  <c r="CX64" i="2"/>
  <c r="CZ52" i="2"/>
  <c r="CZ64" i="2" s="1"/>
  <c r="BX52" i="2"/>
  <c r="BX64" i="2" s="1"/>
  <c r="BV64" i="2"/>
  <c r="BQ52" i="2"/>
  <c r="BQ64" i="2" s="1"/>
  <c r="BO64" i="2"/>
  <c r="C79" i="5"/>
  <c r="BR9" i="22723"/>
  <c r="BR10" i="22723" s="1"/>
  <c r="D59" i="22725"/>
  <c r="F75" i="22725" s="1"/>
  <c r="J82" i="22715" s="1"/>
  <c r="F28" i="22725"/>
  <c r="F55" i="22725"/>
  <c r="E107" i="22714"/>
  <c r="E109" i="22714" s="1"/>
  <c r="E114" i="22714" s="1"/>
  <c r="E75" i="22728"/>
  <c r="K8" i="22723"/>
  <c r="M8" i="22723" s="1"/>
  <c r="L10" i="22723"/>
  <c r="H69" i="22730"/>
  <c r="C106" i="22714"/>
  <c r="E170" i="22714"/>
  <c r="S9" i="22723"/>
  <c r="S10" i="22723" s="1"/>
  <c r="C49" i="5"/>
  <c r="F155" i="22714"/>
  <c r="F158" i="22714"/>
  <c r="F156" i="22714"/>
  <c r="F157" i="22714"/>
  <c r="F159" i="22714"/>
  <c r="F161" i="22714"/>
  <c r="F154" i="22714"/>
  <c r="E169" i="22714"/>
  <c r="E164" i="22714"/>
  <c r="C107" i="22714"/>
  <c r="E136" i="22714"/>
  <c r="E137" i="22714" s="1"/>
  <c r="F133" i="22714" s="1"/>
  <c r="F160" i="22714"/>
  <c r="E146" i="22714"/>
  <c r="E111" i="22714"/>
  <c r="CC64" i="2"/>
  <c r="CE52" i="2"/>
  <c r="CE64" i="2" s="1"/>
  <c r="H201" i="22715"/>
  <c r="F61" i="5"/>
  <c r="DE10" i="22723"/>
  <c r="BC40" i="2"/>
  <c r="BC44" i="2" s="1"/>
  <c r="BA44" i="2"/>
  <c r="BA45" i="2" s="1"/>
  <c r="BC45" i="2" s="1"/>
  <c r="AM8" i="22723"/>
  <c r="AM9" i="22723"/>
  <c r="H21" i="22726"/>
  <c r="I21" i="22726" s="1"/>
  <c r="K38" i="3"/>
  <c r="B158" i="3"/>
  <c r="F38" i="3"/>
  <c r="F42" i="3" s="1"/>
  <c r="D42" i="3"/>
  <c r="D43" i="3" s="1"/>
  <c r="F43" i="3" s="1"/>
  <c r="H43" i="3"/>
  <c r="H28" i="22726"/>
  <c r="I28" i="22726" s="1"/>
  <c r="CJ8" i="22723"/>
  <c r="D9" i="22723"/>
  <c r="H16" i="22726"/>
  <c r="I16" i="22726" s="1"/>
  <c r="D8" i="22723"/>
  <c r="D78" i="22715"/>
  <c r="D83" i="22715"/>
  <c r="H26" i="22726"/>
  <c r="I26" i="22726" s="1"/>
  <c r="BV8" i="22723"/>
  <c r="CQ8" i="22723"/>
  <c r="H29" i="22726"/>
  <c r="I29" i="22726" s="1"/>
  <c r="H43" i="22725"/>
  <c r="D42" i="22725"/>
  <c r="D43" i="22725" s="1"/>
  <c r="K38" i="22725"/>
  <c r="M9" i="22723"/>
  <c r="J9" i="22723"/>
  <c r="M28" i="22723"/>
  <c r="CX8" i="22723"/>
  <c r="H30" i="22726"/>
  <c r="I30" i="22726" s="1"/>
  <c r="BA8" i="22723"/>
  <c r="H23" i="22726"/>
  <c r="I23" i="22726" s="1"/>
  <c r="BA9" i="22723"/>
  <c r="B97" i="22725"/>
  <c r="B158" i="22725"/>
  <c r="B165" i="22725" s="1"/>
  <c r="H22" i="22726"/>
  <c r="I22" i="22726" s="1"/>
  <c r="S10" i="2"/>
  <c r="T8" i="2"/>
  <c r="T10" i="2" s="1"/>
  <c r="T12" i="2" s="1"/>
  <c r="Z8" i="2"/>
  <c r="C75" i="22731"/>
  <c r="B50" i="16"/>
  <c r="C82" i="22727"/>
  <c r="B50" i="5"/>
  <c r="C75" i="22732"/>
  <c r="Z8" i="22723"/>
  <c r="H112" i="22729" l="1"/>
  <c r="F62" i="5"/>
  <c r="H85" i="22730"/>
  <c r="H100" i="22730" s="1"/>
  <c r="Y8" i="22723"/>
  <c r="AA29" i="22723" s="1"/>
  <c r="AT8" i="22723"/>
  <c r="AV29" i="22723" s="1"/>
  <c r="BJ28" i="22723"/>
  <c r="BO8" i="22723"/>
  <c r="BN8" i="22723" s="1"/>
  <c r="B110" i="22725"/>
  <c r="J118" i="22715" s="1"/>
  <c r="I118" i="22715" s="1"/>
  <c r="BC23" i="22723"/>
  <c r="BQ23" i="22723"/>
  <c r="CE23" i="22723"/>
  <c r="CS23" i="22723"/>
  <c r="DG23" i="22723"/>
  <c r="F23" i="22723"/>
  <c r="D64" i="2"/>
  <c r="T49" i="2"/>
  <c r="AH23" i="22723"/>
  <c r="F22" i="22725"/>
  <c r="M23" i="22723"/>
  <c r="T23" i="22723"/>
  <c r="AA23" i="22723"/>
  <c r="AV23" i="22723"/>
  <c r="BJ23" i="22723"/>
  <c r="BX23" i="22723"/>
  <c r="CL23" i="22723"/>
  <c r="CZ23" i="22723"/>
  <c r="AO23" i="22723"/>
  <c r="H27" i="22726"/>
  <c r="I27" i="22726" s="1"/>
  <c r="H19" i="22726"/>
  <c r="I19" i="22726" s="1"/>
  <c r="H20" i="22726"/>
  <c r="I20" i="22726" s="1"/>
  <c r="R9" i="22723"/>
  <c r="T28" i="22723" s="1"/>
  <c r="DA8" i="2"/>
  <c r="CX8" i="2" s="1"/>
  <c r="B84" i="16"/>
  <c r="DH8" i="2" s="1"/>
  <c r="DE8" i="2" s="1"/>
  <c r="B115" i="22725"/>
  <c r="J132" i="22715" s="1"/>
  <c r="BX18" i="22723"/>
  <c r="BC18" i="22723"/>
  <c r="AH18" i="22723"/>
  <c r="T18" i="22723"/>
  <c r="F18" i="22725"/>
  <c r="DE64" i="2"/>
  <c r="DG52" i="2"/>
  <c r="DG64" i="2" s="1"/>
  <c r="BH8" i="22723"/>
  <c r="BG8" i="22723" s="1"/>
  <c r="BG10" i="22723" s="1"/>
  <c r="AV49" i="2"/>
  <c r="CS18" i="22723"/>
  <c r="CL18" i="22723"/>
  <c r="BQ18" i="22723"/>
  <c r="F18" i="22723"/>
  <c r="CE18" i="22723"/>
  <c r="CZ18" i="22723"/>
  <c r="M18" i="22723"/>
  <c r="BJ18" i="22723"/>
  <c r="AO18" i="22723"/>
  <c r="CS49" i="2"/>
  <c r="B78" i="22715"/>
  <c r="C78" i="22715" s="1"/>
  <c r="B85" i="22715"/>
  <c r="D26" i="4"/>
  <c r="AF8" i="22723"/>
  <c r="AE8" i="22723" s="1"/>
  <c r="BH61" i="22723"/>
  <c r="BH63" i="22723" s="1"/>
  <c r="F59" i="22725"/>
  <c r="C102" i="22725" s="1"/>
  <c r="CP10" i="2"/>
  <c r="D47" i="4"/>
  <c r="D48" i="4" s="1"/>
  <c r="I201" i="22715"/>
  <c r="F61" i="3"/>
  <c r="C102" i="3" s="1"/>
  <c r="B80" i="22715"/>
  <c r="H24" i="22726"/>
  <c r="I24" i="22726" s="1"/>
  <c r="R8" i="22723"/>
  <c r="T29" i="22723" s="1"/>
  <c r="D37" i="22726"/>
  <c r="D38" i="22726" s="1"/>
  <c r="F107" i="22714"/>
  <c r="B160" i="3"/>
  <c r="B167" i="3" s="1"/>
  <c r="H257" i="22715" s="1"/>
  <c r="M29" i="22723"/>
  <c r="M30" i="22723" s="1"/>
  <c r="F49" i="2"/>
  <c r="M56" i="22725"/>
  <c r="F63" i="5"/>
  <c r="D79" i="5"/>
  <c r="BU61" i="22723" s="1"/>
  <c r="BV61" i="22723" s="1"/>
  <c r="BT63" i="22723" s="1"/>
  <c r="D70" i="5"/>
  <c r="J61" i="22723" s="1"/>
  <c r="K61" i="22723" s="1"/>
  <c r="D76" i="5"/>
  <c r="AZ61" i="22723" s="1"/>
  <c r="BA61" i="22723" s="1"/>
  <c r="AY63" i="22723" s="1"/>
  <c r="D71" i="5"/>
  <c r="Q61" i="22723" s="1"/>
  <c r="R61" i="22723" s="1"/>
  <c r="Q40" i="22723" s="1"/>
  <c r="R39" i="22723" s="1"/>
  <c r="R43" i="22723" s="1"/>
  <c r="R44" i="22723" s="1"/>
  <c r="D73" i="5"/>
  <c r="AE61" i="22723" s="1"/>
  <c r="AF61" i="22723" s="1"/>
  <c r="AH61" i="22723" s="1"/>
  <c r="AH63" i="22723" s="1"/>
  <c r="D83" i="5"/>
  <c r="CW61" i="22723" s="1"/>
  <c r="CX61" i="22723" s="1"/>
  <c r="CZ61" i="22723" s="1"/>
  <c r="CZ63" i="22723" s="1"/>
  <c r="D69" i="5"/>
  <c r="D78" i="5"/>
  <c r="BN61" i="22723" s="1"/>
  <c r="BO61" i="22723" s="1"/>
  <c r="BQ61" i="22723" s="1"/>
  <c r="BQ63" i="22723" s="1"/>
  <c r="D74" i="5"/>
  <c r="AL61" i="22723" s="1"/>
  <c r="AM61" i="22723" s="1"/>
  <c r="AM63" i="22723" s="1"/>
  <c r="D75" i="5"/>
  <c r="AS61" i="22723" s="1"/>
  <c r="AT61" i="22723" s="1"/>
  <c r="AR63" i="22723" s="1"/>
  <c r="D82" i="5"/>
  <c r="CP61" i="22723" s="1"/>
  <c r="CQ61" i="22723" s="1"/>
  <c r="CQ63" i="22723" s="1"/>
  <c r="D84" i="5"/>
  <c r="DD61" i="22723" s="1"/>
  <c r="DE61" i="22723" s="1"/>
  <c r="D81" i="5"/>
  <c r="CI61" i="22723" s="1"/>
  <c r="CJ61" i="22723" s="1"/>
  <c r="CI40" i="22723" s="1"/>
  <c r="CJ39" i="22723" s="1"/>
  <c r="D80" i="5"/>
  <c r="CB61" i="22723" s="1"/>
  <c r="CC61" i="22723" s="1"/>
  <c r="CA63" i="22723" s="1"/>
  <c r="D72" i="5"/>
  <c r="X61" i="22723" s="1"/>
  <c r="Y61" i="22723" s="1"/>
  <c r="X40" i="22723" s="1"/>
  <c r="Y39" i="22723" s="1"/>
  <c r="B151" i="3"/>
  <c r="H178" i="22715" s="1"/>
  <c r="F64" i="5"/>
  <c r="C51" i="16"/>
  <c r="AG9" i="2"/>
  <c r="AH9" i="2" s="1"/>
  <c r="CZ49" i="2"/>
  <c r="DE9" i="2"/>
  <c r="CX9" i="2"/>
  <c r="DA10" i="2"/>
  <c r="C86" i="16"/>
  <c r="C188" i="16"/>
  <c r="CE27" i="2" s="1"/>
  <c r="C85" i="16"/>
  <c r="G9" i="3" s="1"/>
  <c r="D80" i="22715"/>
  <c r="Q8" i="22723"/>
  <c r="E109" i="1"/>
  <c r="E114" i="1" s="1"/>
  <c r="E115" i="1" s="1"/>
  <c r="F107" i="1"/>
  <c r="F123" i="1"/>
  <c r="E149" i="1"/>
  <c r="F146" i="1" s="1"/>
  <c r="D77" i="22715"/>
  <c r="D85" i="22715" s="1"/>
  <c r="E108" i="1"/>
  <c r="E112" i="1" s="1"/>
  <c r="F106" i="1"/>
  <c r="F67" i="1"/>
  <c r="F85" i="1"/>
  <c r="F91" i="1"/>
  <c r="F65" i="1"/>
  <c r="F78" i="1"/>
  <c r="F96" i="1"/>
  <c r="F66" i="1"/>
  <c r="F111" i="1"/>
  <c r="F13" i="1"/>
  <c r="F102" i="1"/>
  <c r="F11" i="1"/>
  <c r="F104" i="1"/>
  <c r="F9" i="1"/>
  <c r="F68" i="1"/>
  <c r="F12" i="1"/>
  <c r="F94" i="1"/>
  <c r="F93" i="1"/>
  <c r="F77" i="1"/>
  <c r="F99" i="1"/>
  <c r="F75" i="1"/>
  <c r="F84" i="1"/>
  <c r="F101" i="1"/>
  <c r="F95" i="1"/>
  <c r="F98" i="1"/>
  <c r="F103" i="1"/>
  <c r="F81" i="1"/>
  <c r="F100" i="1"/>
  <c r="F79" i="1"/>
  <c r="F80" i="1"/>
  <c r="F92" i="1"/>
  <c r="F76" i="1"/>
  <c r="F97" i="1"/>
  <c r="F82" i="1"/>
  <c r="F14" i="1"/>
  <c r="F105" i="1"/>
  <c r="E137" i="1"/>
  <c r="F129" i="1" s="1"/>
  <c r="F90" i="1"/>
  <c r="F83" i="1"/>
  <c r="F86" i="1"/>
  <c r="B144" i="3"/>
  <c r="BO9" i="22723"/>
  <c r="BN9" i="22723" s="1"/>
  <c r="C80" i="5"/>
  <c r="BY9" i="22723"/>
  <c r="M10" i="22723"/>
  <c r="M12" i="22723" s="1"/>
  <c r="M69" i="22723" s="1"/>
  <c r="J8" i="22723"/>
  <c r="J10" i="22723" s="1"/>
  <c r="F129" i="22714"/>
  <c r="F86" i="22714"/>
  <c r="E163" i="22714"/>
  <c r="F106" i="22714"/>
  <c r="F91" i="22714"/>
  <c r="E149" i="22714"/>
  <c r="F128" i="22714"/>
  <c r="F119" i="22714"/>
  <c r="F167" i="22714"/>
  <c r="G167" i="22714" s="1"/>
  <c r="E139" i="22714"/>
  <c r="F131" i="22714"/>
  <c r="F118" i="22714"/>
  <c r="F121" i="22714"/>
  <c r="F122" i="22714"/>
  <c r="F137" i="22714"/>
  <c r="F124" i="22714"/>
  <c r="F120" i="22714"/>
  <c r="F125" i="22714"/>
  <c r="F126" i="22714"/>
  <c r="F127" i="22714"/>
  <c r="F132" i="22714"/>
  <c r="F135" i="22714"/>
  <c r="C50" i="5"/>
  <c r="Z9" i="22723"/>
  <c r="AA9" i="22723" s="1"/>
  <c r="F108" i="22714"/>
  <c r="E112" i="22714"/>
  <c r="F31" i="22714"/>
  <c r="F32" i="22714"/>
  <c r="F24" i="22714"/>
  <c r="F30" i="22714"/>
  <c r="F13" i="22714"/>
  <c r="F25" i="22714"/>
  <c r="F77" i="22714"/>
  <c r="F78" i="22714"/>
  <c r="F163" i="22714"/>
  <c r="F85" i="22714"/>
  <c r="F26" i="22714"/>
  <c r="F17" i="22714"/>
  <c r="F68" i="22714"/>
  <c r="F11" i="22714"/>
  <c r="F27" i="22714"/>
  <c r="F20" i="22714"/>
  <c r="F33" i="22714"/>
  <c r="F35" i="22714"/>
  <c r="F82" i="22714"/>
  <c r="F21" i="22714"/>
  <c r="F66" i="22714"/>
  <c r="F111" i="22714"/>
  <c r="F79" i="22714"/>
  <c r="F80" i="22714"/>
  <c r="F14" i="22714"/>
  <c r="F65" i="22714"/>
  <c r="F12" i="22714"/>
  <c r="F18" i="22714"/>
  <c r="F9" i="22714"/>
  <c r="F34" i="22714"/>
  <c r="F22" i="22714"/>
  <c r="F19" i="22714"/>
  <c r="F75" i="22714"/>
  <c r="F28" i="22714"/>
  <c r="F67" i="22714"/>
  <c r="F84" i="22714"/>
  <c r="F23" i="22714"/>
  <c r="F15" i="22714"/>
  <c r="F81" i="22714"/>
  <c r="F83" i="22714"/>
  <c r="F92" i="22714"/>
  <c r="F104" i="22714"/>
  <c r="F93" i="22714"/>
  <c r="F99" i="22714"/>
  <c r="F100" i="22714"/>
  <c r="F103" i="22714"/>
  <c r="F97" i="22714"/>
  <c r="F96" i="22714"/>
  <c r="F90" i="22714"/>
  <c r="F101" i="22714"/>
  <c r="F94" i="22714"/>
  <c r="F95" i="22714"/>
  <c r="F76" i="22714"/>
  <c r="F98" i="22714"/>
  <c r="F105" i="22714"/>
  <c r="F123" i="22714"/>
  <c r="F136" i="22714"/>
  <c r="E115" i="22714"/>
  <c r="H202" i="22715"/>
  <c r="F65" i="5"/>
  <c r="DE8" i="22723"/>
  <c r="H31" i="22726"/>
  <c r="I31" i="22726" s="1"/>
  <c r="C83" i="22715"/>
  <c r="BC49" i="2"/>
  <c r="B157" i="3"/>
  <c r="F29" i="22723"/>
  <c r="F8" i="22723"/>
  <c r="C8" i="22723"/>
  <c r="AA28" i="22723"/>
  <c r="AA30" i="22723" s="1"/>
  <c r="X9" i="22723"/>
  <c r="AE9" i="22723"/>
  <c r="AH28" i="22723"/>
  <c r="AO29" i="22723"/>
  <c r="AL8" i="22723"/>
  <c r="B110" i="3"/>
  <c r="B106" i="3"/>
  <c r="CI8" i="22723"/>
  <c r="CL29" i="22723"/>
  <c r="AO28" i="22723"/>
  <c r="AL9" i="22723"/>
  <c r="F9" i="22723"/>
  <c r="C9" i="22723"/>
  <c r="F28" i="22723"/>
  <c r="X8" i="22723"/>
  <c r="K43" i="3"/>
  <c r="K46" i="3" s="1"/>
  <c r="BQ29" i="22723"/>
  <c r="B108" i="22725"/>
  <c r="B104" i="22725"/>
  <c r="K43" i="22725"/>
  <c r="K44" i="22725" s="1"/>
  <c r="AS9" i="22723"/>
  <c r="AV28" i="22723"/>
  <c r="BC28" i="22723"/>
  <c r="AZ9" i="22723"/>
  <c r="CP8" i="22723"/>
  <c r="CS29" i="22723"/>
  <c r="AS8" i="22723"/>
  <c r="J257" i="22715"/>
  <c r="AZ8" i="22723"/>
  <c r="BC29" i="22723"/>
  <c r="CW8" i="22723"/>
  <c r="CZ29" i="22723"/>
  <c r="CE29" i="22723"/>
  <c r="CB8" i="22723"/>
  <c r="BU8" i="22723"/>
  <c r="BX29" i="22723"/>
  <c r="Z10" i="2"/>
  <c r="AA8" i="2"/>
  <c r="AA10" i="2" s="1"/>
  <c r="AA12" i="2" s="1"/>
  <c r="F82" i="22727"/>
  <c r="Y26" i="2"/>
  <c r="AA26" i="2" s="1"/>
  <c r="F75" i="22731"/>
  <c r="T70" i="2"/>
  <c r="D28" i="4"/>
  <c r="C83" i="22727"/>
  <c r="AG8" i="2"/>
  <c r="B51" i="16"/>
  <c r="C76" i="22731"/>
  <c r="F76" i="22731" s="1"/>
  <c r="AA8" i="22723"/>
  <c r="F75" i="22732"/>
  <c r="AG8" i="22723"/>
  <c r="B51" i="5"/>
  <c r="C76" i="22732"/>
  <c r="F76" i="22732" s="1"/>
  <c r="H103" i="22730" l="1"/>
  <c r="D105" i="22730"/>
  <c r="H105" i="22730" s="1"/>
  <c r="B85" i="16"/>
  <c r="G8" i="3" s="1"/>
  <c r="D8" i="3" s="1"/>
  <c r="F77" i="3" s="1"/>
  <c r="H82" i="22715" s="1"/>
  <c r="I82" i="22715" s="1"/>
  <c r="C107" i="22730"/>
  <c r="H107" i="22730" s="1"/>
  <c r="H112" i="22730" s="1"/>
  <c r="C188" i="5" s="1"/>
  <c r="F25" i="22725" s="1"/>
  <c r="F30" i="22723"/>
  <c r="Q9" i="22723"/>
  <c r="T30" i="22723"/>
  <c r="AH29" i="22723"/>
  <c r="B86" i="16"/>
  <c r="BC61" i="22723"/>
  <c r="BC63" i="22723" s="1"/>
  <c r="CP40" i="22723"/>
  <c r="CQ39" i="22723" s="1"/>
  <c r="W63" i="22723"/>
  <c r="T9" i="22723"/>
  <c r="BQ28" i="22723"/>
  <c r="BQ30" i="22723" s="1"/>
  <c r="C8" i="3"/>
  <c r="F28" i="3"/>
  <c r="B117" i="3" s="1"/>
  <c r="H132" i="22715" s="1"/>
  <c r="I132" i="22715" s="1"/>
  <c r="DD8" i="2"/>
  <c r="DG30" i="2"/>
  <c r="DH10" i="2"/>
  <c r="CW8" i="2"/>
  <c r="CZ30" i="2"/>
  <c r="BJ29" i="22723"/>
  <c r="BJ30" i="22723" s="1"/>
  <c r="C85" i="22715"/>
  <c r="BG40" i="22723"/>
  <c r="BH39" i="22723" s="1"/>
  <c r="BH43" i="22723" s="1"/>
  <c r="BH44" i="22723" s="1"/>
  <c r="BA63" i="22723"/>
  <c r="CS61" i="22723"/>
  <c r="CS63" i="22723" s="1"/>
  <c r="AA61" i="22723"/>
  <c r="AA63" i="22723" s="1"/>
  <c r="AZ40" i="22723"/>
  <c r="BA39" i="22723" s="1"/>
  <c r="BA43" i="22723" s="1"/>
  <c r="BA44" i="22723" s="1"/>
  <c r="CO63" i="22723"/>
  <c r="Y63" i="22723"/>
  <c r="BJ61" i="22723"/>
  <c r="BJ63" i="22723" s="1"/>
  <c r="BF63" i="22723"/>
  <c r="BU40" i="22723"/>
  <c r="BV39" i="22723" s="1"/>
  <c r="BV43" i="22723" s="1"/>
  <c r="BV44" i="22723" s="1"/>
  <c r="C80" i="22715"/>
  <c r="CE61" i="22723"/>
  <c r="CE63" i="22723" s="1"/>
  <c r="AE40" i="22723"/>
  <c r="AF39" i="22723" s="1"/>
  <c r="AF43" i="22723" s="1"/>
  <c r="AF44" i="22723" s="1"/>
  <c r="C101" i="22725"/>
  <c r="B86" i="22725"/>
  <c r="J91" i="22715" s="1"/>
  <c r="C103" i="22725"/>
  <c r="C100" i="22725"/>
  <c r="C97" i="22725"/>
  <c r="C99" i="22725"/>
  <c r="C98" i="22725"/>
  <c r="AS40" i="22723"/>
  <c r="AT39" i="22723" s="1"/>
  <c r="AT43" i="22723" s="1"/>
  <c r="AT44" i="22723" s="1"/>
  <c r="CL61" i="22723"/>
  <c r="CL63" i="22723" s="1"/>
  <c r="T8" i="22723"/>
  <c r="AO61" i="22723"/>
  <c r="AO63" i="22723" s="1"/>
  <c r="BV63" i="22723"/>
  <c r="CH63" i="22723"/>
  <c r="AK63" i="22723"/>
  <c r="AD63" i="22723"/>
  <c r="BX61" i="22723"/>
  <c r="BX63" i="22723" s="1"/>
  <c r="CJ63" i="22723"/>
  <c r="AL40" i="22723"/>
  <c r="AM39" i="22723" s="1"/>
  <c r="AM43" i="22723" s="1"/>
  <c r="AM44" i="22723" s="1"/>
  <c r="AF63" i="22723"/>
  <c r="Q10" i="22723"/>
  <c r="C100" i="3"/>
  <c r="C77" i="22715"/>
  <c r="B88" i="3"/>
  <c r="H91" i="22715" s="1"/>
  <c r="C101" i="3"/>
  <c r="C103" i="3"/>
  <c r="C104" i="3"/>
  <c r="C99" i="3"/>
  <c r="C105" i="3"/>
  <c r="CW40" i="22723"/>
  <c r="CX39" i="22723" s="1"/>
  <c r="CX43" i="22723" s="1"/>
  <c r="CX44" i="22723" s="1"/>
  <c r="Z10" i="22723"/>
  <c r="AT63" i="22723"/>
  <c r="AV61" i="22723"/>
  <c r="AV63" i="22723" s="1"/>
  <c r="CX63" i="22723"/>
  <c r="CC63" i="22723"/>
  <c r="CV63" i="22723"/>
  <c r="CB40" i="22723"/>
  <c r="CC39" i="22723" s="1"/>
  <c r="CC43" i="22723" s="1"/>
  <c r="CC44" i="22723" s="1"/>
  <c r="D17" i="22726"/>
  <c r="BM63" i="22723"/>
  <c r="BN40" i="22723"/>
  <c r="BO39" i="22723" s="1"/>
  <c r="BO43" i="22723" s="1"/>
  <c r="BO44" i="22723" s="1"/>
  <c r="C150" i="3"/>
  <c r="H206" i="22715" s="1"/>
  <c r="BO63" i="22723"/>
  <c r="C149" i="3"/>
  <c r="H205" i="22715" s="1"/>
  <c r="T61" i="22723"/>
  <c r="T63" i="22723" s="1"/>
  <c r="C151" i="3"/>
  <c r="C148" i="3"/>
  <c r="H204" i="22715" s="1"/>
  <c r="R63" i="22723"/>
  <c r="P63" i="22723"/>
  <c r="C61" i="22723"/>
  <c r="D61" i="22723" s="1"/>
  <c r="D86" i="5"/>
  <c r="K63" i="22723"/>
  <c r="M61" i="22723"/>
  <c r="M63" i="22723" s="1"/>
  <c r="I63" i="22723"/>
  <c r="J40" i="22723"/>
  <c r="K39" i="22723" s="1"/>
  <c r="K43" i="22723" s="1"/>
  <c r="K44" i="22723" s="1"/>
  <c r="CZ27" i="2"/>
  <c r="F27" i="2"/>
  <c r="F34" i="2" s="1"/>
  <c r="M27" i="2"/>
  <c r="M34" i="2" s="1"/>
  <c r="AV27" i="2"/>
  <c r="C52" i="16"/>
  <c r="AN9" i="2"/>
  <c r="AO9" i="2" s="1"/>
  <c r="BQ27" i="2"/>
  <c r="F25" i="3"/>
  <c r="BJ27" i="2"/>
  <c r="CS27" i="2"/>
  <c r="CZ29" i="2"/>
  <c r="CW9" i="2"/>
  <c r="BC27" i="2"/>
  <c r="AO27" i="2"/>
  <c r="T27" i="2"/>
  <c r="T34" i="2" s="1"/>
  <c r="DG27" i="2"/>
  <c r="D9" i="3"/>
  <c r="G10" i="3"/>
  <c r="BX27" i="2"/>
  <c r="AA27" i="2"/>
  <c r="CL27" i="2"/>
  <c r="AH27" i="2"/>
  <c r="DD9" i="2"/>
  <c r="DG29" i="2"/>
  <c r="DG31" i="2" s="1"/>
  <c r="F25" i="1"/>
  <c r="E113" i="1"/>
  <c r="F113" i="1" s="1"/>
  <c r="F32" i="1"/>
  <c r="F26" i="1"/>
  <c r="F27" i="1"/>
  <c r="F30" i="1"/>
  <c r="F20" i="1"/>
  <c r="F17" i="1"/>
  <c r="F165" i="1"/>
  <c r="G165" i="1" s="1"/>
  <c r="F18" i="1"/>
  <c r="F33" i="1"/>
  <c r="F23" i="1"/>
  <c r="F19" i="1"/>
  <c r="F28" i="1"/>
  <c r="F24" i="1"/>
  <c r="F31" i="1"/>
  <c r="F112" i="1"/>
  <c r="F21" i="1"/>
  <c r="F35" i="1"/>
  <c r="F22" i="1"/>
  <c r="F34" i="1"/>
  <c r="F71" i="1"/>
  <c r="F119" i="1"/>
  <c r="F167" i="1"/>
  <c r="G167" i="1" s="1"/>
  <c r="F128" i="1"/>
  <c r="F124" i="1"/>
  <c r="F122" i="1"/>
  <c r="F118" i="1"/>
  <c r="F121" i="1"/>
  <c r="F137" i="1"/>
  <c r="E139" i="1"/>
  <c r="F120" i="1"/>
  <c r="F131" i="1"/>
  <c r="F132" i="1"/>
  <c r="F125" i="1"/>
  <c r="F135" i="1"/>
  <c r="F133" i="1"/>
  <c r="F127" i="1"/>
  <c r="F126" i="1"/>
  <c r="F163" i="1"/>
  <c r="G163" i="1" s="1"/>
  <c r="F145" i="1"/>
  <c r="F147" i="1"/>
  <c r="F143" i="1"/>
  <c r="F149" i="1"/>
  <c r="F164" i="1"/>
  <c r="G164" i="1" s="1"/>
  <c r="F144" i="1"/>
  <c r="F148" i="1"/>
  <c r="F166" i="1"/>
  <c r="G166" i="1" s="1"/>
  <c r="F168" i="1"/>
  <c r="G168" i="1" s="1"/>
  <c r="F142" i="1"/>
  <c r="F136" i="1"/>
  <c r="J29" i="22725"/>
  <c r="B131" i="22725"/>
  <c r="B146" i="22725" s="1"/>
  <c r="J199" i="22715" s="1"/>
  <c r="I199" i="22715" s="1"/>
  <c r="BY10" i="22723"/>
  <c r="BV9" i="22723"/>
  <c r="CF9" i="22723"/>
  <c r="C81" i="5"/>
  <c r="AA10" i="22723"/>
  <c r="AA12" i="22723" s="1"/>
  <c r="D19" i="22726" s="1"/>
  <c r="G163" i="22714"/>
  <c r="F144" i="22714"/>
  <c r="F166" i="22714"/>
  <c r="G166" i="22714" s="1"/>
  <c r="F149" i="22714"/>
  <c r="F147" i="22714"/>
  <c r="F143" i="22714"/>
  <c r="F145" i="22714"/>
  <c r="F164" i="22714"/>
  <c r="G164" i="22714" s="1"/>
  <c r="F148" i="22714"/>
  <c r="F142" i="22714"/>
  <c r="F168" i="22714"/>
  <c r="G168" i="22714" s="1"/>
  <c r="F71" i="22714"/>
  <c r="F112" i="22714"/>
  <c r="E113" i="22714"/>
  <c r="F113" i="22714" s="1"/>
  <c r="F165" i="22714"/>
  <c r="G165" i="22714" s="1"/>
  <c r="F102" i="22714"/>
  <c r="F146" i="22714"/>
  <c r="C51" i="5"/>
  <c r="AG9" i="22723"/>
  <c r="AH9" i="22723" s="1"/>
  <c r="F47" i="3"/>
  <c r="B119" i="3" s="1"/>
  <c r="H134" i="22715" s="1"/>
  <c r="DG29" i="22723"/>
  <c r="DD8" i="22723"/>
  <c r="DC63" i="22723"/>
  <c r="DG61" i="22723"/>
  <c r="DG63" i="22723" s="1"/>
  <c r="DE63" i="22723"/>
  <c r="DD40" i="22723"/>
  <c r="DE39" i="22723" s="1"/>
  <c r="DE43" i="22723" s="1"/>
  <c r="DE44" i="22723" s="1"/>
  <c r="X10" i="22723"/>
  <c r="AS10" i="22723"/>
  <c r="AE10" i="22723"/>
  <c r="AO30" i="22723"/>
  <c r="I257" i="22715"/>
  <c r="BC30" i="22723"/>
  <c r="CJ43" i="22723"/>
  <c r="CJ44" i="22723" s="1"/>
  <c r="H116" i="22715"/>
  <c r="H119" i="22715" s="1"/>
  <c r="B113" i="3"/>
  <c r="C10" i="22723"/>
  <c r="B162" i="3"/>
  <c r="H229" i="22715" s="1"/>
  <c r="B166" i="3"/>
  <c r="AH30" i="22723"/>
  <c r="F10" i="22723"/>
  <c r="F12" i="22723" s="1"/>
  <c r="Y43" i="22723"/>
  <c r="Y44" i="22723" s="1"/>
  <c r="AL10" i="22723"/>
  <c r="BN10" i="22723"/>
  <c r="CQ43" i="22723"/>
  <c r="CQ44" i="22723" s="1"/>
  <c r="AZ10" i="22723"/>
  <c r="J116" i="22715"/>
  <c r="B111" i="22725"/>
  <c r="C108" i="22725" s="1"/>
  <c r="J122" i="22715" s="1"/>
  <c r="AV30" i="22723"/>
  <c r="AH8" i="2"/>
  <c r="AH10" i="2" s="1"/>
  <c r="AH12" i="2" s="1"/>
  <c r="AG10" i="2"/>
  <c r="F83" i="22727"/>
  <c r="AF26" i="2"/>
  <c r="AH26" i="2" s="1"/>
  <c r="D29" i="4"/>
  <c r="AA70" i="2"/>
  <c r="AN8" i="2"/>
  <c r="C77" i="22731"/>
  <c r="B52" i="16"/>
  <c r="C84" i="22727"/>
  <c r="AH8" i="22723"/>
  <c r="AN8" i="22723"/>
  <c r="B52" i="5"/>
  <c r="C77" i="22732"/>
  <c r="F77" i="22732" s="1"/>
  <c r="AA34" i="2" l="1"/>
  <c r="AB24" i="2" s="1"/>
  <c r="BX26" i="22723"/>
  <c r="CZ26" i="22723"/>
  <c r="AH34" i="2"/>
  <c r="AI24" i="2" s="1"/>
  <c r="CE26" i="22723"/>
  <c r="BC26" i="22723"/>
  <c r="AH26" i="22723"/>
  <c r="M26" i="22723"/>
  <c r="CS26" i="22723"/>
  <c r="F26" i="22723"/>
  <c r="DD10" i="2"/>
  <c r="CW10" i="2"/>
  <c r="T10" i="22723"/>
  <c r="T12" i="22723" s="1"/>
  <c r="D18" i="22726" s="1"/>
  <c r="AO26" i="22723"/>
  <c r="AA26" i="22723"/>
  <c r="T26" i="22723"/>
  <c r="CL26" i="22723"/>
  <c r="BJ26" i="22723"/>
  <c r="BQ26" i="22723"/>
  <c r="AV26" i="22723"/>
  <c r="DG26" i="22723"/>
  <c r="CZ31" i="2"/>
  <c r="I91" i="22715"/>
  <c r="C104" i="22725"/>
  <c r="C106" i="3"/>
  <c r="B63" i="22723"/>
  <c r="D63" i="22723"/>
  <c r="F61" i="22723"/>
  <c r="F63" i="22723" s="1"/>
  <c r="C40" i="22723"/>
  <c r="D39" i="22723" s="1"/>
  <c r="D43" i="22723" s="1"/>
  <c r="D44" i="22723" s="1"/>
  <c r="B25" i="22715"/>
  <c r="C25" i="22715" s="1"/>
  <c r="E36" i="22723" s="1"/>
  <c r="AU9" i="2"/>
  <c r="AV9" i="2" s="1"/>
  <c r="C53" i="16"/>
  <c r="AA69" i="22723"/>
  <c r="F27" i="3"/>
  <c r="C9" i="3"/>
  <c r="C10" i="3" s="1"/>
  <c r="G171" i="1"/>
  <c r="CF10" i="22723"/>
  <c r="CC9" i="22723"/>
  <c r="BU9" i="22723"/>
  <c r="BU10" i="22723" s="1"/>
  <c r="BX28" i="22723"/>
  <c r="BX30" i="22723" s="1"/>
  <c r="C82" i="5"/>
  <c r="CM9" i="22723"/>
  <c r="G171" i="22714"/>
  <c r="F71" i="22723" s="1"/>
  <c r="AH10" i="22723"/>
  <c r="AH12" i="22723" s="1"/>
  <c r="D20" i="22726" s="1"/>
  <c r="AG10" i="22723"/>
  <c r="C52" i="5"/>
  <c r="AN9" i="22723"/>
  <c r="AO9" i="22723" s="1"/>
  <c r="D16" i="22726"/>
  <c r="F69" i="22723"/>
  <c r="C112" i="3"/>
  <c r="H124" i="22715" s="1"/>
  <c r="C111" i="3"/>
  <c r="H123" i="22715" s="1"/>
  <c r="C113" i="3"/>
  <c r="H256" i="22715"/>
  <c r="H258" i="22715" s="1"/>
  <c r="B168" i="3"/>
  <c r="C166" i="3" s="1"/>
  <c r="H261" i="22715" s="1"/>
  <c r="C110" i="3"/>
  <c r="H122" i="22715" s="1"/>
  <c r="C109" i="22725"/>
  <c r="J123" i="22715" s="1"/>
  <c r="C110" i="22725"/>
  <c r="J124" i="22715" s="1"/>
  <c r="C111" i="22725"/>
  <c r="J119" i="22715"/>
  <c r="I119" i="22715" s="1"/>
  <c r="I116" i="22715"/>
  <c r="AU8" i="2"/>
  <c r="B53" i="16"/>
  <c r="C85" i="22727"/>
  <c r="C78" i="22731"/>
  <c r="F78" i="22731" s="1"/>
  <c r="F77" i="22731"/>
  <c r="AM26" i="2"/>
  <c r="AO26" i="2" s="1"/>
  <c r="AO34" i="2" s="1"/>
  <c r="AP24" i="2" s="1"/>
  <c r="F84" i="22727"/>
  <c r="AO8" i="2"/>
  <c r="AO10" i="2" s="1"/>
  <c r="AO12" i="2" s="1"/>
  <c r="AN10" i="2"/>
  <c r="AH70" i="2"/>
  <c r="D30" i="4"/>
  <c r="B53" i="5"/>
  <c r="AU8" i="22723"/>
  <c r="C78" i="22732"/>
  <c r="F78" i="22732" s="1"/>
  <c r="AO8" i="22723"/>
  <c r="AH69" i="22723"/>
  <c r="T69" i="22723" l="1"/>
  <c r="F29" i="3"/>
  <c r="F75" i="3" s="1"/>
  <c r="H48" i="22715" s="1"/>
  <c r="CS47" i="22723"/>
  <c r="Z39" i="22723"/>
  <c r="AA39" i="22723" s="1"/>
  <c r="AG41" i="22723"/>
  <c r="AH41" i="22723" s="1"/>
  <c r="S36" i="22723"/>
  <c r="T36" i="22723" s="1"/>
  <c r="DF46" i="22723"/>
  <c r="DG46" i="22723" s="1"/>
  <c r="Z44" i="22723"/>
  <c r="AA44" i="22723" s="1"/>
  <c r="CY38" i="22723"/>
  <c r="CZ38" i="22723" s="1"/>
  <c r="CK46" i="22723"/>
  <c r="CL46" i="22723" s="1"/>
  <c r="CR42" i="22723"/>
  <c r="CS42" i="22723" s="1"/>
  <c r="BB37" i="22723"/>
  <c r="BC37" i="22723" s="1"/>
  <c r="CD45" i="22723"/>
  <c r="CE45" i="22723" s="1"/>
  <c r="AU45" i="22723"/>
  <c r="AV45" i="22723" s="1"/>
  <c r="CY44" i="22723"/>
  <c r="CZ44" i="22723" s="1"/>
  <c r="BW41" i="22723"/>
  <c r="BX41" i="22723" s="1"/>
  <c r="AG46" i="22723"/>
  <c r="AH46" i="22723" s="1"/>
  <c r="AG39" i="22723"/>
  <c r="AH39" i="22723" s="1"/>
  <c r="CY42" i="22723"/>
  <c r="CZ42" i="22723" s="1"/>
  <c r="CE47" i="22723"/>
  <c r="CD37" i="22723"/>
  <c r="CE37" i="22723" s="1"/>
  <c r="BB38" i="22723"/>
  <c r="BC38" i="22723" s="1"/>
  <c r="CY45" i="22723"/>
  <c r="CZ45" i="22723" s="1"/>
  <c r="BB45" i="22723"/>
  <c r="BC45" i="22723" s="1"/>
  <c r="AN45" i="22723"/>
  <c r="AO45" i="22723" s="1"/>
  <c r="AG45" i="22723"/>
  <c r="AH45" i="22723" s="1"/>
  <c r="CR44" i="22723"/>
  <c r="CS44" i="22723" s="1"/>
  <c r="Z42" i="22723"/>
  <c r="AA42" i="22723" s="1"/>
  <c r="E36" i="22725"/>
  <c r="F36" i="22725" s="1"/>
  <c r="B135" i="22725" s="1"/>
  <c r="BP45" i="22723"/>
  <c r="BQ45" i="22723" s="1"/>
  <c r="CY46" i="22723"/>
  <c r="CZ46" i="22723" s="1"/>
  <c r="AV47" i="22723"/>
  <c r="BI37" i="22723"/>
  <c r="BJ37" i="22723" s="1"/>
  <c r="CD41" i="22723"/>
  <c r="CE41" i="22723" s="1"/>
  <c r="AN36" i="22723"/>
  <c r="AO36" i="22723" s="1"/>
  <c r="BB42" i="22723"/>
  <c r="BC42" i="22723" s="1"/>
  <c r="AG42" i="22723"/>
  <c r="AH42" i="22723" s="1"/>
  <c r="E45" i="22723"/>
  <c r="F45" i="22723" s="1"/>
  <c r="BI42" i="22723"/>
  <c r="BJ42" i="22723" s="1"/>
  <c r="S41" i="22723"/>
  <c r="T41" i="22723" s="1"/>
  <c r="CK38" i="22723"/>
  <c r="CL38" i="22723" s="1"/>
  <c r="BI36" i="22723"/>
  <c r="BJ36" i="22723" s="1"/>
  <c r="BB41" i="22723"/>
  <c r="BC41" i="22723" s="1"/>
  <c r="E38" i="22725"/>
  <c r="F38" i="22725" s="1"/>
  <c r="B155" i="22725" s="1"/>
  <c r="DG47" i="22723"/>
  <c r="L36" i="22723"/>
  <c r="M36" i="22723" s="1"/>
  <c r="BP36" i="22723"/>
  <c r="BQ36" i="22723" s="1"/>
  <c r="L42" i="22723"/>
  <c r="M42" i="22723" s="1"/>
  <c r="BW46" i="22723"/>
  <c r="BX46" i="22723" s="1"/>
  <c r="BI46" i="22723"/>
  <c r="BJ46" i="22723" s="1"/>
  <c r="AU42" i="22723"/>
  <c r="AV42" i="22723" s="1"/>
  <c r="E35" i="22725"/>
  <c r="F35" i="22725" s="1"/>
  <c r="B134" i="22725" s="1"/>
  <c r="CK36" i="22723"/>
  <c r="CL36" i="22723" s="1"/>
  <c r="BP42" i="22723"/>
  <c r="BQ42" i="22723" s="1"/>
  <c r="Z38" i="22723"/>
  <c r="AA38" i="22723" s="1"/>
  <c r="CD42" i="22723"/>
  <c r="CE42" i="22723" s="1"/>
  <c r="AN39" i="22723"/>
  <c r="AO39" i="22723" s="1"/>
  <c r="BW36" i="22723"/>
  <c r="BX36" i="22723" s="1"/>
  <c r="E37" i="22725"/>
  <c r="F37" i="22725" s="1"/>
  <c r="CD38" i="22723"/>
  <c r="CE38" i="22723" s="1"/>
  <c r="BI45" i="22723"/>
  <c r="BJ45" i="22723" s="1"/>
  <c r="BP41" i="22723"/>
  <c r="BQ41" i="22723" s="1"/>
  <c r="CK45" i="22723"/>
  <c r="CL45" i="22723" s="1"/>
  <c r="CD44" i="22723"/>
  <c r="CE44" i="22723" s="1"/>
  <c r="Z45" i="22723"/>
  <c r="AA45" i="22723" s="1"/>
  <c r="CY36" i="22723"/>
  <c r="CZ36" i="22723" s="1"/>
  <c r="L38" i="22723"/>
  <c r="M38" i="22723" s="1"/>
  <c r="BW42" i="22723"/>
  <c r="BX42" i="22723" s="1"/>
  <c r="E44" i="22725"/>
  <c r="Z37" i="22723"/>
  <c r="AA37" i="22723" s="1"/>
  <c r="S39" i="22723"/>
  <c r="T39" i="22723" s="1"/>
  <c r="BW39" i="22723"/>
  <c r="BX39" i="22723" s="1"/>
  <c r="AG38" i="22723"/>
  <c r="AH38" i="22723" s="1"/>
  <c r="CK44" i="22723"/>
  <c r="CL44" i="22723" s="1"/>
  <c r="CK41" i="22723"/>
  <c r="CL41" i="22723" s="1"/>
  <c r="BP38" i="22723"/>
  <c r="BQ38" i="22723" s="1"/>
  <c r="E40" i="22725"/>
  <c r="F40" i="22725" s="1"/>
  <c r="AN46" i="22723"/>
  <c r="AO46" i="22723" s="1"/>
  <c r="AU44" i="22723"/>
  <c r="AV44" i="22723" s="1"/>
  <c r="T47" i="22723"/>
  <c r="AU39" i="22723"/>
  <c r="AV39" i="22723" s="1"/>
  <c r="Z46" i="22723"/>
  <c r="AA46" i="22723" s="1"/>
  <c r="E41" i="22723"/>
  <c r="F41" i="22723" s="1"/>
  <c r="E46" i="22723"/>
  <c r="F46" i="22723" s="1"/>
  <c r="BX47" i="22723"/>
  <c r="AU46" i="22723"/>
  <c r="AV46" i="22723" s="1"/>
  <c r="S38" i="22723"/>
  <c r="T38" i="22723" s="1"/>
  <c r="DF44" i="22723"/>
  <c r="DG44" i="22723" s="1"/>
  <c r="CZ47" i="22723"/>
  <c r="CR36" i="22723"/>
  <c r="CS36" i="22723" s="1"/>
  <c r="AN42" i="22723"/>
  <c r="AO42" i="22723" s="1"/>
  <c r="L45" i="22723"/>
  <c r="M45" i="22723" s="1"/>
  <c r="S42" i="22723"/>
  <c r="T42" i="22723" s="1"/>
  <c r="CD46" i="22723"/>
  <c r="CE46" i="22723" s="1"/>
  <c r="BC47" i="22723"/>
  <c r="BP39" i="22723"/>
  <c r="BQ39" i="22723" s="1"/>
  <c r="AG37" i="22723"/>
  <c r="AH37" i="22723" s="1"/>
  <c r="CR41" i="22723"/>
  <c r="CS41" i="22723" s="1"/>
  <c r="AU36" i="22723"/>
  <c r="AV36" i="22723" s="1"/>
  <c r="DF45" i="22723"/>
  <c r="DG45" i="22723" s="1"/>
  <c r="Z36" i="22723"/>
  <c r="CK39" i="22723"/>
  <c r="CL39" i="22723" s="1"/>
  <c r="BJ47" i="22723"/>
  <c r="CR46" i="22723"/>
  <c r="CS46" i="22723" s="1"/>
  <c r="BB36" i="22723"/>
  <c r="BC36" i="22723" s="1"/>
  <c r="CL47" i="22723"/>
  <c r="S45" i="22723"/>
  <c r="T45" i="22723" s="1"/>
  <c r="E37" i="22723"/>
  <c r="F37" i="22723" s="1"/>
  <c r="CD39" i="22723"/>
  <c r="CE39" i="22723" s="1"/>
  <c r="BI39" i="22723"/>
  <c r="BJ39" i="22723" s="1"/>
  <c r="F47" i="22723"/>
  <c r="AU38" i="22723"/>
  <c r="AV38" i="22723" s="1"/>
  <c r="BW45" i="22723"/>
  <c r="BX45" i="22723" s="1"/>
  <c r="BI38" i="22723"/>
  <c r="BJ38" i="22723" s="1"/>
  <c r="CR39" i="22723"/>
  <c r="CS39" i="22723" s="1"/>
  <c r="E42" i="22723"/>
  <c r="F42" i="22723" s="1"/>
  <c r="L41" i="22723"/>
  <c r="M41" i="22723" s="1"/>
  <c r="CK42" i="22723"/>
  <c r="CL42" i="22723" s="1"/>
  <c r="AG44" i="22723"/>
  <c r="AH44" i="22723" s="1"/>
  <c r="CY41" i="22723"/>
  <c r="CZ41" i="22723" s="1"/>
  <c r="E38" i="22723"/>
  <c r="F38" i="22723" s="1"/>
  <c r="BP44" i="22723"/>
  <c r="BQ44" i="22723" s="1"/>
  <c r="M47" i="22723"/>
  <c r="AG36" i="22723"/>
  <c r="AH36" i="22723" s="1"/>
  <c r="Z41" i="22723"/>
  <c r="AA41" i="22723" s="1"/>
  <c r="CY37" i="22723"/>
  <c r="CZ37" i="22723" s="1"/>
  <c r="BQ47" i="22723"/>
  <c r="DF41" i="22723"/>
  <c r="DG41" i="22723" s="1"/>
  <c r="AO47" i="22723"/>
  <c r="F36" i="22723"/>
  <c r="BI44" i="22723"/>
  <c r="BJ44" i="22723" s="1"/>
  <c r="BW37" i="22723"/>
  <c r="BX37" i="22723" s="1"/>
  <c r="BW44" i="22723"/>
  <c r="BX44" i="22723" s="1"/>
  <c r="CY39" i="22723"/>
  <c r="CZ39" i="22723" s="1"/>
  <c r="AN44" i="22723"/>
  <c r="AO44" i="22723" s="1"/>
  <c r="BI41" i="22723"/>
  <c r="BJ41" i="22723" s="1"/>
  <c r="E44" i="22723"/>
  <c r="F44" i="22723" s="1"/>
  <c r="S37" i="22723"/>
  <c r="T37" i="22723" s="1"/>
  <c r="L46" i="22723"/>
  <c r="M46" i="22723" s="1"/>
  <c r="AN37" i="22723"/>
  <c r="AO37" i="22723" s="1"/>
  <c r="E43" i="22725"/>
  <c r="B136" i="22725" s="1"/>
  <c r="BP46" i="22723"/>
  <c r="BQ46" i="22723" s="1"/>
  <c r="L37" i="22723"/>
  <c r="M37" i="22723" s="1"/>
  <c r="BB39" i="22723"/>
  <c r="BC39" i="22723" s="1"/>
  <c r="DF39" i="22723"/>
  <c r="DG39" i="22723" s="1"/>
  <c r="DF37" i="22723"/>
  <c r="DG37" i="22723" s="1"/>
  <c r="AU37" i="22723"/>
  <c r="AV37" i="22723" s="1"/>
  <c r="CR38" i="22723"/>
  <c r="CS38" i="22723" s="1"/>
  <c r="AA47" i="22723"/>
  <c r="E39" i="22723"/>
  <c r="F39" i="22723" s="1"/>
  <c r="CR45" i="22723"/>
  <c r="CS45" i="22723" s="1"/>
  <c r="AN41" i="22723"/>
  <c r="AO41" i="22723" s="1"/>
  <c r="CK37" i="22723"/>
  <c r="CL37" i="22723" s="1"/>
  <c r="S46" i="22723"/>
  <c r="T46" i="22723" s="1"/>
  <c r="BP37" i="22723"/>
  <c r="BQ37" i="22723" s="1"/>
  <c r="S44" i="22723"/>
  <c r="T44" i="22723" s="1"/>
  <c r="L44" i="22723"/>
  <c r="M44" i="22723" s="1"/>
  <c r="BB46" i="22723"/>
  <c r="BC46" i="22723" s="1"/>
  <c r="DF36" i="22723"/>
  <c r="DG36" i="22723" s="1"/>
  <c r="AH47" i="22723"/>
  <c r="L39" i="22723"/>
  <c r="M39" i="22723" s="1"/>
  <c r="DF42" i="22723"/>
  <c r="DG42" i="22723" s="1"/>
  <c r="BB44" i="22723"/>
  <c r="BC44" i="22723" s="1"/>
  <c r="DF38" i="22723"/>
  <c r="DG38" i="22723" s="1"/>
  <c r="AU41" i="22723"/>
  <c r="AV41" i="22723" s="1"/>
  <c r="CR37" i="22723"/>
  <c r="CS37" i="22723" s="1"/>
  <c r="BW38" i="22723"/>
  <c r="BX38" i="22723" s="1"/>
  <c r="AN38" i="22723"/>
  <c r="AO38" i="22723" s="1"/>
  <c r="CD36" i="22723"/>
  <c r="CE36" i="22723" s="1"/>
  <c r="E41" i="22725"/>
  <c r="F41" i="22725" s="1"/>
  <c r="BB9" i="2"/>
  <c r="BC9" i="2" s="1"/>
  <c r="C54" i="16"/>
  <c r="F72" i="2"/>
  <c r="B63" i="22715"/>
  <c r="AO10" i="22723"/>
  <c r="AO12" i="22723" s="1"/>
  <c r="AO69" i="22723" s="1"/>
  <c r="CM10" i="22723"/>
  <c r="CJ9" i="22723"/>
  <c r="CB9" i="22723"/>
  <c r="CB10" i="22723" s="1"/>
  <c r="CE28" i="22723"/>
  <c r="CE30" i="22723" s="1"/>
  <c r="AN10" i="22723"/>
  <c r="D63" i="22715"/>
  <c r="CT9" i="22723"/>
  <c r="C83" i="5"/>
  <c r="C53" i="5"/>
  <c r="AU9" i="22723"/>
  <c r="AV9" i="22723" s="1"/>
  <c r="E65" i="22723"/>
  <c r="F65" i="22723" s="1"/>
  <c r="F66" i="22723" s="1"/>
  <c r="J15" i="22726"/>
  <c r="C15" i="22726"/>
  <c r="E15" i="22726" s="1"/>
  <c r="C168" i="3"/>
  <c r="C167" i="3"/>
  <c r="H262" i="22715" s="1"/>
  <c r="B54" i="16"/>
  <c r="C79" i="22731"/>
  <c r="BB8" i="2"/>
  <c r="C86" i="22727"/>
  <c r="AV8" i="2"/>
  <c r="AV10" i="2" s="1"/>
  <c r="AV12" i="2" s="1"/>
  <c r="AU10" i="2"/>
  <c r="AT26" i="2"/>
  <c r="AV26" i="2" s="1"/>
  <c r="AV34" i="2" s="1"/>
  <c r="AW24" i="2" s="1"/>
  <c r="F85" i="22727"/>
  <c r="AO70" i="2"/>
  <c r="D31" i="4"/>
  <c r="AV8" i="22723"/>
  <c r="C79" i="22732"/>
  <c r="F79" i="22732" s="1"/>
  <c r="BB8" i="22723"/>
  <c r="B54" i="5"/>
  <c r="CE43" i="22723" l="1"/>
  <c r="CE48" i="22723" s="1"/>
  <c r="AA36" i="22723"/>
  <c r="AA43" i="22723" s="1"/>
  <c r="AA48" i="22723" s="1"/>
  <c r="CZ43" i="22723"/>
  <c r="CZ48" i="22723" s="1"/>
  <c r="BJ43" i="22723"/>
  <c r="BJ48" i="22723" s="1"/>
  <c r="BQ43" i="22723"/>
  <c r="BQ48" i="22723" s="1"/>
  <c r="T43" i="22723"/>
  <c r="T48" i="22723" s="1"/>
  <c r="AV43" i="22723"/>
  <c r="AV48" i="22723" s="1"/>
  <c r="DG43" i="22723"/>
  <c r="DG48" i="22723" s="1"/>
  <c r="F42" i="22725"/>
  <c r="M43" i="22723"/>
  <c r="M48" i="22723" s="1"/>
  <c r="CL43" i="22723"/>
  <c r="CL48" i="22723" s="1"/>
  <c r="AO43" i="22723"/>
  <c r="AO48" i="22723" s="1"/>
  <c r="BC43" i="22723"/>
  <c r="BC48" i="22723" s="1"/>
  <c r="AH43" i="22723"/>
  <c r="AH48" i="22723" s="1"/>
  <c r="BX43" i="22723"/>
  <c r="BX48" i="22723" s="1"/>
  <c r="CS43" i="22723"/>
  <c r="CS48" i="22723" s="1"/>
  <c r="D21" i="22726"/>
  <c r="F43" i="22723"/>
  <c r="F48" i="22723" s="1"/>
  <c r="F67" i="22723" s="1"/>
  <c r="F43" i="22725"/>
  <c r="B156" i="22725"/>
  <c r="B160" i="22725" s="1"/>
  <c r="J229" i="22715" s="1"/>
  <c r="I229" i="22715" s="1"/>
  <c r="C63" i="22715"/>
  <c r="C55" i="16"/>
  <c r="BI9" i="2"/>
  <c r="BJ9" i="2" s="1"/>
  <c r="E66" i="2"/>
  <c r="F66" i="2" s="1"/>
  <c r="J25" i="4"/>
  <c r="C25" i="4"/>
  <c r="E25" i="4" s="1"/>
  <c r="AV10" i="22723"/>
  <c r="AV12" i="22723" s="1"/>
  <c r="D22" i="22726" s="1"/>
  <c r="CT10" i="22723"/>
  <c r="CQ9" i="22723"/>
  <c r="CI9" i="22723"/>
  <c r="CI10" i="22723" s="1"/>
  <c r="CL28" i="22723"/>
  <c r="CL30" i="22723" s="1"/>
  <c r="DA9" i="22723"/>
  <c r="C84" i="5"/>
  <c r="DH9" i="22723" s="1"/>
  <c r="AU10" i="22723"/>
  <c r="F15" i="22726"/>
  <c r="G15" i="22726"/>
  <c r="C54" i="5"/>
  <c r="BB9" i="22723"/>
  <c r="BC9" i="22723" s="1"/>
  <c r="B137" i="22725"/>
  <c r="AV70" i="2"/>
  <c r="D32" i="4"/>
  <c r="F79" i="22731"/>
  <c r="BI8" i="2"/>
  <c r="B55" i="16"/>
  <c r="C80" i="22731"/>
  <c r="F80" i="22731" s="1"/>
  <c r="C87" i="22727"/>
  <c r="BC8" i="2"/>
  <c r="BC10" i="2" s="1"/>
  <c r="BC12" i="2" s="1"/>
  <c r="BB10" i="2"/>
  <c r="F86" i="22727"/>
  <c r="BA26" i="2"/>
  <c r="BC26" i="2" s="1"/>
  <c r="BC34" i="2" s="1"/>
  <c r="BD24" i="2" s="1"/>
  <c r="BC8" i="22723"/>
  <c r="BI8" i="22723"/>
  <c r="B55" i="5"/>
  <c r="C80" i="22732"/>
  <c r="C85" i="5" l="1"/>
  <c r="G9" i="22725" s="1"/>
  <c r="D9" i="22725" s="1"/>
  <c r="AV69" i="22723"/>
  <c r="F45" i="22725"/>
  <c r="B117" i="22725" s="1"/>
  <c r="J134" i="22715" s="1"/>
  <c r="I134" i="22715" s="1"/>
  <c r="B164" i="22725"/>
  <c r="J256" i="22715" s="1"/>
  <c r="J258" i="22715" s="1"/>
  <c r="I258" i="22715" s="1"/>
  <c r="C56" i="16"/>
  <c r="C57" i="16" s="1"/>
  <c r="BP9" i="2"/>
  <c r="BQ9" i="2" s="1"/>
  <c r="BW9" i="2"/>
  <c r="BX9" i="2" s="1"/>
  <c r="F67" i="2"/>
  <c r="G25" i="4"/>
  <c r="F25" i="4"/>
  <c r="G10" i="22725"/>
  <c r="DH10" i="22723"/>
  <c r="DE9" i="22723"/>
  <c r="CP9" i="22723"/>
  <c r="CP10" i="22723" s="1"/>
  <c r="CS28" i="22723"/>
  <c r="CS30" i="22723" s="1"/>
  <c r="DA10" i="22723"/>
  <c r="CX9" i="22723"/>
  <c r="C86" i="5"/>
  <c r="BC10" i="22723"/>
  <c r="BC12" i="22723" s="1"/>
  <c r="D23" i="22726" s="1"/>
  <c r="BB10" i="22723"/>
  <c r="C55" i="5"/>
  <c r="BI9" i="22723"/>
  <c r="BJ9" i="22723" s="1"/>
  <c r="B147" i="22725"/>
  <c r="B142" i="22725"/>
  <c r="B56" i="16"/>
  <c r="BP8" i="2"/>
  <c r="C81" i="22731"/>
  <c r="F81" i="22731" s="1"/>
  <c r="C88" i="22727"/>
  <c r="BJ8" i="2"/>
  <c r="BJ10" i="2" s="1"/>
  <c r="BJ12" i="2" s="1"/>
  <c r="BI10" i="2"/>
  <c r="BC70" i="2"/>
  <c r="D33" i="4"/>
  <c r="BH26" i="2"/>
  <c r="BJ26" i="2" s="1"/>
  <c r="BJ34" i="2" s="1"/>
  <c r="BK24" i="2" s="1"/>
  <c r="F87" i="22727"/>
  <c r="BJ8" i="22723"/>
  <c r="F80" i="22732"/>
  <c r="C81" i="22732"/>
  <c r="F81" i="22732" s="1"/>
  <c r="BP8" i="22723"/>
  <c r="B56" i="5"/>
  <c r="BI10" i="22723" l="1"/>
  <c r="B166" i="22725"/>
  <c r="C165" i="22725" s="1"/>
  <c r="J262" i="22715" s="1"/>
  <c r="I256" i="22715"/>
  <c r="CD9" i="2"/>
  <c r="CE9" i="2" s="1"/>
  <c r="C58" i="16"/>
  <c r="F68" i="2"/>
  <c r="CW9" i="22723"/>
  <c r="CW10" i="22723" s="1"/>
  <c r="CZ28" i="22723"/>
  <c r="CZ30" i="22723" s="1"/>
  <c r="F27" i="22725"/>
  <c r="C9" i="22725"/>
  <c r="C10" i="22725" s="1"/>
  <c r="DD9" i="22723"/>
  <c r="DD10" i="22723" s="1"/>
  <c r="DG28" i="22723"/>
  <c r="DG30" i="22723" s="1"/>
  <c r="BC69" i="22723"/>
  <c r="BP9" i="22723"/>
  <c r="BQ9" i="22723" s="1"/>
  <c r="C56" i="5"/>
  <c r="BJ10" i="22723"/>
  <c r="BJ12" i="22723" s="1"/>
  <c r="BJ69" i="22723" s="1"/>
  <c r="B149" i="22725"/>
  <c r="C147" i="22725" s="1"/>
  <c r="J205" i="22715" s="1"/>
  <c r="J200" i="22715"/>
  <c r="BQ8" i="2"/>
  <c r="BQ10" i="2" s="1"/>
  <c r="BQ12" i="2" s="1"/>
  <c r="BP10" i="2"/>
  <c r="B57" i="16"/>
  <c r="C82" i="22731"/>
  <c r="F82" i="22731" s="1"/>
  <c r="BW8" i="2"/>
  <c r="C89" i="22727"/>
  <c r="BJ70" i="2"/>
  <c r="D34" i="4"/>
  <c r="BO26" i="2"/>
  <c r="BQ26" i="2" s="1"/>
  <c r="BQ34" i="2" s="1"/>
  <c r="BR24" i="2" s="1"/>
  <c r="F88" i="22727"/>
  <c r="BQ8" i="22723"/>
  <c r="B57" i="5"/>
  <c r="C82" i="22732"/>
  <c r="F82" i="22732" s="1"/>
  <c r="BW8" i="22723"/>
  <c r="C166" i="22725" l="1"/>
  <c r="C164" i="22725"/>
  <c r="J261" i="22715" s="1"/>
  <c r="F29" i="22725"/>
  <c r="F73" i="22725" s="1"/>
  <c r="J48" i="22715" s="1"/>
  <c r="I48" i="22715" s="1"/>
  <c r="D24" i="22726"/>
  <c r="C59" i="16"/>
  <c r="CK9" i="2"/>
  <c r="CL9" i="2" s="1"/>
  <c r="F69" i="2"/>
  <c r="BQ10" i="22723"/>
  <c r="BQ12" i="22723" s="1"/>
  <c r="BQ69" i="22723" s="1"/>
  <c r="BP10" i="22723"/>
  <c r="C57" i="5"/>
  <c r="BW9" i="22723"/>
  <c r="BX9" i="22723" s="1"/>
  <c r="J202" i="22715"/>
  <c r="I202" i="22715" s="1"/>
  <c r="I200" i="22715"/>
  <c r="C148" i="22725"/>
  <c r="J206" i="22715" s="1"/>
  <c r="C146" i="22725"/>
  <c r="J204" i="22715" s="1"/>
  <c r="J178" i="22715"/>
  <c r="I178" i="22715" s="1"/>
  <c r="C149" i="22725"/>
  <c r="B58" i="16"/>
  <c r="C90" i="22727"/>
  <c r="CD8" i="2"/>
  <c r="C83" i="22731"/>
  <c r="F83" i="22731" s="1"/>
  <c r="BV26" i="2"/>
  <c r="BX26" i="2" s="1"/>
  <c r="BX34" i="2" s="1"/>
  <c r="BY24" i="2" s="1"/>
  <c r="F89" i="22727"/>
  <c r="BX8" i="2"/>
  <c r="BX10" i="2" s="1"/>
  <c r="BX12" i="2" s="1"/>
  <c r="BW10" i="2"/>
  <c r="BQ70" i="2"/>
  <c r="D35" i="4"/>
  <c r="D25" i="22726"/>
  <c r="B58" i="5"/>
  <c r="CD8" i="22723"/>
  <c r="C83" i="22732"/>
  <c r="F83" i="22732" s="1"/>
  <c r="BX8" i="22723"/>
  <c r="G68" i="2" l="1"/>
  <c r="G14" i="2"/>
  <c r="CR9" i="2"/>
  <c r="CS9" i="2" s="1"/>
  <c r="C60" i="16"/>
  <c r="G34" i="2"/>
  <c r="G69" i="2"/>
  <c r="G49" i="2"/>
  <c r="G30" i="2"/>
  <c r="G61" i="2"/>
  <c r="G64" i="2"/>
  <c r="F73" i="2"/>
  <c r="G46" i="2"/>
  <c r="G15" i="2"/>
  <c r="E26" i="4"/>
  <c r="G37" i="2"/>
  <c r="G52" i="2"/>
  <c r="G45" i="2"/>
  <c r="G39" i="2"/>
  <c r="G26" i="2"/>
  <c r="G60" i="2"/>
  <c r="G62" i="2"/>
  <c r="G53" i="2"/>
  <c r="G48" i="2"/>
  <c r="G40" i="2"/>
  <c r="G51" i="2"/>
  <c r="G43" i="2"/>
  <c r="G56" i="2"/>
  <c r="G31" i="2"/>
  <c r="G59" i="2"/>
  <c r="G38" i="2"/>
  <c r="G65" i="2"/>
  <c r="G63" i="2"/>
  <c r="G35" i="2"/>
  <c r="G29" i="2"/>
  <c r="G57" i="2"/>
  <c r="G54" i="2"/>
  <c r="G47" i="2"/>
  <c r="G55" i="2"/>
  <c r="G42" i="2"/>
  <c r="G33" i="2"/>
  <c r="G58" i="2"/>
  <c r="G18" i="2"/>
  <c r="G44" i="2"/>
  <c r="G28" i="2"/>
  <c r="F71" i="2"/>
  <c r="G66" i="2"/>
  <c r="G67" i="2"/>
  <c r="BW10" i="22723"/>
  <c r="BX10" i="22723"/>
  <c r="BX12" i="22723" s="1"/>
  <c r="D26" i="22726" s="1"/>
  <c r="C58" i="5"/>
  <c r="CD9" i="22723"/>
  <c r="CE9" i="22723" s="1"/>
  <c r="F90" i="22727"/>
  <c r="CC26" i="2"/>
  <c r="CE26" i="2" s="1"/>
  <c r="CE34" i="2" s="1"/>
  <c r="CF24" i="2" s="1"/>
  <c r="D36" i="4"/>
  <c r="BX70" i="2"/>
  <c r="CD10" i="2"/>
  <c r="CE8" i="2"/>
  <c r="CE10" i="2" s="1"/>
  <c r="CE12" i="2" s="1"/>
  <c r="B59" i="16"/>
  <c r="CK8" i="2"/>
  <c r="C91" i="22727"/>
  <c r="C84" i="22731"/>
  <c r="F84" i="22731" s="1"/>
  <c r="CE8" i="22723"/>
  <c r="B59" i="5"/>
  <c r="CK8" i="22723"/>
  <c r="C84" i="22732"/>
  <c r="F84" i="22732" s="1"/>
  <c r="CD10" i="22723" l="1"/>
  <c r="C61" i="16"/>
  <c r="C65" i="16" s="1"/>
  <c r="B8" i="22715" s="1"/>
  <c r="C8" i="22715" s="1"/>
  <c r="CY9" i="2"/>
  <c r="CZ9" i="2" s="1"/>
  <c r="M72" i="2"/>
  <c r="L66" i="2" s="1"/>
  <c r="M66" i="2" s="1"/>
  <c r="C26" i="4"/>
  <c r="F74" i="2"/>
  <c r="J26" i="4" s="1"/>
  <c r="G26" i="4"/>
  <c r="F26" i="4"/>
  <c r="BX69" i="22723"/>
  <c r="CE10" i="22723"/>
  <c r="CE12" i="22723" s="1"/>
  <c r="D27" i="22726" s="1"/>
  <c r="CK9" i="22723"/>
  <c r="CL9" i="22723" s="1"/>
  <c r="C59" i="5"/>
  <c r="C85" i="22731"/>
  <c r="F85" i="22731" s="1"/>
  <c r="B60" i="16"/>
  <c r="CR8" i="2"/>
  <c r="C92" i="22727"/>
  <c r="CK10" i="2"/>
  <c r="CL8" i="2"/>
  <c r="CL10" i="2" s="1"/>
  <c r="CL12" i="2" s="1"/>
  <c r="D37" i="4"/>
  <c r="CE70" i="2"/>
  <c r="F91" i="22727"/>
  <c r="CJ26" i="2"/>
  <c r="CL26" i="2" s="1"/>
  <c r="CL34" i="2" s="1"/>
  <c r="CM24" i="2" s="1"/>
  <c r="C85" i="22732"/>
  <c r="F85" i="22732" s="1"/>
  <c r="CR8" i="22723"/>
  <c r="B60" i="5"/>
  <c r="CL8" i="22723"/>
  <c r="DF9" i="2" l="1"/>
  <c r="DG9" i="2" s="1"/>
  <c r="C64" i="16"/>
  <c r="E9" i="3" s="1"/>
  <c r="F9" i="3" s="1"/>
  <c r="B52" i="22715" s="1"/>
  <c r="C52" i="22715" s="1"/>
  <c r="C63" i="16"/>
  <c r="CE69" i="22723"/>
  <c r="M67" i="2"/>
  <c r="CL10" i="22723"/>
  <c r="CL12" i="22723" s="1"/>
  <c r="D28" i="22726" s="1"/>
  <c r="CR9" i="22723"/>
  <c r="CS9" i="22723" s="1"/>
  <c r="C60" i="5"/>
  <c r="CK10" i="22723"/>
  <c r="CS8" i="2"/>
  <c r="CS10" i="2" s="1"/>
  <c r="CS12" i="2" s="1"/>
  <c r="CR10" i="2"/>
  <c r="CQ26" i="2"/>
  <c r="CS26" i="2" s="1"/>
  <c r="CS34" i="2" s="1"/>
  <c r="CT24" i="2" s="1"/>
  <c r="F92" i="22727"/>
  <c r="CL70" i="2"/>
  <c r="D38" i="4"/>
  <c r="C93" i="22727"/>
  <c r="B61" i="16"/>
  <c r="C86" i="22731"/>
  <c r="F86" i="22731" s="1"/>
  <c r="CY8" i="2"/>
  <c r="CS8" i="22723"/>
  <c r="B61" i="5"/>
  <c r="C86" i="22732"/>
  <c r="F86" i="22732" s="1"/>
  <c r="CY8" i="22723"/>
  <c r="CL69" i="22723" l="1"/>
  <c r="M68" i="2"/>
  <c r="M69" i="2" s="1"/>
  <c r="N67" i="2" s="1"/>
  <c r="CS10" i="22723"/>
  <c r="CS12" i="22723" s="1"/>
  <c r="CS69" i="22723" s="1"/>
  <c r="CR10" i="22723"/>
  <c r="CY9" i="22723"/>
  <c r="CZ9" i="22723" s="1"/>
  <c r="C61" i="5"/>
  <c r="F93" i="22727"/>
  <c r="CX26" i="2"/>
  <c r="CZ26" i="2" s="1"/>
  <c r="CZ34" i="2" s="1"/>
  <c r="DA24" i="2" s="1"/>
  <c r="CY10" i="2"/>
  <c r="CZ8" i="2"/>
  <c r="CZ10" i="2" s="1"/>
  <c r="CZ12" i="2" s="1"/>
  <c r="DF8" i="2"/>
  <c r="C87" i="22731"/>
  <c r="C94" i="22727"/>
  <c r="B65" i="16"/>
  <c r="B7" i="22715" s="1"/>
  <c r="C7" i="22715" s="1"/>
  <c r="B63" i="16"/>
  <c r="B64" i="16"/>
  <c r="E8" i="3" s="1"/>
  <c r="CS70" i="2"/>
  <c r="D39" i="4"/>
  <c r="CZ8" i="22723"/>
  <c r="C87" i="22732"/>
  <c r="DF8" i="22723"/>
  <c r="B65" i="5"/>
  <c r="B64" i="5"/>
  <c r="E8" i="22725" s="1"/>
  <c r="CZ10" i="22723" l="1"/>
  <c r="CZ12" i="22723" s="1"/>
  <c r="D30" i="22726" s="1"/>
  <c r="D29" i="22726"/>
  <c r="CY10" i="22723"/>
  <c r="N68" i="2"/>
  <c r="N44" i="2"/>
  <c r="N37" i="2"/>
  <c r="N46" i="2"/>
  <c r="M71" i="2"/>
  <c r="N52" i="2"/>
  <c r="N39" i="2"/>
  <c r="N43" i="2"/>
  <c r="N59" i="2"/>
  <c r="N65" i="2"/>
  <c r="N29" i="2"/>
  <c r="N38" i="2"/>
  <c r="N30" i="2"/>
  <c r="N26" i="2"/>
  <c r="N45" i="2"/>
  <c r="N55" i="2"/>
  <c r="N40" i="2"/>
  <c r="N42" i="2"/>
  <c r="N69" i="2"/>
  <c r="N34" i="2"/>
  <c r="N62" i="2"/>
  <c r="N49" i="2"/>
  <c r="N15" i="2"/>
  <c r="N14" i="2"/>
  <c r="N48" i="2"/>
  <c r="M73" i="2"/>
  <c r="N28" i="2"/>
  <c r="N47" i="2"/>
  <c r="N33" i="2"/>
  <c r="N60" i="2"/>
  <c r="N58" i="2"/>
  <c r="N61" i="2"/>
  <c r="N63" i="2"/>
  <c r="N31" i="2"/>
  <c r="N64" i="2"/>
  <c r="N53" i="2"/>
  <c r="E27" i="4"/>
  <c r="N54" i="2"/>
  <c r="N35" i="2"/>
  <c r="N57" i="2"/>
  <c r="N56" i="2"/>
  <c r="N18" i="2"/>
  <c r="N51" i="2"/>
  <c r="N66" i="2"/>
  <c r="DF9" i="22723"/>
  <c r="DG9" i="22723" s="1"/>
  <c r="C65" i="5"/>
  <c r="C64" i="5"/>
  <c r="E9" i="22725" s="1"/>
  <c r="F9" i="22725" s="1"/>
  <c r="D52" i="22715" s="1"/>
  <c r="F94" i="22727"/>
  <c r="DE26" i="2"/>
  <c r="DG26" i="2" s="1"/>
  <c r="DG34" i="2" s="1"/>
  <c r="DH24" i="2" s="1"/>
  <c r="C96" i="22727"/>
  <c r="C95" i="22727"/>
  <c r="D40" i="4"/>
  <c r="CZ70" i="2"/>
  <c r="F8" i="3"/>
  <c r="E10" i="3"/>
  <c r="F10" i="3" s="1"/>
  <c r="F87" i="22731"/>
  <c r="C89" i="22731"/>
  <c r="C88" i="22731"/>
  <c r="F88" i="22731" s="1"/>
  <c r="DF10" i="2"/>
  <c r="DG8" i="2"/>
  <c r="DG10" i="2" s="1"/>
  <c r="DG12" i="2" s="1"/>
  <c r="F8" i="22725"/>
  <c r="CZ69" i="22723"/>
  <c r="F87" i="22732"/>
  <c r="C89" i="22732"/>
  <c r="C88" i="22732"/>
  <c r="F88" i="22732" s="1"/>
  <c r="DG8" i="22723"/>
  <c r="DF10" i="22723" l="1"/>
  <c r="T72" i="2"/>
  <c r="S66" i="2" s="1"/>
  <c r="T66" i="2" s="1"/>
  <c r="M74" i="2"/>
  <c r="J27" i="4" s="1"/>
  <c r="C27" i="4"/>
  <c r="DG10" i="22723"/>
  <c r="DG12" i="22723" s="1"/>
  <c r="DG69" i="22723" s="1"/>
  <c r="G27" i="4"/>
  <c r="F27" i="4"/>
  <c r="E10" i="22725"/>
  <c r="F12" i="3"/>
  <c r="D82" i="3"/>
  <c r="D81" i="3"/>
  <c r="B50" i="22715"/>
  <c r="C179" i="16"/>
  <c r="D24" i="3"/>
  <c r="F24" i="3" s="1"/>
  <c r="B33" i="22715"/>
  <c r="C33" i="22715" s="1"/>
  <c r="F95" i="22727"/>
  <c r="D41" i="4"/>
  <c r="DG70" i="2"/>
  <c r="D50" i="22715"/>
  <c r="F10" i="22725" l="1"/>
  <c r="F12" i="22725" s="1"/>
  <c r="D31" i="22726"/>
  <c r="T67" i="2"/>
  <c r="T68" i="2" s="1"/>
  <c r="T69" i="2" s="1"/>
  <c r="C79" i="22728"/>
  <c r="D25" i="22723" s="1"/>
  <c r="F25" i="22723" s="1"/>
  <c r="F33" i="22723" s="1"/>
  <c r="C80" i="22728"/>
  <c r="K25" i="22723" s="1"/>
  <c r="M25" i="22723" s="1"/>
  <c r="C81" i="22728"/>
  <c r="R25" i="22723" s="1"/>
  <c r="T25" i="22723" s="1"/>
  <c r="C82" i="22728"/>
  <c r="C83" i="22728"/>
  <c r="C84" i="22728"/>
  <c r="C85" i="22728"/>
  <c r="C86" i="22728"/>
  <c r="C87" i="22728"/>
  <c r="C88" i="22728"/>
  <c r="C89" i="22728"/>
  <c r="C90" i="22728"/>
  <c r="C91" i="22728"/>
  <c r="C92" i="22728"/>
  <c r="C93" i="22728"/>
  <c r="C94" i="22728"/>
  <c r="C50" i="22715"/>
  <c r="G75" i="3"/>
  <c r="B48" i="22715"/>
  <c r="F76" i="3"/>
  <c r="H83" i="22715" s="1"/>
  <c r="T33" i="22723" l="1"/>
  <c r="U23" i="22723" s="1"/>
  <c r="M33" i="22723"/>
  <c r="N23" i="22723" s="1"/>
  <c r="G23" i="22723"/>
  <c r="D80" i="22725"/>
  <c r="F74" i="22725"/>
  <c r="J83" i="22715" s="1"/>
  <c r="I83" i="22715" s="1"/>
  <c r="G73" i="22725"/>
  <c r="D48" i="22715"/>
  <c r="C48" i="22715" s="1"/>
  <c r="D79" i="22725"/>
  <c r="U67" i="2"/>
  <c r="DE25" i="22723"/>
  <c r="DG25" i="22723" s="1"/>
  <c r="F94" i="22728"/>
  <c r="F86" i="22728"/>
  <c r="BA25" i="22723"/>
  <c r="BC25" i="22723" s="1"/>
  <c r="F93" i="22728"/>
  <c r="CX25" i="22723"/>
  <c r="CZ25" i="22723" s="1"/>
  <c r="CQ25" i="22723"/>
  <c r="CS25" i="22723" s="1"/>
  <c r="F92" i="22728"/>
  <c r="F88" i="22728"/>
  <c r="BO25" i="22723"/>
  <c r="BQ25" i="22723" s="1"/>
  <c r="AM25" i="22723"/>
  <c r="AO25" i="22723" s="1"/>
  <c r="F84" i="22728"/>
  <c r="F90" i="22728"/>
  <c r="CC25" i="22723"/>
  <c r="CE25" i="22723" s="1"/>
  <c r="Y25" i="22723"/>
  <c r="AA25" i="22723" s="1"/>
  <c r="F82" i="22728"/>
  <c r="C96" i="22728"/>
  <c r="BV25" i="22723"/>
  <c r="BX25" i="22723" s="1"/>
  <c r="F89" i="22728"/>
  <c r="AT25" i="22723"/>
  <c r="AV25" i="22723" s="1"/>
  <c r="F85" i="22728"/>
  <c r="CJ25" i="22723"/>
  <c r="CL25" i="22723" s="1"/>
  <c r="F91" i="22728"/>
  <c r="BH25" i="22723"/>
  <c r="BJ25" i="22723" s="1"/>
  <c r="F87" i="22728"/>
  <c r="AF25" i="22723"/>
  <c r="AH25" i="22723" s="1"/>
  <c r="F83" i="22728"/>
  <c r="C95" i="22728"/>
  <c r="AA33" i="22723" l="1"/>
  <c r="AB23" i="22723" s="1"/>
  <c r="AO33" i="22723"/>
  <c r="AP23" i="22723" s="1"/>
  <c r="CS33" i="22723"/>
  <c r="CT23" i="22723" s="1"/>
  <c r="DG33" i="22723"/>
  <c r="DH23" i="22723" s="1"/>
  <c r="AH33" i="22723"/>
  <c r="AI23" i="22723" s="1"/>
  <c r="BJ33" i="22723"/>
  <c r="BK23" i="22723" s="1"/>
  <c r="CL33" i="22723"/>
  <c r="CM23" i="22723" s="1"/>
  <c r="AV33" i="22723"/>
  <c r="AW23" i="22723" s="1"/>
  <c r="BX33" i="22723"/>
  <c r="BY23" i="22723" s="1"/>
  <c r="CE33" i="22723"/>
  <c r="CF23" i="22723" s="1"/>
  <c r="BQ33" i="22723"/>
  <c r="BR23" i="22723" s="1"/>
  <c r="CZ33" i="22723"/>
  <c r="DA23" i="22723" s="1"/>
  <c r="BC33" i="22723"/>
  <c r="BD23" i="22723" s="1"/>
  <c r="F68" i="22723"/>
  <c r="U68" i="2"/>
  <c r="U14" i="2"/>
  <c r="U47" i="2"/>
  <c r="T73" i="2"/>
  <c r="U64" i="2"/>
  <c r="U62" i="2"/>
  <c r="U55" i="2"/>
  <c r="U26" i="2"/>
  <c r="U69" i="2"/>
  <c r="U43" i="2"/>
  <c r="U31" i="2"/>
  <c r="U44" i="2"/>
  <c r="U38" i="2"/>
  <c r="U34" i="2"/>
  <c r="U45" i="2"/>
  <c r="U52" i="2"/>
  <c r="U33" i="2"/>
  <c r="U63" i="2"/>
  <c r="U60" i="2"/>
  <c r="U42" i="2"/>
  <c r="U58" i="2"/>
  <c r="U53" i="2"/>
  <c r="U46" i="2"/>
  <c r="U61" i="2"/>
  <c r="E28" i="4"/>
  <c r="U35" i="2"/>
  <c r="T71" i="2"/>
  <c r="U51" i="2"/>
  <c r="U28" i="2"/>
  <c r="U59" i="2"/>
  <c r="U54" i="2"/>
  <c r="U29" i="2"/>
  <c r="U40" i="2"/>
  <c r="U39" i="2"/>
  <c r="U57" i="2"/>
  <c r="U65" i="2"/>
  <c r="U15" i="2"/>
  <c r="U56" i="2"/>
  <c r="U49" i="2"/>
  <c r="U48" i="2"/>
  <c r="U30" i="2"/>
  <c r="U18" i="2"/>
  <c r="U37" i="2"/>
  <c r="U66" i="2"/>
  <c r="F95" i="22728"/>
  <c r="D24" i="22725"/>
  <c r="F24" i="22725" s="1"/>
  <c r="G18" i="22723" l="1"/>
  <c r="G33" i="22723"/>
  <c r="G52" i="22723"/>
  <c r="G54" i="22723"/>
  <c r="G36" i="22723"/>
  <c r="G59" i="22723"/>
  <c r="G45" i="22723"/>
  <c r="G55" i="22723"/>
  <c r="G63" i="22723"/>
  <c r="G42" i="22723"/>
  <c r="F72" i="22723"/>
  <c r="E16" i="22726"/>
  <c r="G15" i="22723"/>
  <c r="G60" i="22723"/>
  <c r="G58" i="22723"/>
  <c r="G50" i="22723"/>
  <c r="G57" i="22723"/>
  <c r="G44" i="22723"/>
  <c r="G27" i="22723"/>
  <c r="G61" i="22723"/>
  <c r="G29" i="22723"/>
  <c r="G48" i="22723"/>
  <c r="G46" i="22723"/>
  <c r="G32" i="22723"/>
  <c r="G67" i="22723"/>
  <c r="G39" i="22723"/>
  <c r="F70" i="22723"/>
  <c r="G25" i="22723" s="1"/>
  <c r="G37" i="22723"/>
  <c r="G62" i="22723"/>
  <c r="G51" i="22723"/>
  <c r="G38" i="22723"/>
  <c r="G30" i="22723"/>
  <c r="G53" i="22723"/>
  <c r="G66" i="22723"/>
  <c r="G28" i="22723"/>
  <c r="G14" i="22723"/>
  <c r="G65" i="22723"/>
  <c r="G68" i="22723"/>
  <c r="G34" i="22723"/>
  <c r="G56" i="22723"/>
  <c r="G43" i="22723"/>
  <c r="G47" i="22723"/>
  <c r="G41" i="22723"/>
  <c r="G64" i="22723"/>
  <c r="AA72" i="2"/>
  <c r="Z66" i="2" s="1"/>
  <c r="AA66" i="2" s="1"/>
  <c r="T74" i="2"/>
  <c r="J28" i="4" s="1"/>
  <c r="C28" i="4"/>
  <c r="G28" i="4"/>
  <c r="F28" i="4"/>
  <c r="F16" i="22726" l="1"/>
  <c r="G16" i="22726"/>
  <c r="C16" i="22726"/>
  <c r="M71" i="22723"/>
  <c r="L65" i="22723" s="1"/>
  <c r="M65" i="22723" s="1"/>
  <c r="M66" i="22723" s="1"/>
  <c r="M67" i="22723" s="1"/>
  <c r="M68" i="22723" s="1"/>
  <c r="F73" i="22723"/>
  <c r="J16" i="22726" s="1"/>
  <c r="AA67" i="2"/>
  <c r="AA68" i="2" l="1"/>
  <c r="AA69" i="2" s="1"/>
  <c r="N67" i="22723"/>
  <c r="AB68" i="2" l="1"/>
  <c r="N44" i="22723"/>
  <c r="N37" i="22723"/>
  <c r="N57" i="22723"/>
  <c r="N53" i="22723"/>
  <c r="N61" i="22723"/>
  <c r="N55" i="22723"/>
  <c r="N18" i="22723"/>
  <c r="N51" i="22723"/>
  <c r="N45" i="22723"/>
  <c r="N52" i="22723"/>
  <c r="M72" i="22723"/>
  <c r="N56" i="22723"/>
  <c r="N36" i="22723"/>
  <c r="M70" i="22723"/>
  <c r="N25" i="22723" s="1"/>
  <c r="N68" i="22723"/>
  <c r="N32" i="22723"/>
  <c r="N64" i="22723"/>
  <c r="N30" i="22723"/>
  <c r="N38" i="22723"/>
  <c r="N62" i="22723"/>
  <c r="N50" i="22723"/>
  <c r="N41" i="22723"/>
  <c r="N42" i="22723"/>
  <c r="N15" i="22723"/>
  <c r="N46" i="22723"/>
  <c r="N48" i="22723"/>
  <c r="N54" i="22723"/>
  <c r="N47" i="22723"/>
  <c r="E17" i="22726"/>
  <c r="N63" i="22723"/>
  <c r="N27" i="22723"/>
  <c r="N39" i="22723"/>
  <c r="N28" i="22723"/>
  <c r="N34" i="22723"/>
  <c r="N29" i="22723"/>
  <c r="N43" i="22723"/>
  <c r="N14" i="22723"/>
  <c r="N33" i="22723"/>
  <c r="N65" i="22723"/>
  <c r="N66" i="22723"/>
  <c r="AB46" i="2" l="1"/>
  <c r="AB28" i="2"/>
  <c r="AB48" i="2"/>
  <c r="AB65" i="2"/>
  <c r="AB49" i="2"/>
  <c r="AB29" i="2"/>
  <c r="AB57" i="2"/>
  <c r="AB42" i="2"/>
  <c r="AB30" i="2"/>
  <c r="AA73" i="2"/>
  <c r="AB26" i="2"/>
  <c r="AB55" i="2"/>
  <c r="AB64" i="2"/>
  <c r="AB14" i="2"/>
  <c r="AB35" i="2"/>
  <c r="AB44" i="2"/>
  <c r="AB37" i="2"/>
  <c r="AA71" i="2"/>
  <c r="AB33" i="2"/>
  <c r="AB45" i="2"/>
  <c r="AB31" i="2"/>
  <c r="AB47" i="2"/>
  <c r="AB62" i="2"/>
  <c r="AB63" i="2"/>
  <c r="AB18" i="2"/>
  <c r="AB69" i="2"/>
  <c r="AB58" i="2"/>
  <c r="AB60" i="2"/>
  <c r="AB59" i="2"/>
  <c r="AB53" i="2"/>
  <c r="AB38" i="2"/>
  <c r="AB52" i="2"/>
  <c r="AB40" i="2"/>
  <c r="E29" i="4"/>
  <c r="AB43" i="2"/>
  <c r="AB51" i="2"/>
  <c r="AB56" i="2"/>
  <c r="AB34" i="2"/>
  <c r="AB61" i="2"/>
  <c r="AB15" i="2"/>
  <c r="AB54" i="2"/>
  <c r="AB39" i="2"/>
  <c r="AB66" i="2"/>
  <c r="AB67" i="2"/>
  <c r="F17" i="22726"/>
  <c r="G17" i="22726"/>
  <c r="M73" i="22723"/>
  <c r="J17" i="22726" s="1"/>
  <c r="C17" i="22726"/>
  <c r="T71" i="22723"/>
  <c r="S65" i="22723" s="1"/>
  <c r="T65" i="22723" s="1"/>
  <c r="F29" i="4" l="1"/>
  <c r="G29" i="4"/>
  <c r="AA74" i="2"/>
  <c r="AH72" i="2"/>
  <c r="AG66" i="2" s="1"/>
  <c r="AH66" i="2" s="1"/>
  <c r="C29" i="4"/>
  <c r="T66" i="22723"/>
  <c r="C30" i="3" l="1"/>
  <c r="J29" i="4"/>
  <c r="AH74" i="2"/>
  <c r="AH67" i="2"/>
  <c r="T67" i="22723"/>
  <c r="T68" i="22723" s="1"/>
  <c r="T70" i="22723" s="1"/>
  <c r="U66" i="22723" l="1"/>
  <c r="AH68" i="2"/>
  <c r="AO74" i="2"/>
  <c r="J30" i="4"/>
  <c r="F30" i="3"/>
  <c r="E63" i="3"/>
  <c r="F63" i="3" s="1"/>
  <c r="B64" i="22715"/>
  <c r="U67" i="22723"/>
  <c r="U34" i="22723"/>
  <c r="U43" i="22723"/>
  <c r="U15" i="22723"/>
  <c r="U54" i="22723"/>
  <c r="U18" i="22723"/>
  <c r="U68" i="22723"/>
  <c r="U44" i="22723"/>
  <c r="U37" i="22723"/>
  <c r="U63" i="22723"/>
  <c r="U51" i="22723"/>
  <c r="U38" i="22723"/>
  <c r="U25" i="22723"/>
  <c r="U41" i="22723"/>
  <c r="U52" i="22723"/>
  <c r="U30" i="22723"/>
  <c r="U48" i="22723"/>
  <c r="U32" i="22723"/>
  <c r="U57" i="22723"/>
  <c r="U46" i="22723"/>
  <c r="U62" i="22723"/>
  <c r="U61" i="22723"/>
  <c r="U14" i="22723"/>
  <c r="T72" i="22723"/>
  <c r="U45" i="22723"/>
  <c r="U39" i="22723"/>
  <c r="U53" i="22723"/>
  <c r="U27" i="22723"/>
  <c r="U29" i="22723"/>
  <c r="U64" i="22723"/>
  <c r="U36" i="22723"/>
  <c r="U50" i="22723"/>
  <c r="U55" i="22723"/>
  <c r="U47" i="22723"/>
  <c r="U42" i="22723"/>
  <c r="U28" i="22723"/>
  <c r="U56" i="22723"/>
  <c r="E18" i="22726"/>
  <c r="U33" i="22723"/>
  <c r="U65" i="22723"/>
  <c r="F32" i="3" l="1"/>
  <c r="AV74" i="2"/>
  <c r="J31" i="4"/>
  <c r="F64" i="3"/>
  <c r="B95" i="3"/>
  <c r="B65" i="22715"/>
  <c r="B118" i="3"/>
  <c r="AH69" i="2"/>
  <c r="AI68" i="2" s="1"/>
  <c r="T73" i="22723"/>
  <c r="J18" i="22726" s="1"/>
  <c r="AA71" i="22723"/>
  <c r="Z65" i="22723" s="1"/>
  <c r="AA65" i="22723" s="1"/>
  <c r="C18" i="22726"/>
  <c r="F18" i="22726"/>
  <c r="G18" i="22726"/>
  <c r="F74" i="3" l="1"/>
  <c r="B72" i="22715"/>
  <c r="B125" i="3"/>
  <c r="B66" i="22715"/>
  <c r="F65" i="3"/>
  <c r="B89" i="3"/>
  <c r="H133" i="22715"/>
  <c r="AI38" i="2"/>
  <c r="AI39" i="2"/>
  <c r="E30" i="4"/>
  <c r="AI57" i="2"/>
  <c r="AI65" i="2"/>
  <c r="AI17" i="2"/>
  <c r="AI54" i="2"/>
  <c r="AI14" i="2"/>
  <c r="AI33" i="2"/>
  <c r="AI30" i="2"/>
  <c r="AI15" i="2"/>
  <c r="AI55" i="2"/>
  <c r="AI49" i="2"/>
  <c r="AI48" i="2"/>
  <c r="AH73" i="2"/>
  <c r="AI45" i="2"/>
  <c r="AI47" i="2"/>
  <c r="AI52" i="2"/>
  <c r="AI56" i="2"/>
  <c r="AI29" i="2"/>
  <c r="AI63" i="2"/>
  <c r="AI40" i="2"/>
  <c r="AI31" i="2"/>
  <c r="AI35" i="2"/>
  <c r="AI59" i="2"/>
  <c r="AI64" i="2"/>
  <c r="AI53" i="2"/>
  <c r="AI43" i="2"/>
  <c r="AI60" i="2"/>
  <c r="AI26" i="2"/>
  <c r="AI28" i="2"/>
  <c r="AI16" i="2"/>
  <c r="AI42" i="2"/>
  <c r="AI62" i="2"/>
  <c r="AH71" i="2"/>
  <c r="AI58" i="2"/>
  <c r="AI51" i="2"/>
  <c r="AI34" i="2"/>
  <c r="AI46" i="2"/>
  <c r="AI37" i="2"/>
  <c r="AI69" i="2"/>
  <c r="AI44" i="2"/>
  <c r="AI61" i="2"/>
  <c r="AI66" i="2"/>
  <c r="AI67" i="2"/>
  <c r="B96" i="3"/>
  <c r="H107" i="22715"/>
  <c r="H108" i="22715" s="1"/>
  <c r="J32" i="4"/>
  <c r="BC74" i="2"/>
  <c r="AA66" i="22723"/>
  <c r="C96" i="3" l="1"/>
  <c r="C94" i="3"/>
  <c r="H110" i="22715" s="1"/>
  <c r="AO72" i="2"/>
  <c r="AN66" i="2" s="1"/>
  <c r="AO66" i="2" s="1"/>
  <c r="C30" i="4"/>
  <c r="H92" i="22715"/>
  <c r="H150" i="22715"/>
  <c r="J33" i="4"/>
  <c r="BJ74" i="2"/>
  <c r="AI18" i="2"/>
  <c r="F30" i="4"/>
  <c r="G30" i="4"/>
  <c r="B73" i="22715"/>
  <c r="F66" i="3"/>
  <c r="B126" i="3"/>
  <c r="H151" i="22715" s="1"/>
  <c r="C95" i="3"/>
  <c r="H111" i="22715" s="1"/>
  <c r="C74" i="3"/>
  <c r="B71" i="22715"/>
  <c r="AA67" i="22723"/>
  <c r="AA68" i="22723" s="1"/>
  <c r="AB66" i="22723" s="1"/>
  <c r="G20" i="3" l="1"/>
  <c r="G22" i="3"/>
  <c r="G24" i="3"/>
  <c r="G26" i="3"/>
  <c r="G28" i="3"/>
  <c r="G19" i="3"/>
  <c r="G21" i="3"/>
  <c r="G23" i="3"/>
  <c r="G25" i="3"/>
  <c r="G27" i="3"/>
  <c r="G29" i="3"/>
  <c r="G31" i="3"/>
  <c r="G18" i="3"/>
  <c r="G30" i="3"/>
  <c r="G32" i="3"/>
  <c r="C125" i="3" s="1"/>
  <c r="H152" i="22715"/>
  <c r="AO67" i="2"/>
  <c r="BQ74" i="2"/>
  <c r="J34" i="4"/>
  <c r="B127" i="3"/>
  <c r="G65" i="3"/>
  <c r="C126" i="3" s="1"/>
  <c r="H155" i="22715" s="1"/>
  <c r="B90" i="3"/>
  <c r="G36" i="3"/>
  <c r="C136" i="3"/>
  <c r="B145" i="3"/>
  <c r="E81" i="3"/>
  <c r="F81" i="3" s="1"/>
  <c r="G14" i="3"/>
  <c r="G55" i="3"/>
  <c r="F67" i="3"/>
  <c r="G46" i="3"/>
  <c r="C142" i="3"/>
  <c r="G47" i="3"/>
  <c r="G51" i="3"/>
  <c r="F70" i="3"/>
  <c r="G41" i="3"/>
  <c r="G33" i="3"/>
  <c r="G59" i="3"/>
  <c r="G58" i="3"/>
  <c r="G16" i="3"/>
  <c r="C158" i="3"/>
  <c r="G39" i="3"/>
  <c r="G43" i="3"/>
  <c r="G44" i="3"/>
  <c r="B163" i="3"/>
  <c r="G45" i="3"/>
  <c r="C133" i="3"/>
  <c r="G35" i="3"/>
  <c r="C162" i="3"/>
  <c r="H234" i="22715" s="1"/>
  <c r="C144" i="3"/>
  <c r="H182" i="22715" s="1"/>
  <c r="G40" i="3"/>
  <c r="G52" i="3"/>
  <c r="F68" i="3"/>
  <c r="H53" i="22715" s="1"/>
  <c r="G42" i="3"/>
  <c r="G54" i="3"/>
  <c r="F79" i="3"/>
  <c r="B58" i="22715" s="1"/>
  <c r="H11" i="22715" s="1"/>
  <c r="C157" i="3"/>
  <c r="G57" i="3"/>
  <c r="G53" i="3"/>
  <c r="C139" i="3"/>
  <c r="G49" i="3"/>
  <c r="G62" i="3"/>
  <c r="G61" i="3"/>
  <c r="G50" i="3"/>
  <c r="C160" i="3"/>
  <c r="K78" i="3"/>
  <c r="K79" i="3" s="1"/>
  <c r="B57" i="22715"/>
  <c r="G15" i="3"/>
  <c r="G37" i="3"/>
  <c r="G17" i="3"/>
  <c r="B91" i="3"/>
  <c r="E82" i="3"/>
  <c r="F82" i="3" s="1"/>
  <c r="G60" i="3"/>
  <c r="C137" i="3"/>
  <c r="G38" i="3"/>
  <c r="C138" i="3"/>
  <c r="G66" i="3"/>
  <c r="G63" i="3"/>
  <c r="G64" i="3"/>
  <c r="AB67" i="22723"/>
  <c r="AB64" i="22723"/>
  <c r="AB39" i="22723"/>
  <c r="AA70" i="22723"/>
  <c r="AB25" i="22723" s="1"/>
  <c r="E19" i="22726"/>
  <c r="AB68" i="22723"/>
  <c r="AB61" i="22723"/>
  <c r="AB14" i="22723"/>
  <c r="AB27" i="22723"/>
  <c r="AB41" i="22723"/>
  <c r="AB29" i="22723"/>
  <c r="AB28" i="22723"/>
  <c r="AB53" i="22723"/>
  <c r="AB36" i="22723"/>
  <c r="AB18" i="22723"/>
  <c r="AB63" i="22723"/>
  <c r="AB33" i="22723"/>
  <c r="AB42" i="22723"/>
  <c r="AB52" i="22723"/>
  <c r="AB46" i="22723"/>
  <c r="AB15" i="22723"/>
  <c r="AA72" i="22723"/>
  <c r="AB34" i="22723"/>
  <c r="AB56" i="22723"/>
  <c r="AB55" i="22723"/>
  <c r="AB38" i="22723"/>
  <c r="AB47" i="22723"/>
  <c r="AB62" i="22723"/>
  <c r="AB37" i="22723"/>
  <c r="AB57" i="22723"/>
  <c r="AB54" i="22723"/>
  <c r="AB32" i="22723"/>
  <c r="AB45" i="22723"/>
  <c r="AB48" i="22723"/>
  <c r="AB43" i="22723"/>
  <c r="AB50" i="22723"/>
  <c r="AB44" i="22723"/>
  <c r="AB30" i="22723"/>
  <c r="AB51" i="22723"/>
  <c r="AB65" i="22723"/>
  <c r="D52" i="4" l="1"/>
  <c r="B61" i="22715"/>
  <c r="C61" i="22715" s="1"/>
  <c r="B75" i="22715"/>
  <c r="F71" i="3"/>
  <c r="J35" i="4"/>
  <c r="BX74" i="2"/>
  <c r="C91" i="3"/>
  <c r="C88" i="3"/>
  <c r="H96" i="22715" s="1"/>
  <c r="C89" i="3"/>
  <c r="H97" i="22715" s="1"/>
  <c r="H50" i="22715"/>
  <c r="F69" i="3"/>
  <c r="H65" i="22715" s="1"/>
  <c r="F78" i="3"/>
  <c r="H58" i="22715" s="1"/>
  <c r="C145" i="3"/>
  <c r="H183" i="22715" s="1"/>
  <c r="H179" i="22715"/>
  <c r="H180" i="22715" s="1"/>
  <c r="D51" i="4"/>
  <c r="B60" i="22715"/>
  <c r="H10" i="22715" s="1"/>
  <c r="C90" i="3"/>
  <c r="H98" i="22715" s="1"/>
  <c r="H93" i="22715"/>
  <c r="B120" i="3"/>
  <c r="H154" i="22715"/>
  <c r="C127" i="3"/>
  <c r="H230" i="22715"/>
  <c r="H231" i="22715" s="1"/>
  <c r="C163" i="3"/>
  <c r="H235" i="22715" s="1"/>
  <c r="AO68" i="2"/>
  <c r="AO69" i="2" s="1"/>
  <c r="AH71" i="22723"/>
  <c r="AG65" i="22723" s="1"/>
  <c r="AH65" i="22723" s="1"/>
  <c r="AA73" i="22723"/>
  <c r="C19" i="22726"/>
  <c r="F19" i="22726"/>
  <c r="G19" i="22726"/>
  <c r="F72" i="3" l="1"/>
  <c r="B76" i="22715"/>
  <c r="B79" i="22715" s="1"/>
  <c r="F73" i="3"/>
  <c r="H79" i="22715" s="1"/>
  <c r="H8" i="22715" s="1"/>
  <c r="H135" i="22715"/>
  <c r="H136" i="22715" s="1"/>
  <c r="B121" i="3"/>
  <c r="AP68" i="2"/>
  <c r="AP62" i="2"/>
  <c r="AP49" i="2"/>
  <c r="AP48" i="2"/>
  <c r="AP33" i="2"/>
  <c r="AO71" i="2"/>
  <c r="AP65" i="2"/>
  <c r="AP17" i="2"/>
  <c r="AP46" i="2"/>
  <c r="AP42" i="2"/>
  <c r="AP34" i="2"/>
  <c r="AP64" i="2"/>
  <c r="AP38" i="2"/>
  <c r="AP44" i="2"/>
  <c r="AP58" i="2"/>
  <c r="AP29" i="2"/>
  <c r="AP14" i="2"/>
  <c r="AP31" i="2"/>
  <c r="AP47" i="2"/>
  <c r="AP45" i="2"/>
  <c r="AP43" i="2"/>
  <c r="AP57" i="2"/>
  <c r="AP40" i="2"/>
  <c r="AP15" i="2"/>
  <c r="AP26" i="2"/>
  <c r="AP56" i="2"/>
  <c r="AP51" i="2"/>
  <c r="AP61" i="2"/>
  <c r="AP54" i="2"/>
  <c r="AP60" i="2"/>
  <c r="AP35" i="2"/>
  <c r="E31" i="4"/>
  <c r="AP28" i="2"/>
  <c r="AO73" i="2"/>
  <c r="AP55" i="2"/>
  <c r="AP59" i="2"/>
  <c r="AP69" i="2"/>
  <c r="AP39" i="2"/>
  <c r="AP37" i="2"/>
  <c r="AP16" i="2"/>
  <c r="AP53" i="2"/>
  <c r="AP30" i="2"/>
  <c r="AP63" i="2"/>
  <c r="AP52" i="2"/>
  <c r="AP66" i="2"/>
  <c r="J36" i="4"/>
  <c r="CE74" i="2"/>
  <c r="AP67" i="2"/>
  <c r="C30" i="22725"/>
  <c r="AH73" i="22723"/>
  <c r="J19" i="22726"/>
  <c r="AH66" i="22723"/>
  <c r="G31" i="4" l="1"/>
  <c r="F31" i="4"/>
  <c r="J37" i="4"/>
  <c r="CL74" i="2"/>
  <c r="C31" i="4"/>
  <c r="AV72" i="2"/>
  <c r="AU66" i="2" s="1"/>
  <c r="AV66" i="2" s="1"/>
  <c r="AP18" i="2"/>
  <c r="C120" i="3"/>
  <c r="H141" i="22715" s="1"/>
  <c r="C121" i="3"/>
  <c r="C119" i="3"/>
  <c r="H140" i="22715" s="1"/>
  <c r="C117" i="3"/>
  <c r="H138" i="22715" s="1"/>
  <c r="C118" i="3"/>
  <c r="H139" i="22715" s="1"/>
  <c r="D46" i="4"/>
  <c r="H76" i="22715"/>
  <c r="H9" i="22715" s="1"/>
  <c r="AO73" i="22723"/>
  <c r="J20" i="22726"/>
  <c r="AH67" i="22723"/>
  <c r="AH68" i="22723" s="1"/>
  <c r="AI66" i="22723" s="1"/>
  <c r="E61" i="22725"/>
  <c r="F61" i="22725" s="1"/>
  <c r="D64" i="22715"/>
  <c r="C64" i="22715" s="1"/>
  <c r="F30" i="22725"/>
  <c r="F32" i="22725" s="1"/>
  <c r="AV67" i="2" l="1"/>
  <c r="J38" i="4"/>
  <c r="CS74" i="2"/>
  <c r="AI67" i="22723"/>
  <c r="AI17" i="22723"/>
  <c r="AI47" i="22723"/>
  <c r="AI18" i="22723"/>
  <c r="AI15" i="22723"/>
  <c r="AI61" i="22723"/>
  <c r="E20" i="22726"/>
  <c r="AI51" i="22723"/>
  <c r="AI37" i="22723"/>
  <c r="AI52" i="22723"/>
  <c r="AH72" i="22723"/>
  <c r="AI50" i="22723"/>
  <c r="AI41" i="22723"/>
  <c r="AI39" i="22723"/>
  <c r="AI33" i="22723"/>
  <c r="AI38" i="22723"/>
  <c r="AI63" i="22723"/>
  <c r="AI30" i="22723"/>
  <c r="AI68" i="22723"/>
  <c r="AI16" i="22723"/>
  <c r="AI43" i="22723"/>
  <c r="AI64" i="22723"/>
  <c r="AI34" i="22723"/>
  <c r="AI36" i="22723"/>
  <c r="AI45" i="22723"/>
  <c r="AI48" i="22723"/>
  <c r="AI27" i="22723"/>
  <c r="AI46" i="22723"/>
  <c r="AI55" i="22723"/>
  <c r="AI14" i="22723"/>
  <c r="AI44" i="22723"/>
  <c r="AI29" i="22723"/>
  <c r="AI56" i="22723"/>
  <c r="AI62" i="22723"/>
  <c r="AI32" i="22723"/>
  <c r="AI57" i="22723"/>
  <c r="AI53" i="22723"/>
  <c r="AI42" i="22723"/>
  <c r="AI28" i="22723"/>
  <c r="AH70" i="22723"/>
  <c r="AI25" i="22723" s="1"/>
  <c r="AI54" i="22723"/>
  <c r="AI65" i="22723"/>
  <c r="B116" i="22725"/>
  <c r="D65" i="22715"/>
  <c r="C65" i="22715" s="1"/>
  <c r="B93" i="22725"/>
  <c r="F62" i="22725"/>
  <c r="J21" i="22726"/>
  <c r="AV73" i="22723"/>
  <c r="J39" i="4" l="1"/>
  <c r="CZ74" i="2"/>
  <c r="AV68" i="2"/>
  <c r="AV69" i="2" s="1"/>
  <c r="AW67" i="2" s="1"/>
  <c r="AO71" i="22723"/>
  <c r="AN65" i="22723" s="1"/>
  <c r="AO65" i="22723" s="1"/>
  <c r="C20" i="22726"/>
  <c r="F20" i="22726"/>
  <c r="G20" i="22726"/>
  <c r="F72" i="22725"/>
  <c r="D72" i="22715"/>
  <c r="C72" i="22715" s="1"/>
  <c r="B123" i="22725"/>
  <c r="D66" i="22715"/>
  <c r="C66" i="22715" s="1"/>
  <c r="F63" i="22725"/>
  <c r="B87" i="22725"/>
  <c r="J22" i="22726"/>
  <c r="BC73" i="22723"/>
  <c r="B94" i="22725"/>
  <c r="J107" i="22715"/>
  <c r="J133" i="22715"/>
  <c r="AW68" i="2" l="1"/>
  <c r="AW61" i="2"/>
  <c r="AW42" i="2"/>
  <c r="AW28" i="2"/>
  <c r="AW17" i="2"/>
  <c r="E32" i="4"/>
  <c r="AW45" i="2"/>
  <c r="AW65" i="2"/>
  <c r="AW62" i="2"/>
  <c r="AW55" i="2"/>
  <c r="AW30" i="2"/>
  <c r="AW26" i="2"/>
  <c r="AW16" i="2"/>
  <c r="AW64" i="2"/>
  <c r="AW15" i="2"/>
  <c r="AW52" i="2"/>
  <c r="AW56" i="2"/>
  <c r="AW44" i="2"/>
  <c r="AW48" i="2"/>
  <c r="AW33" i="2"/>
  <c r="AW29" i="2"/>
  <c r="AV73" i="2"/>
  <c r="AW35" i="2"/>
  <c r="AW63" i="2"/>
  <c r="AW47" i="2"/>
  <c r="AW40" i="2"/>
  <c r="AW59" i="2"/>
  <c r="AW60" i="2"/>
  <c r="AW43" i="2"/>
  <c r="AW58" i="2"/>
  <c r="AV71" i="2"/>
  <c r="AW49" i="2"/>
  <c r="AW69" i="2"/>
  <c r="AW51" i="2"/>
  <c r="AW46" i="2"/>
  <c r="AW54" i="2"/>
  <c r="AW57" i="2"/>
  <c r="AW14" i="2"/>
  <c r="AW31" i="2"/>
  <c r="AW39" i="2"/>
  <c r="AW53" i="2"/>
  <c r="AW37" i="2"/>
  <c r="AW34" i="2"/>
  <c r="AW38" i="2"/>
  <c r="AW66" i="2"/>
  <c r="DG74" i="2"/>
  <c r="J41" i="4" s="1"/>
  <c r="J40" i="4"/>
  <c r="J108" i="22715"/>
  <c r="I108" i="22715" s="1"/>
  <c r="I107" i="22715"/>
  <c r="C93" i="22725"/>
  <c r="J111" i="22715" s="1"/>
  <c r="C92" i="22725"/>
  <c r="J110" i="22715" s="1"/>
  <c r="C94" i="22725"/>
  <c r="J92" i="22715"/>
  <c r="I92" i="22715" s="1"/>
  <c r="J150" i="22715"/>
  <c r="BJ73" i="22723"/>
  <c r="J23" i="22726"/>
  <c r="B124" i="22725"/>
  <c r="J151" i="22715" s="1"/>
  <c r="I151" i="22715" s="1"/>
  <c r="F64" i="22725"/>
  <c r="D73" i="22715"/>
  <c r="C73" i="22715" s="1"/>
  <c r="I133" i="22715"/>
  <c r="C72" i="22725"/>
  <c r="D71" i="22715"/>
  <c r="C71" i="22715" s="1"/>
  <c r="AO66" i="22723"/>
  <c r="F32" i="4" l="1"/>
  <c r="G32" i="4"/>
  <c r="AW18" i="2"/>
  <c r="C32" i="4"/>
  <c r="BC72" i="2"/>
  <c r="BB66" i="2" s="1"/>
  <c r="BC66" i="2" s="1"/>
  <c r="J152" i="22715"/>
  <c r="I152" i="22715" s="1"/>
  <c r="I150" i="22715"/>
  <c r="AO67" i="22723"/>
  <c r="AO68" i="22723" s="1"/>
  <c r="AP66" i="22723" s="1"/>
  <c r="J24" i="22726"/>
  <c r="BQ73" i="22723"/>
  <c r="G63" i="22725"/>
  <c r="C124" i="22725" s="1"/>
  <c r="J155" i="22715" s="1"/>
  <c r="G60" i="22725"/>
  <c r="F66" i="22725"/>
  <c r="C136" i="22725"/>
  <c r="G27" i="22725"/>
  <c r="C140" i="22725"/>
  <c r="G64" i="22725"/>
  <c r="G59" i="22725"/>
  <c r="G45" i="22725"/>
  <c r="G22" i="22725"/>
  <c r="F65" i="22725"/>
  <c r="G36" i="22725"/>
  <c r="C137" i="22725"/>
  <c r="G51" i="22725"/>
  <c r="G44" i="22725"/>
  <c r="G31" i="22725"/>
  <c r="G20" i="22725"/>
  <c r="C142" i="22725"/>
  <c r="J182" i="22715" s="1"/>
  <c r="G49" i="22725"/>
  <c r="G37" i="22725"/>
  <c r="B89" i="22725"/>
  <c r="G39" i="22725"/>
  <c r="G41" i="22725"/>
  <c r="C160" i="22725"/>
  <c r="J234" i="22715" s="1"/>
  <c r="G15" i="22725"/>
  <c r="G58" i="22725"/>
  <c r="G38" i="22725"/>
  <c r="G57" i="22725"/>
  <c r="G26" i="22725"/>
  <c r="E80" i="22725"/>
  <c r="F80" i="22725" s="1"/>
  <c r="G19" i="22725"/>
  <c r="C131" i="22725"/>
  <c r="G56" i="22725"/>
  <c r="C158" i="22725"/>
  <c r="C135" i="22725"/>
  <c r="G47" i="22725"/>
  <c r="B143" i="22725"/>
  <c r="G50" i="22725"/>
  <c r="B88" i="22725"/>
  <c r="G55" i="22725"/>
  <c r="G48" i="22725"/>
  <c r="K76" i="22725"/>
  <c r="K77" i="22725" s="1"/>
  <c r="D57" i="22715"/>
  <c r="C57" i="22715" s="1"/>
  <c r="G53" i="22725"/>
  <c r="F68" i="22725"/>
  <c r="F77" i="22725"/>
  <c r="D58" i="22715" s="1"/>
  <c r="G29" i="22725"/>
  <c r="G52" i="22725"/>
  <c r="G18" i="22725"/>
  <c r="G35" i="22725"/>
  <c r="G43" i="22725"/>
  <c r="G42" i="22725"/>
  <c r="C155" i="22725"/>
  <c r="E79" i="22725"/>
  <c r="F79" i="22725" s="1"/>
  <c r="G33" i="22725"/>
  <c r="G23" i="22725"/>
  <c r="B161" i="22725"/>
  <c r="C134" i="22725"/>
  <c r="G40" i="22725"/>
  <c r="G14" i="22725"/>
  <c r="C156" i="22725"/>
  <c r="I64" i="22725"/>
  <c r="G28" i="22725"/>
  <c r="G30" i="22725"/>
  <c r="G61" i="22725"/>
  <c r="G32" i="22725"/>
  <c r="C123" i="22725" s="1"/>
  <c r="G62" i="22725"/>
  <c r="B125" i="22725"/>
  <c r="BC67" i="2" l="1"/>
  <c r="D42" i="22726"/>
  <c r="D61" i="22715"/>
  <c r="C161" i="22725"/>
  <c r="J235" i="22715" s="1"/>
  <c r="J230" i="22715"/>
  <c r="C58" i="22715"/>
  <c r="J11" i="22715"/>
  <c r="I11" i="22715" s="1"/>
  <c r="B118" i="22725"/>
  <c r="J93" i="22715"/>
  <c r="I93" i="22715" s="1"/>
  <c r="C88" i="22725"/>
  <c r="J98" i="22715" s="1"/>
  <c r="C89" i="22725"/>
  <c r="C86" i="22725"/>
  <c r="J96" i="22715" s="1"/>
  <c r="C87" i="22725"/>
  <c r="J97" i="22715" s="1"/>
  <c r="AP67" i="22723"/>
  <c r="AP43" i="22723"/>
  <c r="AP29" i="22723"/>
  <c r="AP14" i="22723"/>
  <c r="AP36" i="22723"/>
  <c r="AP57" i="22723"/>
  <c r="AP48" i="22723"/>
  <c r="AP56" i="22723"/>
  <c r="AP17" i="22723"/>
  <c r="AP62" i="22723"/>
  <c r="AP46" i="22723"/>
  <c r="AP33" i="22723"/>
  <c r="AP55" i="22723"/>
  <c r="AP15" i="22723"/>
  <c r="AP54" i="22723"/>
  <c r="AP16" i="22723"/>
  <c r="AP39" i="22723"/>
  <c r="AP32" i="22723"/>
  <c r="AP37" i="22723"/>
  <c r="AP28" i="22723"/>
  <c r="AP63" i="22723"/>
  <c r="AP47" i="22723"/>
  <c r="AP45" i="22723"/>
  <c r="AP34" i="22723"/>
  <c r="AP61" i="22723"/>
  <c r="E21" i="22726"/>
  <c r="AP53" i="22723"/>
  <c r="AP44" i="22723"/>
  <c r="AP18" i="22723"/>
  <c r="AO72" i="22723"/>
  <c r="AP42" i="22723"/>
  <c r="AP50" i="22723"/>
  <c r="AO70" i="22723"/>
  <c r="AP25" i="22723" s="1"/>
  <c r="AP41" i="22723"/>
  <c r="AP68" i="22723"/>
  <c r="AP38" i="22723"/>
  <c r="AP51" i="22723"/>
  <c r="AP27" i="22723"/>
  <c r="AP52" i="22723"/>
  <c r="AP64" i="22723"/>
  <c r="AP65" i="22723"/>
  <c r="D41" i="22726"/>
  <c r="D60" i="22715"/>
  <c r="F69" i="22725"/>
  <c r="D75" i="22715"/>
  <c r="C75" i="22715" s="1"/>
  <c r="BX73" i="22723"/>
  <c r="J25" i="22726"/>
  <c r="C125" i="22725"/>
  <c r="J154" i="22715"/>
  <c r="C143" i="22725"/>
  <c r="J183" i="22715" s="1"/>
  <c r="J179" i="22715"/>
  <c r="F67" i="22725"/>
  <c r="J65" i="22715" s="1"/>
  <c r="I65" i="22715" s="1"/>
  <c r="J50" i="22715"/>
  <c r="I50" i="22715" s="1"/>
  <c r="F76" i="22725"/>
  <c r="J58" i="22715" s="1"/>
  <c r="I58" i="22715" s="1"/>
  <c r="J53" i="22715"/>
  <c r="I53" i="22715" s="1"/>
  <c r="G24" i="22725"/>
  <c r="BC68" i="2" l="1"/>
  <c r="BC69" i="2" s="1"/>
  <c r="BD67" i="2" s="1"/>
  <c r="J26" i="22726"/>
  <c r="CE73" i="22723"/>
  <c r="AV71" i="22723"/>
  <c r="AU65" i="22723" s="1"/>
  <c r="AV65" i="22723" s="1"/>
  <c r="C21" i="22726"/>
  <c r="J135" i="22715"/>
  <c r="B119" i="22725"/>
  <c r="G21" i="22726"/>
  <c r="F21" i="22726"/>
  <c r="J231" i="22715"/>
  <c r="I231" i="22715" s="1"/>
  <c r="I230" i="22715"/>
  <c r="F70" i="22725"/>
  <c r="F71" i="22725"/>
  <c r="J79" i="22715" s="1"/>
  <c r="D76" i="22715"/>
  <c r="J180" i="22715"/>
  <c r="I180" i="22715" s="1"/>
  <c r="I179" i="22715"/>
  <c r="C60" i="22715"/>
  <c r="J10" i="22715"/>
  <c r="I10" i="22715" s="1"/>
  <c r="BD68" i="2" l="1"/>
  <c r="BD14" i="2"/>
  <c r="BD28" i="2"/>
  <c r="BD45" i="2"/>
  <c r="BD51" i="2"/>
  <c r="BD31" i="2"/>
  <c r="BD40" i="2"/>
  <c r="BD59" i="2"/>
  <c r="BD63" i="2"/>
  <c r="BD33" i="2"/>
  <c r="E33" i="4"/>
  <c r="BD35" i="2"/>
  <c r="BD38" i="2"/>
  <c r="BD42" i="2"/>
  <c r="BD46" i="2"/>
  <c r="BD17" i="2"/>
  <c r="BD48" i="2"/>
  <c r="BD62" i="2"/>
  <c r="BD56" i="2"/>
  <c r="BD58" i="2"/>
  <c r="BD55" i="2"/>
  <c r="BD30" i="2"/>
  <c r="BD16" i="2"/>
  <c r="BD60" i="2"/>
  <c r="BD65" i="2"/>
  <c r="BD52" i="2"/>
  <c r="BD57" i="2"/>
  <c r="BD34" i="2"/>
  <c r="BD53" i="2"/>
  <c r="BD43" i="2"/>
  <c r="BD29" i="2"/>
  <c r="BD39" i="2"/>
  <c r="BD61" i="2"/>
  <c r="BD37" i="2"/>
  <c r="BD69" i="2"/>
  <c r="BD54" i="2"/>
  <c r="BC71" i="2"/>
  <c r="BD47" i="2"/>
  <c r="BD64" i="2"/>
  <c r="BD49" i="2"/>
  <c r="BD15" i="2"/>
  <c r="BD26" i="2"/>
  <c r="BC73" i="2"/>
  <c r="BD44" i="2"/>
  <c r="BD66" i="2"/>
  <c r="J76" i="22715"/>
  <c r="D36" i="22726"/>
  <c r="C117" i="22725"/>
  <c r="J140" i="22715" s="1"/>
  <c r="C115" i="22725"/>
  <c r="J138" i="22715" s="1"/>
  <c r="C119" i="22725"/>
  <c r="C116" i="22725"/>
  <c r="J139" i="22715" s="1"/>
  <c r="AV66" i="22723"/>
  <c r="D79" i="22715"/>
  <c r="C79" i="22715" s="1"/>
  <c r="C76" i="22715"/>
  <c r="C118" i="22725"/>
  <c r="J141" i="22715" s="1"/>
  <c r="J27" i="22726"/>
  <c r="CL73" i="22723"/>
  <c r="J8" i="22715"/>
  <c r="I8" i="22715" s="1"/>
  <c r="I79" i="22715"/>
  <c r="I135" i="22715"/>
  <c r="J136" i="22715"/>
  <c r="I136" i="22715" s="1"/>
  <c r="C33" i="4" l="1"/>
  <c r="BJ72" i="2"/>
  <c r="BI66" i="2" s="1"/>
  <c r="BJ66" i="2" s="1"/>
  <c r="G33" i="4"/>
  <c r="F33" i="4"/>
  <c r="BD18" i="2"/>
  <c r="AV67" i="22723"/>
  <c r="J28" i="22726"/>
  <c r="CS73" i="22723"/>
  <c r="I76" i="22715"/>
  <c r="J9" i="22715"/>
  <c r="I9" i="22715" s="1"/>
  <c r="BJ67" i="2" l="1"/>
  <c r="CZ73" i="22723"/>
  <c r="J29" i="22726"/>
  <c r="AV68" i="22723"/>
  <c r="AW67" i="22723" s="1"/>
  <c r="BJ68" i="2" l="1"/>
  <c r="BJ69" i="2" s="1"/>
  <c r="BK67" i="2" s="1"/>
  <c r="AW61" i="22723"/>
  <c r="AW57" i="22723"/>
  <c r="AW43" i="22723"/>
  <c r="AW41" i="22723"/>
  <c r="AW46" i="22723"/>
  <c r="AW34" i="22723"/>
  <c r="AW14" i="22723"/>
  <c r="AV72" i="22723"/>
  <c r="AW36" i="22723"/>
  <c r="AW56" i="22723"/>
  <c r="AW37" i="22723"/>
  <c r="AW27" i="22723"/>
  <c r="AW68" i="22723"/>
  <c r="AW54" i="22723"/>
  <c r="AW42" i="22723"/>
  <c r="AW51" i="22723"/>
  <c r="AW38" i="22723"/>
  <c r="AW44" i="22723"/>
  <c r="AW64" i="22723"/>
  <c r="AW47" i="22723"/>
  <c r="AW52" i="22723"/>
  <c r="AW55" i="22723"/>
  <c r="AW29" i="22723"/>
  <c r="AW48" i="22723"/>
  <c r="AW28" i="22723"/>
  <c r="AW63" i="22723"/>
  <c r="AW30" i="22723"/>
  <c r="AW50" i="22723"/>
  <c r="AW16" i="22723"/>
  <c r="AW15" i="22723"/>
  <c r="AW33" i="22723"/>
  <c r="AW39" i="22723"/>
  <c r="E22" i="22726"/>
  <c r="AW32" i="22723"/>
  <c r="AW53" i="22723"/>
  <c r="AW18" i="22723"/>
  <c r="AV70" i="22723"/>
  <c r="AW25" i="22723" s="1"/>
  <c r="AW45" i="22723"/>
  <c r="AW62" i="22723"/>
  <c r="AW17" i="22723"/>
  <c r="AW65" i="22723"/>
  <c r="AW66" i="22723"/>
  <c r="DG73" i="22723"/>
  <c r="J31" i="22726" s="1"/>
  <c r="J30" i="22726"/>
  <c r="BK68" i="2" l="1"/>
  <c r="E34" i="4"/>
  <c r="BK31" i="2"/>
  <c r="BK51" i="2"/>
  <c r="BK29" i="2"/>
  <c r="BK62" i="2"/>
  <c r="BJ71" i="2"/>
  <c r="BK38" i="2"/>
  <c r="BK28" i="2"/>
  <c r="BK52" i="2"/>
  <c r="BK40" i="2"/>
  <c r="BK60" i="2"/>
  <c r="BK33" i="2"/>
  <c r="BK48" i="2"/>
  <c r="BK17" i="2"/>
  <c r="BK47" i="2"/>
  <c r="BK26" i="2"/>
  <c r="BK30" i="2"/>
  <c r="BK14" i="2"/>
  <c r="BK58" i="2"/>
  <c r="BK37" i="2"/>
  <c r="BK63" i="2"/>
  <c r="BK59" i="2"/>
  <c r="BK64" i="2"/>
  <c r="BK65" i="2"/>
  <c r="BK39" i="2"/>
  <c r="BK54" i="2"/>
  <c r="BK46" i="2"/>
  <c r="BK55" i="2"/>
  <c r="BK34" i="2"/>
  <c r="BJ73" i="2"/>
  <c r="BK15" i="2"/>
  <c r="BK56" i="2"/>
  <c r="BK53" i="2"/>
  <c r="BK69" i="2"/>
  <c r="BK42" i="2"/>
  <c r="BK16" i="2"/>
  <c r="BK35" i="2"/>
  <c r="BK43" i="2"/>
  <c r="BK45" i="2"/>
  <c r="BK49" i="2"/>
  <c r="BK61" i="2"/>
  <c r="BK57" i="2"/>
  <c r="BK44" i="2"/>
  <c r="BK66" i="2"/>
  <c r="C22" i="22726"/>
  <c r="BC71" i="22723"/>
  <c r="BB65" i="22723" s="1"/>
  <c r="BC65" i="22723" s="1"/>
  <c r="G22" i="22726"/>
  <c r="F22" i="22726"/>
  <c r="BK18" i="2" l="1"/>
  <c r="G34" i="4"/>
  <c r="F34" i="4"/>
  <c r="C34" i="4"/>
  <c r="BQ72" i="2"/>
  <c r="BP66" i="2" s="1"/>
  <c r="BQ66" i="2" s="1"/>
  <c r="BQ67" i="2" s="1"/>
  <c r="BQ68" i="2" s="1"/>
  <c r="BQ69" i="2" s="1"/>
  <c r="BR68" i="2" s="1"/>
  <c r="BC66" i="22723"/>
  <c r="BR66" i="2" l="1"/>
  <c r="BR69" i="2"/>
  <c r="BR59" i="2"/>
  <c r="BR15" i="2"/>
  <c r="BR54" i="2"/>
  <c r="BR31" i="2"/>
  <c r="BR64" i="2"/>
  <c r="BR38" i="2"/>
  <c r="BR40" i="2"/>
  <c r="BR33" i="2"/>
  <c r="BR34" i="2"/>
  <c r="BR51" i="2"/>
  <c r="BR67" i="2"/>
  <c r="E35" i="4"/>
  <c r="G35" i="4" s="1"/>
  <c r="BR65" i="2"/>
  <c r="BR37" i="2"/>
  <c r="BR48" i="2"/>
  <c r="BR29" i="2"/>
  <c r="BR49" i="2"/>
  <c r="BR26" i="2"/>
  <c r="BR39" i="2"/>
  <c r="BR17" i="2"/>
  <c r="BR47" i="2"/>
  <c r="BR30" i="2"/>
  <c r="BR46" i="2"/>
  <c r="BR57" i="2"/>
  <c r="BR60" i="2"/>
  <c r="BR28" i="2"/>
  <c r="BR43" i="2"/>
  <c r="BR16" i="2"/>
  <c r="BR45" i="2"/>
  <c r="BR14" i="2"/>
  <c r="BR63" i="2"/>
  <c r="BR35" i="2"/>
  <c r="BR56" i="2"/>
  <c r="BR61" i="2"/>
  <c r="BR58" i="2"/>
  <c r="BQ71" i="2"/>
  <c r="BR44" i="2"/>
  <c r="BR55" i="2"/>
  <c r="BR42" i="2"/>
  <c r="BR53" i="2"/>
  <c r="BR52" i="2"/>
  <c r="BR62" i="2"/>
  <c r="BQ73" i="2"/>
  <c r="BX72" i="2" s="1"/>
  <c r="BW66" i="2" s="1"/>
  <c r="BX66" i="2" s="1"/>
  <c r="BC67" i="22723"/>
  <c r="F35" i="4" l="1"/>
  <c r="BR18" i="2"/>
  <c r="C35" i="4"/>
  <c r="BC68" i="22723"/>
  <c r="BD67" i="22723" s="1"/>
  <c r="BX67" i="2"/>
  <c r="BD68" i="22723" l="1"/>
  <c r="BD56" i="22723"/>
  <c r="BD54" i="22723"/>
  <c r="BC72" i="22723"/>
  <c r="BD44" i="22723"/>
  <c r="BD51" i="22723"/>
  <c r="BD48" i="22723"/>
  <c r="BD18" i="22723"/>
  <c r="BD47" i="22723"/>
  <c r="BD38" i="22723"/>
  <c r="BD61" i="22723"/>
  <c r="BD41" i="22723"/>
  <c r="BD52" i="22723"/>
  <c r="BD30" i="22723"/>
  <c r="BD64" i="22723"/>
  <c r="BD28" i="22723"/>
  <c r="BD36" i="22723"/>
  <c r="BD15" i="22723"/>
  <c r="BC70" i="22723"/>
  <c r="BD25" i="22723" s="1"/>
  <c r="BD16" i="22723"/>
  <c r="BD53" i="22723"/>
  <c r="BD37" i="22723"/>
  <c r="BD17" i="22723"/>
  <c r="BD62" i="22723"/>
  <c r="BD42" i="22723"/>
  <c r="BD34" i="22723"/>
  <c r="BD14" i="22723"/>
  <c r="BD46" i="22723"/>
  <c r="BD45" i="22723"/>
  <c r="BD27" i="22723"/>
  <c r="BD43" i="22723"/>
  <c r="BD39" i="22723"/>
  <c r="BD32" i="22723"/>
  <c r="BD55" i="22723"/>
  <c r="BD50" i="22723"/>
  <c r="E23" i="22726"/>
  <c r="BD57" i="22723"/>
  <c r="BD33" i="22723"/>
  <c r="BD63" i="22723"/>
  <c r="BD29" i="22723"/>
  <c r="BD65" i="22723"/>
  <c r="BD66" i="22723"/>
  <c r="BX68" i="2"/>
  <c r="BJ71" i="22723" l="1"/>
  <c r="BI65" i="22723" s="1"/>
  <c r="BJ65" i="22723" s="1"/>
  <c r="C23" i="22726"/>
  <c r="F23" i="22726"/>
  <c r="G23" i="22726"/>
  <c r="BX69" i="2"/>
  <c r="BY68" i="2" s="1"/>
  <c r="BJ66" i="22723" l="1"/>
  <c r="BY37" i="2"/>
  <c r="BY63" i="2"/>
  <c r="BY31" i="2"/>
  <c r="BY59" i="2"/>
  <c r="BY14" i="2"/>
  <c r="BY64" i="2"/>
  <c r="BY15" i="2"/>
  <c r="BY52" i="2"/>
  <c r="BY47" i="2"/>
  <c r="BY40" i="2"/>
  <c r="BY38" i="2"/>
  <c r="BX71" i="2"/>
  <c r="BY58" i="2"/>
  <c r="BY42" i="2"/>
  <c r="BY28" i="2"/>
  <c r="BY60" i="2"/>
  <c r="BY45" i="2"/>
  <c r="BY54" i="2"/>
  <c r="BY56" i="2"/>
  <c r="BY30" i="2"/>
  <c r="BY16" i="2"/>
  <c r="BY61" i="2"/>
  <c r="BY62" i="2"/>
  <c r="E36" i="4"/>
  <c r="BY65" i="2"/>
  <c r="BY48" i="2"/>
  <c r="BY49" i="2"/>
  <c r="BY57" i="2"/>
  <c r="BY55" i="2"/>
  <c r="BY44" i="2"/>
  <c r="BY34" i="2"/>
  <c r="BY53" i="2"/>
  <c r="BY33" i="2"/>
  <c r="BY43" i="2"/>
  <c r="BY69" i="2"/>
  <c r="BY51" i="2"/>
  <c r="BY39" i="2"/>
  <c r="BY29" i="2"/>
  <c r="BX73" i="2"/>
  <c r="BY17" i="2"/>
  <c r="BY46" i="2"/>
  <c r="BY35" i="2"/>
  <c r="BY26" i="2"/>
  <c r="BY66" i="2"/>
  <c r="BY67" i="2"/>
  <c r="BJ67" i="22723" l="1"/>
  <c r="C36" i="4"/>
  <c r="CE72" i="2"/>
  <c r="CD66" i="2" s="1"/>
  <c r="CE66" i="2" s="1"/>
  <c r="F36" i="4"/>
  <c r="G36" i="4"/>
  <c r="BY18" i="2"/>
  <c r="BJ68" i="22723" l="1"/>
  <c r="BK67" i="22723" s="1"/>
  <c r="CE67" i="2"/>
  <c r="BJ70" i="22723" l="1"/>
  <c r="BK25" i="22723" s="1"/>
  <c r="BK17" i="22723"/>
  <c r="BK61" i="22723"/>
  <c r="BK28" i="22723"/>
  <c r="BK48" i="22723"/>
  <c r="BK53" i="22723"/>
  <c r="BK30" i="22723"/>
  <c r="BK41" i="22723"/>
  <c r="BK14" i="22723"/>
  <c r="BK32" i="22723"/>
  <c r="BK54" i="22723"/>
  <c r="BK38" i="22723"/>
  <c r="BK51" i="22723"/>
  <c r="BK64" i="22723"/>
  <c r="BK37" i="22723"/>
  <c r="BK52" i="22723"/>
  <c r="BK45" i="22723"/>
  <c r="BK29" i="22723"/>
  <c r="BK18" i="22723"/>
  <c r="BK43" i="22723"/>
  <c r="BK44" i="22723"/>
  <c r="BK39" i="22723"/>
  <c r="BK34" i="22723"/>
  <c r="BK46" i="22723"/>
  <c r="BK68" i="22723"/>
  <c r="BK15" i="22723"/>
  <c r="BK27" i="22723"/>
  <c r="BK62" i="22723"/>
  <c r="BK36" i="22723"/>
  <c r="BK63" i="22723"/>
  <c r="BK57" i="22723"/>
  <c r="BJ72" i="22723"/>
  <c r="BK55" i="22723"/>
  <c r="BK47" i="22723"/>
  <c r="BK33" i="22723"/>
  <c r="BK16" i="22723"/>
  <c r="E24" i="22726"/>
  <c r="BK56" i="22723"/>
  <c r="BK50" i="22723"/>
  <c r="BK42" i="22723"/>
  <c r="BK65" i="22723"/>
  <c r="BK66" i="22723"/>
  <c r="CE68" i="2"/>
  <c r="G24" i="22726" l="1"/>
  <c r="F24" i="22726"/>
  <c r="BQ71" i="22723"/>
  <c r="BP65" i="22723" s="1"/>
  <c r="BQ65" i="22723" s="1"/>
  <c r="C24" i="22726"/>
  <c r="CE69" i="2"/>
  <c r="CF68" i="2" s="1"/>
  <c r="BQ66" i="22723" l="1"/>
  <c r="CF48" i="2"/>
  <c r="CF51" i="2"/>
  <c r="CF53" i="2"/>
  <c r="CF46" i="2"/>
  <c r="CF63" i="2"/>
  <c r="CF69" i="2"/>
  <c r="CF33" i="2"/>
  <c r="CF34" i="2"/>
  <c r="CF42" i="2"/>
  <c r="CF57" i="2"/>
  <c r="CF40" i="2"/>
  <c r="CF64" i="2"/>
  <c r="CF65" i="2"/>
  <c r="CF49" i="2"/>
  <c r="E37" i="4"/>
  <c r="CF62" i="2"/>
  <c r="CF60" i="2"/>
  <c r="CF61" i="2"/>
  <c r="CF52" i="2"/>
  <c r="CF28" i="2"/>
  <c r="CF15" i="2"/>
  <c r="CF39" i="2"/>
  <c r="CF16" i="2"/>
  <c r="CF29" i="2"/>
  <c r="CF58" i="2"/>
  <c r="CF45" i="2"/>
  <c r="CF43" i="2"/>
  <c r="CF26" i="2"/>
  <c r="CF35" i="2"/>
  <c r="CF59" i="2"/>
  <c r="CF54" i="2"/>
  <c r="CF55" i="2"/>
  <c r="CF37" i="2"/>
  <c r="CF14" i="2"/>
  <c r="CF30" i="2"/>
  <c r="CF47" i="2"/>
  <c r="CF17" i="2"/>
  <c r="CF31" i="2"/>
  <c r="CF38" i="2"/>
  <c r="CF56" i="2"/>
  <c r="CF44" i="2"/>
  <c r="CE73" i="2"/>
  <c r="CE71" i="2"/>
  <c r="CF66" i="2"/>
  <c r="CF67" i="2"/>
  <c r="CF18" i="2" l="1"/>
  <c r="BQ67" i="22723"/>
  <c r="C37" i="4"/>
  <c r="CL72" i="2"/>
  <c r="CK66" i="2" s="1"/>
  <c r="CL66" i="2" s="1"/>
  <c r="G37" i="4"/>
  <c r="F37" i="4"/>
  <c r="BQ68" i="22723" l="1"/>
  <c r="BR67" i="22723" s="1"/>
  <c r="CL67" i="2"/>
  <c r="BR46" i="22723" l="1"/>
  <c r="E25" i="22726"/>
  <c r="BR51" i="22723"/>
  <c r="BR47" i="22723"/>
  <c r="BR62" i="22723"/>
  <c r="BR28" i="22723"/>
  <c r="BR36" i="22723"/>
  <c r="BR53" i="22723"/>
  <c r="BR57" i="22723"/>
  <c r="BR56" i="22723"/>
  <c r="BR33" i="22723"/>
  <c r="BR17" i="22723"/>
  <c r="BR41" i="22723"/>
  <c r="BR61" i="22723"/>
  <c r="BR16" i="22723"/>
  <c r="BR38" i="22723"/>
  <c r="BR32" i="22723"/>
  <c r="BR54" i="22723"/>
  <c r="BR29" i="22723"/>
  <c r="BR39" i="22723"/>
  <c r="BR68" i="22723"/>
  <c r="BR42" i="22723"/>
  <c r="BR52" i="22723"/>
  <c r="BR50" i="22723"/>
  <c r="BR48" i="22723"/>
  <c r="BR43" i="22723"/>
  <c r="BR45" i="22723"/>
  <c r="BR15" i="22723"/>
  <c r="BR64" i="22723"/>
  <c r="BR30" i="22723"/>
  <c r="BQ70" i="22723"/>
  <c r="BR25" i="22723" s="1"/>
  <c r="BR34" i="22723"/>
  <c r="BR18" i="22723"/>
  <c r="BR37" i="22723"/>
  <c r="BQ72" i="22723"/>
  <c r="BR55" i="22723"/>
  <c r="BR14" i="22723"/>
  <c r="BR44" i="22723"/>
  <c r="BR63" i="22723"/>
  <c r="BR27" i="22723"/>
  <c r="BR65" i="22723"/>
  <c r="BR66" i="22723"/>
  <c r="CL68" i="2"/>
  <c r="F25" i="22726" l="1"/>
  <c r="G25" i="22726"/>
  <c r="C25" i="22726"/>
  <c r="BX71" i="22723"/>
  <c r="BW65" i="22723" s="1"/>
  <c r="BX65" i="22723" s="1"/>
  <c r="CL69" i="2"/>
  <c r="CM68" i="2" s="1"/>
  <c r="BX66" i="22723" l="1"/>
  <c r="CM58" i="2"/>
  <c r="CM40" i="2"/>
  <c r="CM43" i="2"/>
  <c r="CM54" i="2"/>
  <c r="CM34" i="2"/>
  <c r="CM47" i="2"/>
  <c r="CM35" i="2"/>
  <c r="CM49" i="2"/>
  <c r="CM14" i="2"/>
  <c r="CM64" i="2"/>
  <c r="CM17" i="2"/>
  <c r="CM44" i="2"/>
  <c r="CM60" i="2"/>
  <c r="CL73" i="2"/>
  <c r="CM45" i="2"/>
  <c r="CM61" i="2"/>
  <c r="CM42" i="2"/>
  <c r="CM53" i="2"/>
  <c r="CM29" i="2"/>
  <c r="CM56" i="2"/>
  <c r="CM15" i="2"/>
  <c r="CM48" i="2"/>
  <c r="CM30" i="2"/>
  <c r="CM57" i="2"/>
  <c r="CM51" i="2"/>
  <c r="CM33" i="2"/>
  <c r="CM26" i="2"/>
  <c r="CM39" i="2"/>
  <c r="CM46" i="2"/>
  <c r="CM38" i="2"/>
  <c r="CL71" i="2"/>
  <c r="CM65" i="2"/>
  <c r="CM69" i="2"/>
  <c r="CM62" i="2"/>
  <c r="CM16" i="2"/>
  <c r="CM28" i="2"/>
  <c r="E38" i="4"/>
  <c r="CM37" i="2"/>
  <c r="CM31" i="2"/>
  <c r="CM63" i="2"/>
  <c r="CM55" i="2"/>
  <c r="CM52" i="2"/>
  <c r="CM59" i="2"/>
  <c r="CM66" i="2"/>
  <c r="CM67" i="2"/>
  <c r="BX67" i="22723" l="1"/>
  <c r="BX68" i="22723" s="1"/>
  <c r="BY66" i="22723" s="1"/>
  <c r="CM18" i="2"/>
  <c r="F38" i="4"/>
  <c r="G38" i="4"/>
  <c r="C38" i="4"/>
  <c r="CS72" i="2"/>
  <c r="CR66" i="2" s="1"/>
  <c r="CS66" i="2" s="1"/>
  <c r="BY67" i="22723" l="1"/>
  <c r="BY27" i="22723"/>
  <c r="BY42" i="22723"/>
  <c r="BY68" i="22723"/>
  <c r="BY53" i="22723"/>
  <c r="BY61" i="22723"/>
  <c r="BY45" i="22723"/>
  <c r="BY16" i="22723"/>
  <c r="BY55" i="22723"/>
  <c r="BY33" i="22723"/>
  <c r="BY38" i="22723"/>
  <c r="E26" i="22726"/>
  <c r="BY34" i="22723"/>
  <c r="BY44" i="22723"/>
  <c r="BY54" i="22723"/>
  <c r="BY36" i="22723"/>
  <c r="BY29" i="22723"/>
  <c r="BY30" i="22723"/>
  <c r="BY39" i="22723"/>
  <c r="BY48" i="22723"/>
  <c r="BY64" i="22723"/>
  <c r="BY63" i="22723"/>
  <c r="BX70" i="22723"/>
  <c r="BY25" i="22723" s="1"/>
  <c r="BY15" i="22723"/>
  <c r="BY37" i="22723"/>
  <c r="BY43" i="22723"/>
  <c r="BY62" i="22723"/>
  <c r="BY14" i="22723"/>
  <c r="BX72" i="22723"/>
  <c r="BY28" i="22723"/>
  <c r="BY52" i="22723"/>
  <c r="BY32" i="22723"/>
  <c r="BY50" i="22723"/>
  <c r="BY57" i="22723"/>
  <c r="BY56" i="22723"/>
  <c r="BY47" i="22723"/>
  <c r="BY17" i="22723"/>
  <c r="BY18" i="22723"/>
  <c r="BY51" i="22723"/>
  <c r="BY46" i="22723"/>
  <c r="BY41" i="22723"/>
  <c r="BY65" i="22723"/>
  <c r="CS67" i="2"/>
  <c r="G26" i="22726" l="1"/>
  <c r="F26" i="22726"/>
  <c r="C26" i="22726"/>
  <c r="CE71" i="22723"/>
  <c r="CD65" i="22723" s="1"/>
  <c r="CE65" i="22723" s="1"/>
  <c r="CS68" i="2"/>
  <c r="CE66" i="22723" l="1"/>
  <c r="CS69" i="2"/>
  <c r="CE67" i="22723" l="1"/>
  <c r="CE68" i="22723" s="1"/>
  <c r="CF66" i="22723" s="1"/>
  <c r="CT53" i="2"/>
  <c r="CT49" i="2"/>
  <c r="CT15" i="2"/>
  <c r="CT57" i="2"/>
  <c r="CT62" i="2"/>
  <c r="CT42" i="2"/>
  <c r="CT28" i="2"/>
  <c r="CT43" i="2"/>
  <c r="CT26" i="2"/>
  <c r="CT59" i="2"/>
  <c r="CT17" i="2"/>
  <c r="CT39" i="2"/>
  <c r="CT54" i="2"/>
  <c r="CT31" i="2"/>
  <c r="CT69" i="2"/>
  <c r="CT33" i="2"/>
  <c r="CT65" i="2"/>
  <c r="CT63" i="2"/>
  <c r="CT48" i="2"/>
  <c r="CT30" i="2"/>
  <c r="CT37" i="2"/>
  <c r="CT52" i="2"/>
  <c r="CT51" i="2"/>
  <c r="CT38" i="2"/>
  <c r="CT46" i="2"/>
  <c r="CT40" i="2"/>
  <c r="CT45" i="2"/>
  <c r="CT55" i="2"/>
  <c r="CT61" i="2"/>
  <c r="CT64" i="2"/>
  <c r="CT60" i="2"/>
  <c r="CT58" i="2"/>
  <c r="CS73" i="2"/>
  <c r="CT44" i="2"/>
  <c r="CT34" i="2"/>
  <c r="CT16" i="2"/>
  <c r="CS71" i="2"/>
  <c r="CT14" i="2"/>
  <c r="CT35" i="2"/>
  <c r="CT56" i="2"/>
  <c r="CT29" i="2"/>
  <c r="E39" i="4"/>
  <c r="CT47" i="2"/>
  <c r="CT66" i="2"/>
  <c r="CT67" i="2"/>
  <c r="CT68" i="2"/>
  <c r="CT18" i="2" l="1"/>
  <c r="CF67" i="22723"/>
  <c r="CF27" i="22723"/>
  <c r="CF42" i="22723"/>
  <c r="CF16" i="22723"/>
  <c r="CF55" i="22723"/>
  <c r="CF28" i="22723"/>
  <c r="CF38" i="22723"/>
  <c r="E27" i="22726"/>
  <c r="CF56" i="22723"/>
  <c r="CF33" i="22723"/>
  <c r="CF46" i="22723"/>
  <c r="CF63" i="22723"/>
  <c r="CF61" i="22723"/>
  <c r="CF39" i="22723"/>
  <c r="CF44" i="22723"/>
  <c r="CF51" i="22723"/>
  <c r="CF14" i="22723"/>
  <c r="CF43" i="22723"/>
  <c r="CF17" i="22723"/>
  <c r="CF30" i="22723"/>
  <c r="CE70" i="22723"/>
  <c r="CF25" i="22723" s="1"/>
  <c r="CF68" i="22723"/>
  <c r="CF37" i="22723"/>
  <c r="CF48" i="22723"/>
  <c r="CE72" i="22723"/>
  <c r="CF18" i="22723"/>
  <c r="CF29" i="22723"/>
  <c r="CF32" i="22723"/>
  <c r="CF45" i="22723"/>
  <c r="CF57" i="22723"/>
  <c r="CF62" i="22723"/>
  <c r="CF47" i="22723"/>
  <c r="CF36" i="22723"/>
  <c r="CF53" i="22723"/>
  <c r="CF54" i="22723"/>
  <c r="CF41" i="22723"/>
  <c r="CF34" i="22723"/>
  <c r="CF64" i="22723"/>
  <c r="CF15" i="22723"/>
  <c r="CF52" i="22723"/>
  <c r="CF50" i="22723"/>
  <c r="CF65" i="22723"/>
  <c r="F39" i="4"/>
  <c r="G39" i="4"/>
  <c r="CZ72" i="2"/>
  <c r="CY66" i="2" s="1"/>
  <c r="CZ66" i="2" s="1"/>
  <c r="C39" i="4"/>
  <c r="C27" i="22726" l="1"/>
  <c r="CL71" i="22723"/>
  <c r="CK65" i="22723" s="1"/>
  <c r="CL65" i="22723" s="1"/>
  <c r="G27" i="22726"/>
  <c r="F27" i="22726"/>
  <c r="CZ67" i="2"/>
  <c r="CL66" i="22723" l="1"/>
  <c r="CZ68" i="2"/>
  <c r="CL67" i="22723" l="1"/>
  <c r="CZ69" i="2"/>
  <c r="DA68" i="2" s="1"/>
  <c r="CL68" i="22723" l="1"/>
  <c r="CM67" i="22723" s="1"/>
  <c r="DA17" i="2"/>
  <c r="E40" i="4"/>
  <c r="DA28" i="2"/>
  <c r="DA53" i="2"/>
  <c r="DA60" i="2"/>
  <c r="DA38" i="2"/>
  <c r="DA43" i="2"/>
  <c r="DA69" i="2"/>
  <c r="DA35" i="2"/>
  <c r="DA48" i="2"/>
  <c r="DA62" i="2"/>
  <c r="DA44" i="2"/>
  <c r="DA65" i="2"/>
  <c r="DA40" i="2"/>
  <c r="CZ71" i="2"/>
  <c r="DA39" i="2"/>
  <c r="DA45" i="2"/>
  <c r="DA16" i="2"/>
  <c r="DA14" i="2"/>
  <c r="DA57" i="2"/>
  <c r="DA42" i="2"/>
  <c r="DA15" i="2"/>
  <c r="DA55" i="2"/>
  <c r="DA59" i="2"/>
  <c r="DA56" i="2"/>
  <c r="DA63" i="2"/>
  <c r="DA54" i="2"/>
  <c r="DA61" i="2"/>
  <c r="DA46" i="2"/>
  <c r="DA30" i="2"/>
  <c r="DA26" i="2"/>
  <c r="DA49" i="2"/>
  <c r="DA51" i="2"/>
  <c r="CZ73" i="2"/>
  <c r="DA52" i="2"/>
  <c r="DA58" i="2"/>
  <c r="DA64" i="2"/>
  <c r="DA37" i="2"/>
  <c r="DA47" i="2"/>
  <c r="DA29" i="2"/>
  <c r="DA33" i="2"/>
  <c r="DA34" i="2"/>
  <c r="DA31" i="2"/>
  <c r="DA66" i="2"/>
  <c r="DA67" i="2"/>
  <c r="DA18" i="2" l="1"/>
  <c r="CM53" i="22723"/>
  <c r="CM63" i="22723"/>
  <c r="CM45" i="22723"/>
  <c r="CL72" i="22723"/>
  <c r="CM42" i="22723"/>
  <c r="CM57" i="22723"/>
  <c r="CM51" i="22723"/>
  <c r="CM14" i="22723"/>
  <c r="CM38" i="22723"/>
  <c r="CM34" i="22723"/>
  <c r="CM37" i="22723"/>
  <c r="CM61" i="22723"/>
  <c r="CM17" i="22723"/>
  <c r="CM50" i="22723"/>
  <c r="CM32" i="22723"/>
  <c r="CM29" i="22723"/>
  <c r="CM56" i="22723"/>
  <c r="CM15" i="22723"/>
  <c r="CM27" i="22723"/>
  <c r="CM52" i="22723"/>
  <c r="CM55" i="22723"/>
  <c r="CM36" i="22723"/>
  <c r="CM18" i="22723"/>
  <c r="CM68" i="22723"/>
  <c r="CM54" i="22723"/>
  <c r="CM46" i="22723"/>
  <c r="CL70" i="22723"/>
  <c r="CM25" i="22723" s="1"/>
  <c r="CM33" i="22723"/>
  <c r="CM64" i="22723"/>
  <c r="CM28" i="22723"/>
  <c r="CM62" i="22723"/>
  <c r="CM30" i="22723"/>
  <c r="CM39" i="22723"/>
  <c r="CM44" i="22723"/>
  <c r="CM47" i="22723"/>
  <c r="E28" i="22726"/>
  <c r="CM43" i="22723"/>
  <c r="CM16" i="22723"/>
  <c r="CM48" i="22723"/>
  <c r="CM41" i="22723"/>
  <c r="CM65" i="22723"/>
  <c r="CM66" i="22723"/>
  <c r="C40" i="4"/>
  <c r="DG72" i="2"/>
  <c r="DF66" i="2" s="1"/>
  <c r="DG66" i="2" s="1"/>
  <c r="F40" i="4"/>
  <c r="G40" i="4"/>
  <c r="F28" i="22726" l="1"/>
  <c r="G28" i="22726"/>
  <c r="CS71" i="22723"/>
  <c r="CR65" i="22723" s="1"/>
  <c r="CS65" i="22723" s="1"/>
  <c r="C28" i="22726"/>
  <c r="DG67" i="2"/>
  <c r="CS66" i="22723" l="1"/>
  <c r="DG68" i="2"/>
  <c r="CS67" i="22723" l="1"/>
  <c r="CS68" i="22723" s="1"/>
  <c r="CT66" i="22723" s="1"/>
  <c r="DG69" i="2"/>
  <c r="DH68" i="2" s="1"/>
  <c r="CT67" i="22723" l="1"/>
  <c r="CT52" i="22723"/>
  <c r="CT48" i="22723"/>
  <c r="CT57" i="22723"/>
  <c r="CT17" i="22723"/>
  <c r="CT37" i="22723"/>
  <c r="CT34" i="22723"/>
  <c r="CT45" i="22723"/>
  <c r="CT41" i="22723"/>
  <c r="CT28" i="22723"/>
  <c r="CT27" i="22723"/>
  <c r="CS72" i="22723"/>
  <c r="CT62" i="22723"/>
  <c r="CT15" i="22723"/>
  <c r="CT53" i="22723"/>
  <c r="E29" i="22726"/>
  <c r="CT44" i="22723"/>
  <c r="CT64" i="22723"/>
  <c r="CT16" i="22723"/>
  <c r="CT63" i="22723"/>
  <c r="CT32" i="22723"/>
  <c r="CT36" i="22723"/>
  <c r="CT38" i="22723"/>
  <c r="CT42" i="22723"/>
  <c r="CT55" i="22723"/>
  <c r="CT33" i="22723"/>
  <c r="CS70" i="22723"/>
  <c r="CT25" i="22723" s="1"/>
  <c r="CT50" i="22723"/>
  <c r="CT43" i="22723"/>
  <c r="CT29" i="22723"/>
  <c r="CT30" i="22723"/>
  <c r="CT61" i="22723"/>
  <c r="CT51" i="22723"/>
  <c r="CT54" i="22723"/>
  <c r="CT46" i="22723"/>
  <c r="CT18" i="22723"/>
  <c r="CT68" i="22723"/>
  <c r="CT47" i="22723"/>
  <c r="CT14" i="22723"/>
  <c r="CT56" i="22723"/>
  <c r="CT39" i="22723"/>
  <c r="CT65" i="22723"/>
  <c r="DH40" i="2"/>
  <c r="DH55" i="2"/>
  <c r="DH47" i="2"/>
  <c r="DH38" i="2"/>
  <c r="DH26" i="2"/>
  <c r="DH44" i="2"/>
  <c r="DH53" i="2"/>
  <c r="DH31" i="2"/>
  <c r="DH15" i="2"/>
  <c r="DH60" i="2"/>
  <c r="DH48" i="2"/>
  <c r="DH63" i="2"/>
  <c r="DH61" i="2"/>
  <c r="DH43" i="2"/>
  <c r="DH46" i="2"/>
  <c r="DH62" i="2"/>
  <c r="DH64" i="2"/>
  <c r="DH30" i="2"/>
  <c r="DH39" i="2"/>
  <c r="DH28" i="2"/>
  <c r="DH59" i="2"/>
  <c r="DG73" i="2"/>
  <c r="C41" i="4" s="1"/>
  <c r="DH17" i="2"/>
  <c r="DH51" i="2"/>
  <c r="DH42" i="2"/>
  <c r="DH45" i="2"/>
  <c r="DH16" i="2"/>
  <c r="DH29" i="2"/>
  <c r="DH34" i="2"/>
  <c r="DH57" i="2"/>
  <c r="DH52" i="2"/>
  <c r="DH69" i="2"/>
  <c r="DH49" i="2"/>
  <c r="DH65" i="2"/>
  <c r="DH33" i="2"/>
  <c r="DH56" i="2"/>
  <c r="E41" i="4"/>
  <c r="DH14" i="2"/>
  <c r="DH35" i="2"/>
  <c r="DH37" i="2"/>
  <c r="DH58" i="2"/>
  <c r="DH54" i="2"/>
  <c r="DG71" i="2"/>
  <c r="DH66" i="2"/>
  <c r="DH67" i="2"/>
  <c r="F29" i="22726" l="1"/>
  <c r="G29" i="22726"/>
  <c r="C29" i="22726"/>
  <c r="CZ71" i="22723"/>
  <c r="CY65" i="22723" s="1"/>
  <c r="CZ65" i="22723" s="1"/>
  <c r="H71" i="22715"/>
  <c r="D44" i="4"/>
  <c r="DH18" i="2"/>
  <c r="F41" i="4"/>
  <c r="G41" i="4"/>
  <c r="CZ66" i="22723" l="1"/>
  <c r="CZ67" i="22723" l="1"/>
  <c r="CZ68" i="22723" l="1"/>
  <c r="DA67" i="22723" s="1"/>
  <c r="DA57" i="22723" l="1"/>
  <c r="DA56" i="22723"/>
  <c r="DA62" i="22723"/>
  <c r="DA53" i="22723"/>
  <c r="E30" i="22726"/>
  <c r="DA47" i="22723"/>
  <c r="DA16" i="22723"/>
  <c r="CZ72" i="22723"/>
  <c r="DA17" i="22723"/>
  <c r="DA33" i="22723"/>
  <c r="DA42" i="22723"/>
  <c r="DA45" i="22723"/>
  <c r="DA68" i="22723"/>
  <c r="DA51" i="22723"/>
  <c r="DA27" i="22723"/>
  <c r="DA54" i="22723"/>
  <c r="DA50" i="22723"/>
  <c r="DA63" i="22723"/>
  <c r="DA55" i="22723"/>
  <c r="DA14" i="22723"/>
  <c r="DA64" i="22723"/>
  <c r="DA15" i="22723"/>
  <c r="DA34" i="22723"/>
  <c r="DA29" i="22723"/>
  <c r="DA41" i="22723"/>
  <c r="DA36" i="22723"/>
  <c r="DA46" i="22723"/>
  <c r="DA28" i="22723"/>
  <c r="DA48" i="22723"/>
  <c r="DA52" i="22723"/>
  <c r="DA61" i="22723"/>
  <c r="DA37" i="22723"/>
  <c r="CZ70" i="22723"/>
  <c r="DA25" i="22723" s="1"/>
  <c r="DA38" i="22723"/>
  <c r="DA44" i="22723"/>
  <c r="DA39" i="22723"/>
  <c r="DA43" i="22723"/>
  <c r="DA30" i="22723"/>
  <c r="DA32" i="22723"/>
  <c r="DA18" i="22723"/>
  <c r="DA65" i="22723"/>
  <c r="DA66" i="22723"/>
  <c r="F30" i="22726" l="1"/>
  <c r="G30" i="22726"/>
  <c r="C30" i="22726"/>
  <c r="DG71" i="22723"/>
  <c r="DF65" i="22723" s="1"/>
  <c r="DG65" i="22723" s="1"/>
  <c r="DG66" i="22723" l="1"/>
  <c r="DG67" i="22723" l="1"/>
  <c r="DG68" i="22723" s="1"/>
  <c r="DH66" i="22723" s="1"/>
  <c r="DH67" i="22723" l="1"/>
  <c r="DH14" i="22723"/>
  <c r="DH27" i="22723"/>
  <c r="DH44" i="22723"/>
  <c r="DH32" i="22723"/>
  <c r="DH56" i="22723"/>
  <c r="DH64" i="22723"/>
  <c r="DH34" i="22723"/>
  <c r="DH51" i="22723"/>
  <c r="DG70" i="22723"/>
  <c r="DH25" i="22723" s="1"/>
  <c r="E31" i="22726"/>
  <c r="DH52" i="22723"/>
  <c r="DH39" i="22723"/>
  <c r="DH43" i="22723"/>
  <c r="DH33" i="22723"/>
  <c r="DH53" i="22723"/>
  <c r="DH30" i="22723"/>
  <c r="DH42" i="22723"/>
  <c r="DH63" i="22723"/>
  <c r="DH57" i="22723"/>
  <c r="DH36" i="22723"/>
  <c r="DH45" i="22723"/>
  <c r="DH37" i="22723"/>
  <c r="DH47" i="22723"/>
  <c r="DH16" i="22723"/>
  <c r="DH15" i="22723"/>
  <c r="DH54" i="22723"/>
  <c r="DH62" i="22723"/>
  <c r="DH18" i="22723"/>
  <c r="DH28" i="22723"/>
  <c r="DG72" i="22723"/>
  <c r="C31" i="22726" s="1"/>
  <c r="DH38" i="22723"/>
  <c r="DH61" i="22723"/>
  <c r="DH41" i="22723"/>
  <c r="DH29" i="22723"/>
  <c r="DH50" i="22723"/>
  <c r="DH55" i="22723"/>
  <c r="DH46" i="22723"/>
  <c r="DH68" i="22723"/>
  <c r="DH48" i="22723"/>
  <c r="DH17" i="22723"/>
  <c r="DH65" i="22723"/>
  <c r="D34" i="22726" l="1"/>
  <c r="J71" i="22715"/>
  <c r="I71" i="22715" s="1"/>
  <c r="G31" i="22726"/>
  <c r="F31" i="227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Bravin Esther Agroscope</author>
  </authors>
  <commentList>
    <comment ref="D30" authorId="0" shapeId="0" xr:uid="{00000000-0006-0000-0000-000001000000}">
      <text>
        <r>
          <rPr>
            <b/>
            <sz val="9"/>
            <color indexed="81"/>
            <rFont val="Segoe UI"/>
            <family val="2"/>
          </rPr>
          <t>Bravin Esther Agroscope:</t>
        </r>
        <r>
          <rPr>
            <sz val="9"/>
            <color indexed="81"/>
            <rFont val="Segoe UI"/>
            <family val="2"/>
          </rPr>
          <t xml:space="preserve">
Dia Anzahl Jahre mit 50% Ertrag werden ab den 7. Standjahr nacheinander berechnet. Bsp: 2 Jahre = 7. und 8. Standjahr mit 50% Ertrag</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zue</author>
  </authors>
  <commentList>
    <comment ref="C47" authorId="0" shapeId="0" xr:uid="{00000000-0006-0000-0A00-000001000000}">
      <text>
        <r>
          <rPr>
            <b/>
            <sz val="10"/>
            <color indexed="81"/>
            <rFont val="Tahoma"/>
            <family val="2"/>
          </rPr>
          <t>zue:</t>
        </r>
        <r>
          <rPr>
            <sz val="10"/>
            <color indexed="81"/>
            <rFont val="Tahoma"/>
            <family val="2"/>
          </rPr>
          <t xml:space="preserve">
Annahme: Hagelnetz  steht zuerst, desshalb nur 50% der Zeit ohne Hagelnetz</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zue</author>
  </authors>
  <commentList>
    <comment ref="C52" authorId="0" shapeId="0" xr:uid="{00000000-0006-0000-0B00-000001000000}">
      <text>
        <r>
          <rPr>
            <b/>
            <sz val="10"/>
            <color indexed="81"/>
            <rFont val="Tahoma"/>
            <family val="2"/>
          </rPr>
          <t>zue:</t>
        </r>
        <r>
          <rPr>
            <sz val="10"/>
            <color indexed="81"/>
            <rFont val="Tahoma"/>
            <family val="2"/>
          </rPr>
          <t xml:space="preserve">
Annahme: Hagelnetz  steht zuerst, desshalb nur 50% der Zeit ohne Hagelnetz</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Liebegg</author>
    <author>FAW</author>
  </authors>
  <commentList>
    <comment ref="A5" authorId="0" shapeId="0" xr:uid="{00000000-0006-0000-0C00-000001000000}">
      <text>
        <r>
          <rPr>
            <b/>
            <sz val="8"/>
            <color indexed="81"/>
            <rFont val="Tahoma"/>
            <family val="2"/>
          </rPr>
          <t>Liebegg:</t>
        </r>
        <r>
          <rPr>
            <sz val="8"/>
            <color indexed="81"/>
            <rFont val="Tahoma"/>
            <family val="2"/>
          </rPr>
          <t xml:space="preserve">
Kostenstand 2006/2007
Offerte THURELLA</t>
        </r>
      </text>
    </comment>
    <comment ref="B13" authorId="0" shapeId="0" xr:uid="{00000000-0006-0000-0C00-000002000000}">
      <text>
        <r>
          <rPr>
            <b/>
            <sz val="8"/>
            <color indexed="81"/>
            <rFont val="Tahoma"/>
            <family val="2"/>
          </rPr>
          <t>ACW:</t>
        </r>
        <r>
          <rPr>
            <sz val="8"/>
            <color indexed="81"/>
            <rFont val="Tahoma"/>
            <family val="2"/>
          </rPr>
          <t xml:space="preserve">
Anbohrschellen 50mmx3/4 21 Stck. à 4.80, Aufschraubnippel 3/4 x 20 mm 22 Stck. à 1.5, Tropfschlauchenden 22 à 70 Rp. (Quelle Anbauempehlung für die Obstregion NO-CH 2007)
</t>
        </r>
      </text>
    </comment>
    <comment ref="B16" authorId="0" shapeId="0" xr:uid="{00000000-0006-0000-0C00-000003000000}">
      <text>
        <r>
          <rPr>
            <b/>
            <sz val="8"/>
            <color indexed="81"/>
            <rFont val="Tahoma"/>
            <family val="2"/>
          </rPr>
          <t>ACW:</t>
        </r>
        <r>
          <rPr>
            <sz val="8"/>
            <color indexed="81"/>
            <rFont val="Tahoma"/>
            <family val="2"/>
          </rPr>
          <t xml:space="preserve">
Tropfschlauch Anschluss an Sektorenleitung 21 x 1 m 20mm à 1.-- (Quelle: Anbauempfehlung für die Obstregion NO-CH 2007)</t>
        </r>
      </text>
    </comment>
    <comment ref="B18" authorId="0" shapeId="0" xr:uid="{00000000-0006-0000-0C00-000004000000}">
      <text>
        <r>
          <rPr>
            <b/>
            <sz val="8"/>
            <color indexed="81"/>
            <rFont val="Tahoma"/>
            <family val="2"/>
          </rPr>
          <t>ACW:</t>
        </r>
        <r>
          <rPr>
            <sz val="8"/>
            <color indexed="81"/>
            <rFont val="Tahoma"/>
            <family val="2"/>
          </rPr>
          <t xml:space="preserve">
Sektorenleitung Zuleitung Kultur (Quelle Anbauempfehlung für die Obstregion NO-CH 2007)
Für Hauptlietung PE 63mm PN 12.5 bzw. PE ND 8 63 mm à 6.--</t>
        </r>
      </text>
    </comment>
    <comment ref="B21" authorId="0" shapeId="0" xr:uid="{00000000-0006-0000-0C00-000005000000}">
      <text>
        <r>
          <rPr>
            <b/>
            <sz val="8"/>
            <color indexed="81"/>
            <rFont val="Tahoma"/>
            <family val="2"/>
          </rPr>
          <t>ACW:</t>
        </r>
        <r>
          <rPr>
            <sz val="8"/>
            <color indexed="81"/>
            <rFont val="Tahoma"/>
            <family val="2"/>
          </rPr>
          <t xml:space="preserve">
Sektorenleitungsendeverschluss 50mm 1 Stck à 10.80, plus Anschlusskupplung 2" 50mm pro Sektor 1 (Quelle: Anbauempfehlung für die Obstregion NO-CH 2007)</t>
        </r>
      </text>
    </comment>
    <comment ref="A32" authorId="1" shapeId="0" xr:uid="{00000000-0006-0000-0C00-000006000000}">
      <text>
        <r>
          <rPr>
            <b/>
            <sz val="8"/>
            <color indexed="81"/>
            <rFont val="Tahoma"/>
            <family val="2"/>
          </rPr>
          <t>FAW:</t>
        </r>
        <r>
          <rPr>
            <sz val="8"/>
            <color indexed="81"/>
            <rFont val="Tahoma"/>
            <family val="2"/>
          </rPr>
          <t xml:space="preserve">
Inkl. Mehrwertsteuer</t>
        </r>
      </text>
    </comment>
    <comment ref="D64" authorId="0" shapeId="0" xr:uid="{00000000-0006-0000-0C00-000007000000}">
      <text>
        <r>
          <rPr>
            <b/>
            <sz val="8"/>
            <color indexed="81"/>
            <rFont val="Tahoma"/>
            <family val="2"/>
          </rPr>
          <t>Liebegg:</t>
        </r>
        <r>
          <rPr>
            <sz val="8"/>
            <color indexed="81"/>
            <rFont val="Tahoma"/>
            <family val="2"/>
          </rPr>
          <t xml:space="preserve">
1 Sprinkler pro Baum</t>
        </r>
      </text>
    </comment>
    <comment ref="B65" authorId="0" shapeId="0" xr:uid="{00000000-0006-0000-0C00-000008000000}">
      <text>
        <r>
          <rPr>
            <b/>
            <sz val="8"/>
            <color indexed="81"/>
            <rFont val="Tahoma"/>
            <family val="2"/>
          </rPr>
          <t>Liebegg:</t>
        </r>
        <r>
          <rPr>
            <sz val="8"/>
            <color indexed="81"/>
            <rFont val="Tahoma"/>
            <family val="2"/>
          </rPr>
          <t xml:space="preserve">
17 Stck. Anbohrschellen 50mmx3/4. à 4.80, 
17 Stck. Plasim Anschlusskupplung 3/4"x25mm à 4.80  
18 Stck. Plasim Schlauchkupplungen 25x25mm à 5.80
17 Stck. Plassim Schlauchenden  4.80</t>
        </r>
      </text>
    </comment>
    <comment ref="B67" authorId="0" shapeId="0" xr:uid="{00000000-0006-0000-0C00-000009000000}">
      <text>
        <r>
          <rPr>
            <b/>
            <sz val="8"/>
            <color indexed="81"/>
            <rFont val="Tahoma"/>
            <family val="2"/>
          </rPr>
          <t>Liebegg:</t>
        </r>
        <r>
          <rPr>
            <sz val="8"/>
            <color indexed="81"/>
            <rFont val="Tahoma"/>
            <family val="2"/>
          </rPr>
          <t xml:space="preserve">
Schlauchaufhänger Blitzbinder 7 cm, kg à 490 Stck, 4 kg à 38.-</t>
        </r>
      </text>
    </comment>
    <comment ref="B70" authorId="0" shapeId="0" xr:uid="{00000000-0006-0000-0C00-00000A000000}">
      <text>
        <r>
          <rPr>
            <b/>
            <sz val="8"/>
            <color indexed="81"/>
            <rFont val="Tahoma"/>
            <family val="2"/>
          </rPr>
          <t>Liebegg:</t>
        </r>
        <r>
          <rPr>
            <sz val="8"/>
            <color indexed="81"/>
            <rFont val="Tahoma"/>
            <family val="2"/>
          </rPr>
          <t xml:space="preserve">
Sektorenleitung Zuleitung Kultur
Für Hauptlietung PE 63mm PN 12.5 bzw. PE ND 8 63 mm à 6.--</t>
        </r>
      </text>
    </comment>
    <comment ref="B73" authorId="0" shapeId="0" xr:uid="{00000000-0006-0000-0C00-00000B000000}">
      <text>
        <r>
          <rPr>
            <b/>
            <sz val="8"/>
            <color indexed="81"/>
            <rFont val="Tahoma"/>
            <family val="2"/>
          </rPr>
          <t>Liebegg:</t>
        </r>
        <r>
          <rPr>
            <sz val="8"/>
            <color indexed="81"/>
            <rFont val="Tahoma"/>
            <family val="2"/>
          </rPr>
          <t xml:space="preserve">
4 Stck Sektorenleitungsendeverschluss 50mm  à 10.80,
4 Anschlusskupplung 2" 50mm für  Sektoren  à 18.4 4 Sektoren
</t>
        </r>
      </text>
    </comment>
    <comment ref="B79" authorId="0" shapeId="0" xr:uid="{00000000-0006-0000-0C00-00000C000000}">
      <text>
        <r>
          <rPr>
            <b/>
            <sz val="8"/>
            <color indexed="81"/>
            <rFont val="Tahoma"/>
            <family val="2"/>
          </rPr>
          <t>Liebegg:</t>
        </r>
        <r>
          <rPr>
            <sz val="8"/>
            <color indexed="81"/>
            <rFont val="Tahoma"/>
            <family val="2"/>
          </rPr>
          <t xml:space="preserve">
Bermet AC 24 Volt 1.5"</t>
        </r>
      </text>
    </comment>
    <comment ref="B80" authorId="0" shapeId="0" xr:uid="{00000000-0006-0000-0C00-00000D000000}">
      <text>
        <r>
          <rPr>
            <b/>
            <sz val="8"/>
            <color indexed="81"/>
            <rFont val="Tahoma"/>
            <family val="2"/>
          </rPr>
          <t>Liebegg:</t>
        </r>
        <r>
          <rPr>
            <sz val="8"/>
            <color indexed="81"/>
            <rFont val="Tahoma"/>
            <family val="2"/>
          </rPr>
          <t xml:space="preserve">
Miracle Netz 220 V 6 Stationen inkl. Abdeckung Wasserdicht</t>
        </r>
      </text>
    </comment>
    <comment ref="B81" authorId="0" shapeId="0" xr:uid="{00000000-0006-0000-0C00-00000E000000}">
      <text>
        <r>
          <rPr>
            <b/>
            <sz val="8"/>
            <color indexed="81"/>
            <rFont val="Tahoma"/>
            <family val="2"/>
          </rPr>
          <t>Liebegg:</t>
        </r>
        <r>
          <rPr>
            <sz val="8"/>
            <color indexed="81"/>
            <rFont val="Tahoma"/>
            <family val="2"/>
          </rPr>
          <t xml:space="preserve">
Druckmanometer</t>
        </r>
      </text>
    </comment>
    <comment ref="F83" authorId="0" shapeId="0" xr:uid="{00000000-0006-0000-0C00-00000F000000}">
      <text>
        <r>
          <rPr>
            <b/>
            <sz val="8"/>
            <color indexed="81"/>
            <rFont val="Tahoma"/>
            <family val="2"/>
          </rPr>
          <t>Liebegg:</t>
        </r>
        <r>
          <rPr>
            <sz val="8"/>
            <color indexed="81"/>
            <rFont val="Tahoma"/>
            <family val="2"/>
          </rPr>
          <t xml:space="preserve">
Dosatron D8R</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FAW</author>
    <author>P. Mouron</author>
  </authors>
  <commentList>
    <comment ref="C82" authorId="0" shapeId="0" xr:uid="{00000000-0006-0000-0D00-000001000000}">
      <text>
        <r>
          <rPr>
            <b/>
            <sz val="8"/>
            <color indexed="81"/>
            <rFont val="Tahoma"/>
            <family val="2"/>
          </rPr>
          <t>FAW:</t>
        </r>
        <r>
          <rPr>
            <sz val="8"/>
            <color indexed="81"/>
            <rFont val="Tahoma"/>
            <family val="2"/>
          </rPr>
          <t xml:space="preserve">
Verlustzeit entspricht 10% von der aufgelisteten Zkh oder Akh</t>
        </r>
      </text>
    </comment>
    <comment ref="C105" authorId="1" shapeId="0" xr:uid="{00000000-0006-0000-0D00-000002000000}">
      <text>
        <r>
          <rPr>
            <sz val="8"/>
            <color indexed="81"/>
            <rFont val="Tahoma"/>
            <family val="2"/>
          </rPr>
          <t>zue:
In der Regel wird hier mit 10% der totalen Stunden gerechnet.</t>
        </r>
      </text>
    </comment>
    <comment ref="C118" authorId="0" shapeId="0" xr:uid="{00000000-0006-0000-0D00-000003000000}">
      <text>
        <r>
          <rPr>
            <sz val="8"/>
            <color indexed="81"/>
            <rFont val="Tahoma"/>
            <family val="2"/>
          </rPr>
          <t xml:space="preserve">Umfang der eingezäunten Fläche abzüglich 2 Tore à je ca. 6 m 
</t>
        </r>
      </text>
    </comment>
    <comment ref="B119" authorId="0" shapeId="0" xr:uid="{00000000-0006-0000-0D00-000004000000}">
      <text>
        <r>
          <rPr>
            <sz val="9"/>
            <color indexed="81"/>
            <rFont val="Tahoma"/>
            <family val="2"/>
          </rPr>
          <t>200cm Länge, 7x7 cm Dimension; nur oben gefasst</t>
        </r>
      </text>
    </comment>
    <comment ref="C119" authorId="0" shapeId="0" xr:uid="{00000000-0006-0000-0D00-000005000000}">
      <text>
        <r>
          <rPr>
            <sz val="9"/>
            <color indexed="81"/>
            <rFont val="Tahoma"/>
            <family val="2"/>
          </rPr>
          <t>Jeder 5te Pfahl ist ein stärkerer, dh. von 100 sind 20 Pfähle stärker</t>
        </r>
      </text>
    </comment>
    <comment ref="B120" authorId="0" shapeId="0" xr:uid="{00000000-0006-0000-0D00-000006000000}">
      <text>
        <r>
          <rPr>
            <sz val="9"/>
            <color indexed="81"/>
            <rFont val="Tahoma"/>
            <family val="2"/>
          </rPr>
          <t>225 cm lang; 8x8cm Dimension, nur oben gefasst</t>
        </r>
      </text>
    </comment>
    <comment ref="B121" authorId="0" shapeId="0" xr:uid="{00000000-0006-0000-0D00-000007000000}">
      <text>
        <r>
          <rPr>
            <sz val="9"/>
            <color indexed="81"/>
            <rFont val="Tahoma"/>
            <family val="2"/>
          </rPr>
          <t>225 cm lang; 8x10cm Dimension, nur oben gefasst; für die Befestigung der Tore gebraucht</t>
        </r>
      </text>
    </comment>
    <comment ref="E142" authorId="0" shapeId="0" xr:uid="{00000000-0006-0000-0D00-000008000000}">
      <text>
        <r>
          <rPr>
            <b/>
            <sz val="8"/>
            <color indexed="81"/>
            <rFont val="Tahoma"/>
            <family val="2"/>
          </rPr>
          <t>FAW:</t>
        </r>
        <r>
          <rPr>
            <sz val="8"/>
            <color indexed="81"/>
            <rFont val="Tahoma"/>
            <family val="2"/>
          </rPr>
          <t xml:space="preserve">
Quelle Anbauempfehlung für die Obstregion Nordwestschweiz, mit nur 21 Reihen</t>
        </r>
      </text>
    </comment>
    <comment ref="E154" authorId="0" shapeId="0" xr:uid="{00000000-0006-0000-0D00-000009000000}">
      <text>
        <r>
          <rPr>
            <b/>
            <sz val="8"/>
            <color indexed="81"/>
            <rFont val="Tahoma"/>
            <family val="2"/>
          </rPr>
          <t>FAW:</t>
        </r>
        <r>
          <rPr>
            <sz val="8"/>
            <color indexed="81"/>
            <rFont val="Tahoma"/>
            <family val="2"/>
          </rPr>
          <t xml:space="preserve">
Quelle Anbauempfehlung für die Obstregion Nordwestschweiz, mit nur 21 Reihen</t>
        </r>
      </text>
    </comment>
    <comment ref="E163" authorId="0" shapeId="0" xr:uid="{00000000-0006-0000-0D00-00000A000000}">
      <text>
        <r>
          <rPr>
            <b/>
            <sz val="8"/>
            <color indexed="81"/>
            <rFont val="Tahoma"/>
            <family val="2"/>
          </rPr>
          <t>FAW:</t>
        </r>
        <r>
          <rPr>
            <sz val="8"/>
            <color indexed="81"/>
            <rFont val="Tahoma"/>
            <family val="2"/>
          </rPr>
          <t xml:space="preserve">
Hagelversicherung ja=1, Hagelversicherung nein = 0
</t>
        </r>
      </text>
    </comment>
    <comment ref="E165" authorId="0" shapeId="0" xr:uid="{00000000-0006-0000-0D00-00000B000000}">
      <text>
        <r>
          <rPr>
            <b/>
            <sz val="8"/>
            <color indexed="81"/>
            <rFont val="Tahoma"/>
            <family val="2"/>
          </rPr>
          <t>FAW:</t>
        </r>
        <r>
          <rPr>
            <sz val="8"/>
            <color indexed="81"/>
            <rFont val="Tahoma"/>
            <family val="2"/>
          </rPr>
          <t xml:space="preserve">
Hagelnetz ja=1, Hagenletz nein=o
</t>
        </r>
      </text>
    </comment>
    <comment ref="E167" authorId="0" shapeId="0" xr:uid="{00000000-0006-0000-0D00-00000C000000}">
      <text>
        <r>
          <rPr>
            <b/>
            <sz val="8"/>
            <color indexed="81"/>
            <rFont val="Tahoma"/>
            <family val="2"/>
          </rPr>
          <t>FAW:</t>
        </r>
        <r>
          <rPr>
            <sz val="8"/>
            <color indexed="81"/>
            <rFont val="Tahoma"/>
            <family val="2"/>
          </rPr>
          <t xml:space="preserve">
Hagelnetz ja=1, Hagenletz nein=o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P. Mouron</author>
    <author>zue</author>
  </authors>
  <commentList>
    <comment ref="C14" authorId="0" shapeId="0" xr:uid="{00000000-0006-0000-0E00-000001000000}">
      <text>
        <r>
          <rPr>
            <b/>
            <sz val="8"/>
            <color indexed="81"/>
            <rFont val="Tahoma"/>
            <family val="2"/>
          </rPr>
          <t>P. Mouron:</t>
        </r>
        <r>
          <rPr>
            <sz val="8"/>
            <color indexed="81"/>
            <rFont val="Tahoma"/>
            <family val="2"/>
          </rPr>
          <t xml:space="preserve">
keine düngung verrechnet, weil Dünger von erstellung teilweise während dem  1. Standjahr verabreicht wird.</t>
        </r>
      </text>
    </comment>
    <comment ref="C18" authorId="0" shapeId="0" xr:uid="{00000000-0006-0000-0E00-000002000000}">
      <text>
        <r>
          <rPr>
            <b/>
            <sz val="8"/>
            <color indexed="81"/>
            <rFont val="Tahoma"/>
            <family val="2"/>
          </rPr>
          <t>P. Mouron:</t>
        </r>
        <r>
          <rPr>
            <sz val="8"/>
            <color indexed="81"/>
            <rFont val="Tahoma"/>
            <family val="2"/>
          </rPr>
          <t xml:space="preserve">
Anzahl Fahrten
</t>
        </r>
      </text>
    </comment>
    <comment ref="E36" authorId="0" shapeId="0" xr:uid="{00000000-0006-0000-0E00-000003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L36" authorId="0" shapeId="0" xr:uid="{00000000-0006-0000-0E00-000004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S36" authorId="0" shapeId="0" xr:uid="{00000000-0006-0000-0E00-000005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Z36" authorId="0" shapeId="0" xr:uid="{00000000-0006-0000-0E00-000006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AG36" authorId="0" shapeId="0" xr:uid="{00000000-0006-0000-0E00-000007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AN36" authorId="0" shapeId="0" xr:uid="{00000000-0006-0000-0E00-000008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AU36" authorId="0" shapeId="0" xr:uid="{00000000-0006-0000-0E00-000009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BB36" authorId="0" shapeId="0" xr:uid="{00000000-0006-0000-0E00-00000A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BI36" authorId="0" shapeId="0" xr:uid="{00000000-0006-0000-0E00-00000B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BP36" authorId="0" shapeId="0" xr:uid="{00000000-0006-0000-0E00-00000C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BW36" authorId="0" shapeId="0" xr:uid="{00000000-0006-0000-0E00-00000D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CD36" authorId="0" shapeId="0" xr:uid="{00000000-0006-0000-0E00-00000E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CK36" authorId="0" shapeId="0" xr:uid="{00000000-0006-0000-0E00-00000F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CR36" authorId="0" shapeId="0" xr:uid="{00000000-0006-0000-0E00-000010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CY36" authorId="0" shapeId="0" xr:uid="{00000000-0006-0000-0E00-000011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DF36" authorId="0" shapeId="0" xr:uid="{00000000-0006-0000-0E00-000012000000}">
      <text>
        <r>
          <rPr>
            <b/>
            <sz val="8"/>
            <color indexed="81"/>
            <rFont val="Tahoma"/>
            <family val="2"/>
          </rPr>
          <t>P. Mouron:</t>
        </r>
        <r>
          <rPr>
            <sz val="8"/>
            <color indexed="81"/>
            <rFont val="Tahoma"/>
            <family val="2"/>
          </rPr>
          <t xml:space="preserve">
</t>
        </r>
        <r>
          <rPr>
            <sz val="10"/>
            <color indexed="81"/>
            <rFont val="Tahoma"/>
            <family val="2"/>
          </rPr>
          <t>FAT-Ansätze für Miete minus 10 %</t>
        </r>
      </text>
    </comment>
    <comment ref="B56" authorId="1" shapeId="0" xr:uid="{00000000-0006-0000-0E00-000013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I56" authorId="1" shapeId="0" xr:uid="{00000000-0006-0000-0E00-000014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P56" authorId="1" shapeId="0" xr:uid="{00000000-0006-0000-0E00-000015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W56" authorId="1" shapeId="0" xr:uid="{00000000-0006-0000-0E00-000016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D56" authorId="1" shapeId="0" xr:uid="{00000000-0006-0000-0E00-000017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K56" authorId="1" shapeId="0" xr:uid="{00000000-0006-0000-0E00-000018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R56" authorId="1" shapeId="0" xr:uid="{00000000-0006-0000-0E00-000019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Y56" authorId="1" shapeId="0" xr:uid="{00000000-0006-0000-0E00-00001A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BF56" authorId="1" shapeId="0" xr:uid="{00000000-0006-0000-0E00-00001B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BM56" authorId="1" shapeId="0" xr:uid="{00000000-0006-0000-0E00-00001C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BT56" authorId="1" shapeId="0" xr:uid="{00000000-0006-0000-0E00-00001D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CA56" authorId="1" shapeId="0" xr:uid="{00000000-0006-0000-0E00-00001E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CH56" authorId="1" shapeId="0" xr:uid="{00000000-0006-0000-0E00-00001F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CO56" authorId="1" shapeId="0" xr:uid="{00000000-0006-0000-0E00-000020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CV56" authorId="1" shapeId="0" xr:uid="{00000000-0006-0000-0E00-000021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DC56" authorId="1" shapeId="0" xr:uid="{00000000-0006-0000-0E00-000022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DC75" authorId="0" shapeId="0" xr:uid="{00000000-0006-0000-0E00-000023000000}">
      <text>
        <r>
          <rPr>
            <b/>
            <sz val="8"/>
            <color indexed="81"/>
            <rFont val="Tahoma"/>
            <family val="2"/>
          </rPr>
          <t>P. Mouron:</t>
        </r>
        <r>
          <rPr>
            <sz val="8"/>
            <color indexed="81"/>
            <rFont val="Tahoma"/>
            <family val="2"/>
          </rPr>
          <t xml:space="preserve">
Rodungskosten fallen im letzten Jahr an.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 Mouron</author>
    <author>zue</author>
  </authors>
  <commentList>
    <comment ref="E6" authorId="0" shapeId="0" xr:uid="{00000000-0006-0000-0F00-000001000000}">
      <text>
        <r>
          <rPr>
            <sz val="10"/>
            <color indexed="81"/>
            <rFont val="Tahoma"/>
            <family val="2"/>
          </rPr>
          <t>Kosten für Gebindebenutzung und Transport (vom Betrieb zur Genossenschaft) sind hier pauschal bereits abgezogen.</t>
        </r>
        <r>
          <rPr>
            <sz val="8"/>
            <color indexed="81"/>
            <rFont val="Tahoma"/>
            <family val="2"/>
          </rPr>
          <t xml:space="preserve">
</t>
        </r>
      </text>
    </comment>
    <comment ref="D10" authorId="0" shapeId="0" xr:uid="{00000000-0006-0000-0F00-000002000000}">
      <text>
        <r>
          <rPr>
            <b/>
            <sz val="8"/>
            <color indexed="81"/>
            <rFont val="Tahoma"/>
            <family val="2"/>
          </rPr>
          <t>E. Bravin</t>
        </r>
        <r>
          <rPr>
            <sz val="8"/>
            <color indexed="81"/>
            <rFont val="Tahoma"/>
            <family val="2"/>
          </rPr>
          <t xml:space="preserve">
durchschnittlich während Ertragsphase, Schäden durch Frost inkl.
Hingegen Hagelschaden nicht berücksichtigt, da Hagelnetz.</t>
        </r>
      </text>
    </comment>
    <comment ref="E34" authorId="0" shapeId="0" xr:uid="{00000000-0006-0000-0F00-000003000000}">
      <text>
        <r>
          <rPr>
            <b/>
            <sz val="8"/>
            <color indexed="81"/>
            <rFont val="Tahoma"/>
            <family val="2"/>
          </rPr>
          <t>E. Bravin</t>
        </r>
        <r>
          <rPr>
            <sz val="8"/>
            <color indexed="81"/>
            <rFont val="Tahoma"/>
            <family val="2"/>
          </rPr>
          <t xml:space="preserve">
Fr./Durchgang = Fr./ha weil Arbokost die Kosten für 1 ha ausweist
FAT-Ansätze für fixe+variable Kosten</t>
        </r>
      </text>
    </comment>
    <comment ref="B54" authorId="1" shapeId="0" xr:uid="{00000000-0006-0000-0F00-000004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75" authorId="0" shapeId="0" xr:uid="{00000000-0006-0000-0F00-000005000000}">
      <text>
        <r>
          <rPr>
            <b/>
            <sz val="8"/>
            <color indexed="81"/>
            <rFont val="Tahoma"/>
            <family val="2"/>
          </rPr>
          <t>M.Zürcher:</t>
        </r>
        <r>
          <rPr>
            <sz val="8"/>
            <color indexed="81"/>
            <rFont val="Tahoma"/>
            <family val="2"/>
          </rPr>
          <t xml:space="preserve">
</t>
        </r>
        <r>
          <rPr>
            <sz val="10"/>
            <color indexed="81"/>
            <rFont val="Tahoma"/>
            <family val="2"/>
          </rPr>
          <t>Wenn dieser Betrag mit dem Gesamterlös im Durchschnitt nicht gedeckt werden kann, ist es lohnender die Parzelle nicht zu bewirtschaften, d.h zu roden
Mit dem Betriebsminimum werden die variablen Kosten gedeckt. Nicht gedeckt sind: Abschreibung Obstanlage, Abschreibung Maschinen und Zinsanspruch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 Mouron</author>
    <author>FAW</author>
    <author>zue</author>
  </authors>
  <commentList>
    <comment ref="C41" authorId="0" shapeId="0" xr:uid="{00000000-0006-0000-0100-000001000000}">
      <text>
        <r>
          <rPr>
            <sz val="10"/>
            <color indexed="81"/>
            <rFont val="Arial"/>
            <family val="2"/>
          </rPr>
          <t>ACW
Nach FAT
genauer Faktor bei 12 Jahren Abschreibungsdauer: 0.542</t>
        </r>
      </text>
    </comment>
    <comment ref="D68" authorId="0" shapeId="0" xr:uid="{00000000-0006-0000-0100-000002000000}">
      <text>
        <r>
          <rPr>
            <sz val="10"/>
            <color indexed="81"/>
            <rFont val="Arial"/>
            <family val="2"/>
          </rPr>
          <t>ACW
Ernte inkl. Sortieren ohne kalibrieren
inkl. Gebinde richten und Transport bis Hof.</t>
        </r>
      </text>
    </comment>
    <comment ref="D130" authorId="0" shapeId="0" xr:uid="{00000000-0006-0000-0100-000003000000}">
      <text>
        <r>
          <rPr>
            <b/>
            <sz val="10"/>
            <color indexed="81"/>
            <rFont val="Arial"/>
            <family val="2"/>
          </rPr>
          <t>ACW</t>
        </r>
        <r>
          <rPr>
            <sz val="10"/>
            <color indexed="81"/>
            <rFont val="Arial"/>
            <family val="2"/>
          </rPr>
          <t xml:space="preserve">
Fr./Durchgang = Fr./ha , weil Arbokost die Kosten für 1 ha ausweist
FAT-Ansätze für fixe+variable Kosten</t>
        </r>
      </text>
    </comment>
    <comment ref="D163" authorId="0" shapeId="0" xr:uid="{00000000-0006-0000-0100-000004000000}">
      <text>
        <r>
          <rPr>
            <sz val="10"/>
            <color indexed="81"/>
            <rFont val="Tahoma"/>
            <family val="2"/>
          </rPr>
          <t>Ursus Knotengitter schwer (Hortima)
Typ 11/120 (Abstände der Querdrähte 15cm)
Preis: 8.10 Fr. per lm
Ab 2000 Fr.  gibt es 15% Rabatt
Variante
Ursus Knotengitter leicht,Typ 23/160 
Preis: 7.45 Fr. per lm</t>
        </r>
      </text>
    </comment>
    <comment ref="B164" authorId="1" shapeId="0" xr:uid="{00000000-0006-0000-0100-000005000000}">
      <text>
        <r>
          <rPr>
            <sz val="9"/>
            <color indexed="81"/>
            <rFont val="Tahoma"/>
            <family val="2"/>
          </rPr>
          <t>200cm Länge, 7x7 cm Dimension; nur oben gefasst</t>
        </r>
      </text>
    </comment>
    <comment ref="D164" authorId="1" shapeId="0" xr:uid="{00000000-0006-0000-0100-000006000000}">
      <text>
        <r>
          <rPr>
            <sz val="9"/>
            <color indexed="81"/>
            <rFont val="Tahoma"/>
            <family val="2"/>
          </rPr>
          <t>ab 600 Fr. 6% Rabatt, urspr. Stückpreis war 10.20 Fr.</t>
        </r>
      </text>
    </comment>
    <comment ref="B165" authorId="1" shapeId="0" xr:uid="{00000000-0006-0000-0100-000007000000}">
      <text>
        <r>
          <rPr>
            <sz val="9"/>
            <color indexed="81"/>
            <rFont val="Tahoma"/>
            <family val="2"/>
          </rPr>
          <t>225 cm lang; 8x8cm Dimension, nur oben gefasst</t>
        </r>
      </text>
    </comment>
    <comment ref="D165" authorId="1" shapeId="0" xr:uid="{00000000-0006-0000-0100-000008000000}">
      <text>
        <r>
          <rPr>
            <sz val="9"/>
            <color indexed="81"/>
            <rFont val="Tahoma"/>
            <family val="2"/>
          </rPr>
          <t>es werden 21 Pfähle gekauft da es dann Rabatt von 3% gibt (ab 300 Fr.), urspr. Stückpreis 15.95</t>
        </r>
      </text>
    </comment>
    <comment ref="B166" authorId="1" shapeId="0" xr:uid="{00000000-0006-0000-0100-000009000000}">
      <text>
        <r>
          <rPr>
            <sz val="9"/>
            <color indexed="81"/>
            <rFont val="Tahoma"/>
            <family val="2"/>
          </rPr>
          <t>225 cm lang; 8x10cm Dimension, nur oben gefasst; für die Befestigung der Tore gebraucht</t>
        </r>
      </text>
    </comment>
    <comment ref="D167" authorId="1" shapeId="0" xr:uid="{00000000-0006-0000-0100-00000A000000}">
      <text>
        <r>
          <rPr>
            <sz val="9"/>
            <color indexed="81"/>
            <rFont val="Tahoma"/>
            <family val="2"/>
          </rPr>
          <t>je nach Schiebetor etwas billiger/teurer.
Angaben von Durchschnittspreis von Roland Rot</t>
        </r>
      </text>
    </comment>
    <comment ref="B168" authorId="1" shapeId="0" xr:uid="{00000000-0006-0000-0100-00000B000000}">
      <text>
        <r>
          <rPr>
            <sz val="9"/>
            <color indexed="81"/>
            <rFont val="Tahoma"/>
            <family val="2"/>
          </rPr>
          <t>Eisendraht stark verzinkt, 3mm Durchmesser, ca 18m per kg</t>
        </r>
      </text>
    </comment>
    <comment ref="B169" authorId="1" shapeId="0" xr:uid="{00000000-0006-0000-0100-00000C000000}">
      <text>
        <r>
          <rPr>
            <sz val="10"/>
            <color indexed="81"/>
            <rFont val="Tahoma"/>
            <family val="2"/>
          </rPr>
          <t>verzinkt, 4.0/ 40mm , 150 Stk./kg
Pro Pfahl 4 x Agraffen=400</t>
        </r>
      </text>
    </comment>
    <comment ref="D170" authorId="2" shapeId="0" xr:uid="{00000000-0006-0000-0100-00000D000000}">
      <text>
        <r>
          <rPr>
            <b/>
            <sz val="10"/>
            <color indexed="81"/>
            <rFont val="Tahoma"/>
            <family val="2"/>
          </rPr>
          <t>zue:</t>
        </r>
        <r>
          <rPr>
            <sz val="10"/>
            <color indexed="81"/>
            <rFont val="Tahoma"/>
            <family val="2"/>
          </rPr>
          <t xml:space="preserve">
gerundeter Erfahrungswert</t>
        </r>
      </text>
    </comment>
    <comment ref="C190" authorId="1" shapeId="0" xr:uid="{00000000-0006-0000-0100-00000E000000}">
      <text>
        <r>
          <rPr>
            <b/>
            <sz val="8"/>
            <color indexed="81"/>
            <rFont val="Tahoma"/>
            <family val="2"/>
          </rPr>
          <t>FAW:</t>
        </r>
        <r>
          <rPr>
            <sz val="8"/>
            <color indexed="81"/>
            <rFont val="Tahoma"/>
            <family val="2"/>
          </rPr>
          <t xml:space="preserve">
Wenn Hagelnetz = ja und Bewässerung = Ja --&gt; dann = 2</t>
        </r>
      </text>
    </comment>
    <comment ref="C192" authorId="1" shapeId="0" xr:uid="{00000000-0006-0000-0100-00000F000000}">
      <text>
        <r>
          <rPr>
            <b/>
            <sz val="8"/>
            <color indexed="81"/>
            <rFont val="Tahoma"/>
            <family val="2"/>
          </rPr>
          <t>FAW:</t>
        </r>
        <r>
          <rPr>
            <sz val="8"/>
            <color indexed="81"/>
            <rFont val="Tahoma"/>
            <family val="2"/>
          </rPr>
          <t xml:space="preserve">
Wenn Hagelnetz = ja und Bewässerung = Ja --&gt; dann =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zue</author>
  </authors>
  <commentList>
    <comment ref="C47" authorId="0" shapeId="0" xr:uid="{00000000-0006-0000-0200-000001000000}">
      <text>
        <r>
          <rPr>
            <b/>
            <sz val="10"/>
            <color indexed="81"/>
            <rFont val="Tahoma"/>
            <family val="2"/>
          </rPr>
          <t>zue:</t>
        </r>
        <r>
          <rPr>
            <sz val="10"/>
            <color indexed="81"/>
            <rFont val="Tahoma"/>
            <family val="2"/>
          </rPr>
          <t xml:space="preserve">
Annahme: Hagelnetz  steht zuerst, desshalb nur 50% der Zeit ohne Hagelnetz</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zue</author>
  </authors>
  <commentList>
    <comment ref="C52" authorId="0" shapeId="0" xr:uid="{00000000-0006-0000-0300-000001000000}">
      <text>
        <r>
          <rPr>
            <b/>
            <sz val="10"/>
            <color indexed="81"/>
            <rFont val="Tahoma"/>
            <family val="2"/>
          </rPr>
          <t>zue:</t>
        </r>
        <r>
          <rPr>
            <sz val="10"/>
            <color indexed="81"/>
            <rFont val="Tahoma"/>
            <family val="2"/>
          </rPr>
          <t xml:space="preserve">
Annahme: Hagelnetz  steht zuerst, desshalb nur 50% der Zeit ohne Hagelnetz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Liebegg</author>
    <author>FAW</author>
  </authors>
  <commentList>
    <comment ref="A5" authorId="0" shapeId="0" xr:uid="{00000000-0006-0000-0400-000001000000}">
      <text>
        <r>
          <rPr>
            <b/>
            <sz val="8"/>
            <color indexed="81"/>
            <rFont val="Tahoma"/>
            <family val="2"/>
          </rPr>
          <t>Liebegg:</t>
        </r>
        <r>
          <rPr>
            <sz val="8"/>
            <color indexed="81"/>
            <rFont val="Tahoma"/>
            <family val="2"/>
          </rPr>
          <t xml:space="preserve">
Kostenstand 2006/2007
Offerte THURELLA</t>
        </r>
      </text>
    </comment>
    <comment ref="B13" authorId="0" shapeId="0" xr:uid="{00000000-0006-0000-0400-000002000000}">
      <text>
        <r>
          <rPr>
            <b/>
            <sz val="8"/>
            <color indexed="81"/>
            <rFont val="Tahoma"/>
            <family val="2"/>
          </rPr>
          <t>ACW:</t>
        </r>
        <r>
          <rPr>
            <sz val="8"/>
            <color indexed="81"/>
            <rFont val="Tahoma"/>
            <family val="2"/>
          </rPr>
          <t xml:space="preserve">
Anbohrschellen 50mmx3/4 21 Stck. à 4.80, Aufschraubnippel 3/4 x 20 mm 22 Stck. à 1.5, Tropfschlauchenden 22 à 70 Rp. (Quelle Anbauempehlung für die Obstregion NO-CH 2007)
</t>
        </r>
      </text>
    </comment>
    <comment ref="B16" authorId="0" shapeId="0" xr:uid="{00000000-0006-0000-0400-000003000000}">
      <text>
        <r>
          <rPr>
            <b/>
            <sz val="8"/>
            <color indexed="81"/>
            <rFont val="Tahoma"/>
            <family val="2"/>
          </rPr>
          <t>ACW:</t>
        </r>
        <r>
          <rPr>
            <sz val="8"/>
            <color indexed="81"/>
            <rFont val="Tahoma"/>
            <family val="2"/>
          </rPr>
          <t xml:space="preserve">
Tropfschlauch Anschluss an Sektorenleitung 21 x 1 m 20mmà 1.-- (Quelle: Anbauempfehlung für die Obstregion NO-CH 2007)</t>
        </r>
      </text>
    </comment>
    <comment ref="B18" authorId="0" shapeId="0" xr:uid="{00000000-0006-0000-0400-000004000000}">
      <text>
        <r>
          <rPr>
            <b/>
            <sz val="8"/>
            <color indexed="81"/>
            <rFont val="Tahoma"/>
            <family val="2"/>
          </rPr>
          <t>ACW:</t>
        </r>
        <r>
          <rPr>
            <sz val="8"/>
            <color indexed="81"/>
            <rFont val="Tahoma"/>
            <family val="2"/>
          </rPr>
          <t xml:space="preserve">
Sektorenleitung Zuleitung Kultur (Quelle Anbauempfehlung für die Obstregion NO-CH 2007)
Für Hauptlietung PE 63mm PN 12.5 bzw. PE ND 8 63 mm à 6.--</t>
        </r>
      </text>
    </comment>
    <comment ref="B21" authorId="0" shapeId="0" xr:uid="{00000000-0006-0000-0400-000005000000}">
      <text>
        <r>
          <rPr>
            <b/>
            <sz val="8"/>
            <color indexed="81"/>
            <rFont val="Tahoma"/>
            <family val="2"/>
          </rPr>
          <t>ACW:</t>
        </r>
        <r>
          <rPr>
            <sz val="8"/>
            <color indexed="81"/>
            <rFont val="Tahoma"/>
            <family val="2"/>
          </rPr>
          <t xml:space="preserve">
Sektorenleitungsendeverschluss 50mm 1 Stck à 10.80,
plus Anschlusskupplung 2" 50mm pro Sektor 1 (Quelle: Anbauempfehlung für die Obstregion NO-CH 2007)</t>
        </r>
      </text>
    </comment>
    <comment ref="A32" authorId="1" shapeId="0" xr:uid="{00000000-0006-0000-0400-000006000000}">
      <text>
        <r>
          <rPr>
            <b/>
            <sz val="8"/>
            <color indexed="81"/>
            <rFont val="Tahoma"/>
            <family val="2"/>
          </rPr>
          <t>FAW:</t>
        </r>
        <r>
          <rPr>
            <sz val="8"/>
            <color indexed="81"/>
            <rFont val="Tahoma"/>
            <family val="2"/>
          </rPr>
          <t xml:space="preserve">
Inkl. Mehrwertsteuer</t>
        </r>
      </text>
    </comment>
    <comment ref="D64" authorId="0" shapeId="0" xr:uid="{00000000-0006-0000-0400-000007000000}">
      <text>
        <r>
          <rPr>
            <b/>
            <sz val="8"/>
            <color indexed="81"/>
            <rFont val="Tahoma"/>
            <family val="2"/>
          </rPr>
          <t>Liebegg:</t>
        </r>
        <r>
          <rPr>
            <sz val="8"/>
            <color indexed="81"/>
            <rFont val="Tahoma"/>
            <family val="2"/>
          </rPr>
          <t xml:space="preserve">
1 Sprinkler pro Baum</t>
        </r>
      </text>
    </comment>
    <comment ref="B65" authorId="0" shapeId="0" xr:uid="{00000000-0006-0000-0400-000008000000}">
      <text>
        <r>
          <rPr>
            <b/>
            <sz val="8"/>
            <color indexed="81"/>
            <rFont val="Tahoma"/>
            <family val="2"/>
          </rPr>
          <t>Liebegg:</t>
        </r>
        <r>
          <rPr>
            <sz val="8"/>
            <color indexed="81"/>
            <rFont val="Tahoma"/>
            <family val="2"/>
          </rPr>
          <t xml:space="preserve">
17 Stck. Anbohrschellen 50mmx3/4. à 4.80, 
17 Stck. Plasim Anschlusskupplung 3/4"x25mm à 4.80  
18 Stck. Plasim Schlauchkupplungen 25x25mm à 5.80
17 Stck. Plassim Schlauchenden  4.80</t>
        </r>
      </text>
    </comment>
    <comment ref="B67" authorId="0" shapeId="0" xr:uid="{00000000-0006-0000-0400-000009000000}">
      <text>
        <r>
          <rPr>
            <b/>
            <sz val="8"/>
            <color indexed="81"/>
            <rFont val="Tahoma"/>
            <family val="2"/>
          </rPr>
          <t>Liebegg:</t>
        </r>
        <r>
          <rPr>
            <sz val="8"/>
            <color indexed="81"/>
            <rFont val="Tahoma"/>
            <family val="2"/>
          </rPr>
          <t xml:space="preserve">
Schlauchaufhänger Blitzbinder 7 cm, kg à 490 Stck, 4 kg à 38.-</t>
        </r>
      </text>
    </comment>
    <comment ref="B70" authorId="0" shapeId="0" xr:uid="{00000000-0006-0000-0400-00000A000000}">
      <text>
        <r>
          <rPr>
            <b/>
            <sz val="8"/>
            <color indexed="81"/>
            <rFont val="Tahoma"/>
            <family val="2"/>
          </rPr>
          <t>Liebegg:</t>
        </r>
        <r>
          <rPr>
            <sz val="8"/>
            <color indexed="81"/>
            <rFont val="Tahoma"/>
            <family val="2"/>
          </rPr>
          <t xml:space="preserve">
Sektorenleitung Zuleitung Kultur
Für Hauptlietung PE 63mm PN 12.5 bzw. PE ND 8 63 mm à 6.--</t>
        </r>
      </text>
    </comment>
    <comment ref="B73" authorId="0" shapeId="0" xr:uid="{00000000-0006-0000-0400-00000B000000}">
      <text>
        <r>
          <rPr>
            <b/>
            <sz val="8"/>
            <color indexed="81"/>
            <rFont val="Tahoma"/>
            <family val="2"/>
          </rPr>
          <t>Liebegg:</t>
        </r>
        <r>
          <rPr>
            <sz val="8"/>
            <color indexed="81"/>
            <rFont val="Tahoma"/>
            <family val="2"/>
          </rPr>
          <t xml:space="preserve">
4 Stck Sektorenleitungsendeverschluss 50mm  à 10.80,
4 Anschlusskupplung 2" 50mm für  Sektoren  à 18.4 4 Sektoren
</t>
        </r>
      </text>
    </comment>
    <comment ref="B79" authorId="0" shapeId="0" xr:uid="{00000000-0006-0000-0400-00000C000000}">
      <text>
        <r>
          <rPr>
            <b/>
            <sz val="8"/>
            <color indexed="81"/>
            <rFont val="Tahoma"/>
            <family val="2"/>
          </rPr>
          <t>Liebegg:</t>
        </r>
        <r>
          <rPr>
            <sz val="8"/>
            <color indexed="81"/>
            <rFont val="Tahoma"/>
            <family val="2"/>
          </rPr>
          <t xml:space="preserve">
Bermet AC 24 Volt 1.5"</t>
        </r>
      </text>
    </comment>
    <comment ref="B80" authorId="0" shapeId="0" xr:uid="{00000000-0006-0000-0400-00000D000000}">
      <text>
        <r>
          <rPr>
            <b/>
            <sz val="8"/>
            <color indexed="81"/>
            <rFont val="Tahoma"/>
            <family val="2"/>
          </rPr>
          <t>Liebegg:</t>
        </r>
        <r>
          <rPr>
            <sz val="8"/>
            <color indexed="81"/>
            <rFont val="Tahoma"/>
            <family val="2"/>
          </rPr>
          <t xml:space="preserve">
Miracle Netz 220 V 6 Stationen inkl. Abdeckung Wasserdicht</t>
        </r>
      </text>
    </comment>
    <comment ref="B81" authorId="0" shapeId="0" xr:uid="{00000000-0006-0000-0400-00000E000000}">
      <text>
        <r>
          <rPr>
            <b/>
            <sz val="8"/>
            <color indexed="81"/>
            <rFont val="Tahoma"/>
            <family val="2"/>
          </rPr>
          <t>Liebegg:</t>
        </r>
        <r>
          <rPr>
            <sz val="8"/>
            <color indexed="81"/>
            <rFont val="Tahoma"/>
            <family val="2"/>
          </rPr>
          <t xml:space="preserve">
Druckmanometer</t>
        </r>
      </text>
    </comment>
    <comment ref="F83" authorId="0" shapeId="0" xr:uid="{00000000-0006-0000-0400-00000F000000}">
      <text>
        <r>
          <rPr>
            <b/>
            <sz val="8"/>
            <color indexed="81"/>
            <rFont val="Tahoma"/>
            <family val="2"/>
          </rPr>
          <t>Liebegg:</t>
        </r>
        <r>
          <rPr>
            <sz val="8"/>
            <color indexed="81"/>
            <rFont val="Tahoma"/>
            <family val="2"/>
          </rPr>
          <t xml:space="preserve">
Dosatron D8R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FAW</author>
    <author>P. Mouron</author>
  </authors>
  <commentList>
    <comment ref="C82" authorId="0" shapeId="0" xr:uid="{00000000-0006-0000-0500-000001000000}">
      <text>
        <r>
          <rPr>
            <b/>
            <sz val="8"/>
            <color indexed="81"/>
            <rFont val="Tahoma"/>
            <family val="2"/>
          </rPr>
          <t>FAW:</t>
        </r>
        <r>
          <rPr>
            <sz val="8"/>
            <color indexed="81"/>
            <rFont val="Tahoma"/>
            <family val="2"/>
          </rPr>
          <t xml:space="preserve">
Verlustzeit entspricht 10% von der aufgelisteten Zkh oder Akh</t>
        </r>
      </text>
    </comment>
    <comment ref="C105" authorId="1" shapeId="0" xr:uid="{00000000-0006-0000-0500-000002000000}">
      <text>
        <r>
          <rPr>
            <sz val="8"/>
            <color indexed="81"/>
            <rFont val="Tahoma"/>
            <family val="2"/>
          </rPr>
          <t>zue:
In der Regel wird hier mit 10% der totalen Stunden gerechnet.</t>
        </r>
      </text>
    </comment>
    <comment ref="E142" authorId="0" shapeId="0" xr:uid="{00000000-0006-0000-0500-000003000000}">
      <text>
        <r>
          <rPr>
            <b/>
            <sz val="8"/>
            <color indexed="81"/>
            <rFont val="Tahoma"/>
            <family val="2"/>
          </rPr>
          <t>FAW:</t>
        </r>
        <r>
          <rPr>
            <sz val="8"/>
            <color indexed="81"/>
            <rFont val="Tahoma"/>
            <family val="2"/>
          </rPr>
          <t xml:space="preserve">
Quelle Anbauempfehlung für die Obstregion Nordwestschweiz, mit nur 21 Reihen</t>
        </r>
      </text>
    </comment>
    <comment ref="E154" authorId="0" shapeId="0" xr:uid="{00000000-0006-0000-0500-000004000000}">
      <text>
        <r>
          <rPr>
            <b/>
            <sz val="8"/>
            <color indexed="81"/>
            <rFont val="Tahoma"/>
            <family val="2"/>
          </rPr>
          <t>FAW:</t>
        </r>
        <r>
          <rPr>
            <sz val="8"/>
            <color indexed="81"/>
            <rFont val="Tahoma"/>
            <family val="2"/>
          </rPr>
          <t xml:space="preserve">
Quelle Anbauempfehlung für die Obstregion Nordwestschweiz, mit nur 21 Reihen</t>
        </r>
      </text>
    </comment>
    <comment ref="E163" authorId="0" shapeId="0" xr:uid="{00000000-0006-0000-0500-000005000000}">
      <text>
        <r>
          <rPr>
            <b/>
            <sz val="8"/>
            <color indexed="81"/>
            <rFont val="Tahoma"/>
            <family val="2"/>
          </rPr>
          <t>FAW:</t>
        </r>
        <r>
          <rPr>
            <sz val="8"/>
            <color indexed="81"/>
            <rFont val="Tahoma"/>
            <family val="2"/>
          </rPr>
          <t xml:space="preserve">
Hagelversicherung ja=1, Hagelversicherung nein = 0
</t>
        </r>
      </text>
    </comment>
    <comment ref="E165" authorId="0" shapeId="0" xr:uid="{00000000-0006-0000-0500-000006000000}">
      <text>
        <r>
          <rPr>
            <b/>
            <sz val="8"/>
            <color indexed="81"/>
            <rFont val="Tahoma"/>
            <family val="2"/>
          </rPr>
          <t>FAW:</t>
        </r>
        <r>
          <rPr>
            <sz val="8"/>
            <color indexed="81"/>
            <rFont val="Tahoma"/>
            <family val="2"/>
          </rPr>
          <t xml:space="preserve">
Hagelnetz ja=1, Hagenletz nein=o
</t>
        </r>
      </text>
    </comment>
    <comment ref="E167" authorId="0" shapeId="0" xr:uid="{00000000-0006-0000-0500-000007000000}">
      <text>
        <r>
          <rPr>
            <b/>
            <sz val="8"/>
            <color indexed="81"/>
            <rFont val="Tahoma"/>
            <family val="2"/>
          </rPr>
          <t>FAW:</t>
        </r>
        <r>
          <rPr>
            <sz val="8"/>
            <color indexed="81"/>
            <rFont val="Tahoma"/>
            <family val="2"/>
          </rPr>
          <t xml:space="preserve">
Hagelnetz ja=1, Hagenletz nein=o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 Mouron</author>
    <author>zue</author>
  </authors>
  <commentList>
    <comment ref="C14" authorId="0" shapeId="0" xr:uid="{00000000-0006-0000-0600-000001000000}">
      <text>
        <r>
          <rPr>
            <b/>
            <sz val="8"/>
            <color indexed="81"/>
            <rFont val="Tahoma"/>
            <family val="2"/>
          </rPr>
          <t>P. Mouron:</t>
        </r>
        <r>
          <rPr>
            <sz val="8"/>
            <color indexed="81"/>
            <rFont val="Tahoma"/>
            <family val="2"/>
          </rPr>
          <t xml:space="preserve">
keine düngung verrechnet, weil Dünger von erstellung teilweise während dem  1. Standjahr verabreicht wird.</t>
        </r>
      </text>
    </comment>
    <comment ref="C16" authorId="0" shapeId="0" xr:uid="{00000000-0006-0000-0600-000002000000}">
      <text>
        <r>
          <rPr>
            <b/>
            <sz val="8"/>
            <color indexed="81"/>
            <rFont val="Tahoma"/>
            <family val="2"/>
          </rPr>
          <t>P. Mouron:</t>
        </r>
        <r>
          <rPr>
            <sz val="8"/>
            <color indexed="81"/>
            <rFont val="Tahoma"/>
            <family val="2"/>
          </rPr>
          <t xml:space="preserve">
Anzahl Fahrten
</t>
        </r>
      </text>
    </comment>
    <comment ref="E35" authorId="0" shapeId="0" xr:uid="{00000000-0006-0000-0600-000003000000}">
      <text>
        <r>
          <rPr>
            <b/>
            <sz val="8"/>
            <color indexed="81"/>
            <rFont val="Tahoma"/>
            <family val="2"/>
          </rPr>
          <t>P. Mouron:</t>
        </r>
        <r>
          <rPr>
            <sz val="8"/>
            <color indexed="81"/>
            <rFont val="Tahoma"/>
            <family val="2"/>
          </rPr>
          <t xml:space="preserve">
FAT-Ansätze für Miete minus 10 %</t>
        </r>
      </text>
    </comment>
    <comment ref="L35" authorId="0" shapeId="0" xr:uid="{00000000-0006-0000-0600-000004000000}">
      <text>
        <r>
          <rPr>
            <b/>
            <sz val="8"/>
            <color indexed="81"/>
            <rFont val="Tahoma"/>
            <family val="2"/>
          </rPr>
          <t>P. Mouron:</t>
        </r>
        <r>
          <rPr>
            <sz val="8"/>
            <color indexed="81"/>
            <rFont val="Tahoma"/>
            <family val="2"/>
          </rPr>
          <t xml:space="preserve">
FAT-Ansätze für Miete minus 10 %</t>
        </r>
      </text>
    </comment>
    <comment ref="S35" authorId="0" shapeId="0" xr:uid="{00000000-0006-0000-0600-000005000000}">
      <text>
        <r>
          <rPr>
            <b/>
            <sz val="8"/>
            <color indexed="81"/>
            <rFont val="Tahoma"/>
            <family val="2"/>
          </rPr>
          <t>P. Mouron:</t>
        </r>
        <r>
          <rPr>
            <sz val="8"/>
            <color indexed="81"/>
            <rFont val="Tahoma"/>
            <family val="2"/>
          </rPr>
          <t xml:space="preserve">
FAT-Ansätze für Miete minus 10 %</t>
        </r>
      </text>
    </comment>
    <comment ref="Z35" authorId="0" shapeId="0" xr:uid="{00000000-0006-0000-0600-000006000000}">
      <text>
        <r>
          <rPr>
            <b/>
            <sz val="8"/>
            <color indexed="81"/>
            <rFont val="Tahoma"/>
            <family val="2"/>
          </rPr>
          <t>P. Mouron:</t>
        </r>
        <r>
          <rPr>
            <sz val="8"/>
            <color indexed="81"/>
            <rFont val="Tahoma"/>
            <family val="2"/>
          </rPr>
          <t xml:space="preserve">
FAT-Ansätze für Miete minus 10 %</t>
        </r>
      </text>
    </comment>
    <comment ref="AG35" authorId="0" shapeId="0" xr:uid="{00000000-0006-0000-0600-000007000000}">
      <text>
        <r>
          <rPr>
            <b/>
            <sz val="8"/>
            <color indexed="81"/>
            <rFont val="Tahoma"/>
            <family val="2"/>
          </rPr>
          <t>P. Mouron:</t>
        </r>
        <r>
          <rPr>
            <sz val="8"/>
            <color indexed="81"/>
            <rFont val="Tahoma"/>
            <family val="2"/>
          </rPr>
          <t xml:space="preserve">
FAT-Ansätze für Miete minus 10 %</t>
        </r>
      </text>
    </comment>
    <comment ref="AN35" authorId="0" shapeId="0" xr:uid="{00000000-0006-0000-0600-000008000000}">
      <text>
        <r>
          <rPr>
            <b/>
            <sz val="8"/>
            <color indexed="81"/>
            <rFont val="Tahoma"/>
            <family val="2"/>
          </rPr>
          <t>P. Mouron:</t>
        </r>
        <r>
          <rPr>
            <sz val="8"/>
            <color indexed="81"/>
            <rFont val="Tahoma"/>
            <family val="2"/>
          </rPr>
          <t xml:space="preserve">
FAT-Ansätze für Miete minus 10 %</t>
        </r>
      </text>
    </comment>
    <comment ref="AU35" authorId="0" shapeId="0" xr:uid="{00000000-0006-0000-0600-000009000000}">
      <text>
        <r>
          <rPr>
            <b/>
            <sz val="8"/>
            <color indexed="81"/>
            <rFont val="Tahoma"/>
            <family val="2"/>
          </rPr>
          <t>P. Mouron:</t>
        </r>
        <r>
          <rPr>
            <sz val="8"/>
            <color indexed="81"/>
            <rFont val="Tahoma"/>
            <family val="2"/>
          </rPr>
          <t xml:space="preserve">
FAT-Ansätze für Miete minus 10 %</t>
        </r>
      </text>
    </comment>
    <comment ref="BB35" authorId="0" shapeId="0" xr:uid="{00000000-0006-0000-0600-00000A000000}">
      <text>
        <r>
          <rPr>
            <b/>
            <sz val="8"/>
            <color indexed="81"/>
            <rFont val="Tahoma"/>
            <family val="2"/>
          </rPr>
          <t>P. Mouron:</t>
        </r>
        <r>
          <rPr>
            <sz val="8"/>
            <color indexed="81"/>
            <rFont val="Tahoma"/>
            <family val="2"/>
          </rPr>
          <t xml:space="preserve">
FAT-Ansätze für Miete minus 10 %</t>
        </r>
      </text>
    </comment>
    <comment ref="BI35" authorId="0" shapeId="0" xr:uid="{00000000-0006-0000-0600-00000B000000}">
      <text>
        <r>
          <rPr>
            <b/>
            <sz val="8"/>
            <color indexed="81"/>
            <rFont val="Tahoma"/>
            <family val="2"/>
          </rPr>
          <t>P. Mouron:</t>
        </r>
        <r>
          <rPr>
            <sz val="8"/>
            <color indexed="81"/>
            <rFont val="Tahoma"/>
            <family val="2"/>
          </rPr>
          <t xml:space="preserve">
FAT-Ansätze für Miete minus 10 %</t>
        </r>
      </text>
    </comment>
    <comment ref="BP35" authorId="0" shapeId="0" xr:uid="{00000000-0006-0000-0600-00000C000000}">
      <text>
        <r>
          <rPr>
            <b/>
            <sz val="8"/>
            <color indexed="81"/>
            <rFont val="Tahoma"/>
            <family val="2"/>
          </rPr>
          <t>P. Mouron:</t>
        </r>
        <r>
          <rPr>
            <sz val="8"/>
            <color indexed="81"/>
            <rFont val="Tahoma"/>
            <family val="2"/>
          </rPr>
          <t xml:space="preserve">
FAT-Ansätze für Miete minus 10 %</t>
        </r>
      </text>
    </comment>
    <comment ref="BW35" authorId="0" shapeId="0" xr:uid="{00000000-0006-0000-0600-00000D000000}">
      <text>
        <r>
          <rPr>
            <b/>
            <sz val="8"/>
            <color indexed="81"/>
            <rFont val="Tahoma"/>
            <family val="2"/>
          </rPr>
          <t>P. Mouron:</t>
        </r>
        <r>
          <rPr>
            <sz val="8"/>
            <color indexed="81"/>
            <rFont val="Tahoma"/>
            <family val="2"/>
          </rPr>
          <t xml:space="preserve">
FAT-Ansätze für Miete minus 10 %</t>
        </r>
      </text>
    </comment>
    <comment ref="CD35" authorId="0" shapeId="0" xr:uid="{00000000-0006-0000-0600-00000E000000}">
      <text>
        <r>
          <rPr>
            <b/>
            <sz val="8"/>
            <color indexed="81"/>
            <rFont val="Tahoma"/>
            <family val="2"/>
          </rPr>
          <t>P. Mouron:</t>
        </r>
        <r>
          <rPr>
            <sz val="8"/>
            <color indexed="81"/>
            <rFont val="Tahoma"/>
            <family val="2"/>
          </rPr>
          <t xml:space="preserve">
FAT-Ansätze für Miete minus 10 %</t>
        </r>
      </text>
    </comment>
    <comment ref="CK35" authorId="0" shapeId="0" xr:uid="{00000000-0006-0000-0600-00000F000000}">
      <text>
        <r>
          <rPr>
            <b/>
            <sz val="8"/>
            <color indexed="81"/>
            <rFont val="Tahoma"/>
            <family val="2"/>
          </rPr>
          <t>P. Mouron:</t>
        </r>
        <r>
          <rPr>
            <sz val="8"/>
            <color indexed="81"/>
            <rFont val="Tahoma"/>
            <family val="2"/>
          </rPr>
          <t xml:space="preserve">
FAT-Ansätze für Miete minus 10 %</t>
        </r>
      </text>
    </comment>
    <comment ref="CR35" authorId="0" shapeId="0" xr:uid="{00000000-0006-0000-0600-000010000000}">
      <text>
        <r>
          <rPr>
            <b/>
            <sz val="8"/>
            <color indexed="81"/>
            <rFont val="Tahoma"/>
            <family val="2"/>
          </rPr>
          <t>P. Mouron:</t>
        </r>
        <r>
          <rPr>
            <sz val="8"/>
            <color indexed="81"/>
            <rFont val="Tahoma"/>
            <family val="2"/>
          </rPr>
          <t xml:space="preserve">
FAT-Ansätze für Miete minus 10 %</t>
        </r>
      </text>
    </comment>
    <comment ref="CY35" authorId="0" shapeId="0" xr:uid="{00000000-0006-0000-0600-000011000000}">
      <text>
        <r>
          <rPr>
            <b/>
            <sz val="8"/>
            <color indexed="81"/>
            <rFont val="Tahoma"/>
            <family val="2"/>
          </rPr>
          <t>P. Mouron:</t>
        </r>
        <r>
          <rPr>
            <sz val="8"/>
            <color indexed="81"/>
            <rFont val="Tahoma"/>
            <family val="2"/>
          </rPr>
          <t xml:space="preserve">
FAT-Ansätze für Miete minus 10 %</t>
        </r>
      </text>
    </comment>
    <comment ref="DF35" authorId="0" shapeId="0" xr:uid="{00000000-0006-0000-0600-000012000000}">
      <text>
        <r>
          <rPr>
            <b/>
            <sz val="8"/>
            <color indexed="81"/>
            <rFont val="Tahoma"/>
            <family val="2"/>
          </rPr>
          <t>P. Mouron:</t>
        </r>
        <r>
          <rPr>
            <sz val="8"/>
            <color indexed="81"/>
            <rFont val="Tahoma"/>
            <family val="2"/>
          </rPr>
          <t xml:space="preserve">
FAT-Ansätze für Miete minus 10 %</t>
        </r>
      </text>
    </comment>
    <comment ref="B55" authorId="1" shapeId="0" xr:uid="{00000000-0006-0000-0600-000013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I55" authorId="1" shapeId="0" xr:uid="{00000000-0006-0000-0600-000014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P55" authorId="1" shapeId="0" xr:uid="{00000000-0006-0000-0600-000015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W55" authorId="1" shapeId="0" xr:uid="{00000000-0006-0000-0600-000016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D55" authorId="1" shapeId="0" xr:uid="{00000000-0006-0000-0600-000017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K55" authorId="1" shapeId="0" xr:uid="{00000000-0006-0000-0600-000018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R55" authorId="1" shapeId="0" xr:uid="{00000000-0006-0000-0600-000019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Y55" authorId="1" shapeId="0" xr:uid="{00000000-0006-0000-0600-00001A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BF55" authorId="1" shapeId="0" xr:uid="{00000000-0006-0000-0600-00001B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BM55" authorId="1" shapeId="0" xr:uid="{00000000-0006-0000-0600-00001C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BT55" authorId="1" shapeId="0" xr:uid="{00000000-0006-0000-0600-00001D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CA55" authorId="1" shapeId="0" xr:uid="{00000000-0006-0000-0600-00001E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CH55" authorId="1" shapeId="0" xr:uid="{00000000-0006-0000-0600-00001F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CO55" authorId="1" shapeId="0" xr:uid="{00000000-0006-0000-0600-000020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CV55" authorId="1" shapeId="0" xr:uid="{00000000-0006-0000-0600-000021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DC55" authorId="1" shapeId="0" xr:uid="{00000000-0006-0000-0600-000022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DC74" authorId="0" shapeId="0" xr:uid="{00000000-0006-0000-0600-000023000000}">
      <text>
        <r>
          <rPr>
            <b/>
            <sz val="8"/>
            <color indexed="81"/>
            <rFont val="Tahoma"/>
            <family val="2"/>
          </rPr>
          <t>P. Mouron:</t>
        </r>
        <r>
          <rPr>
            <sz val="8"/>
            <color indexed="81"/>
            <rFont val="Tahoma"/>
            <family val="2"/>
          </rPr>
          <t xml:space="preserve">
Rodungskosten fallen im letzten Jahr an.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 Mouron</author>
    <author>zue</author>
  </authors>
  <commentList>
    <comment ref="E6" authorId="0" shapeId="0" xr:uid="{00000000-0006-0000-0700-000001000000}">
      <text>
        <r>
          <rPr>
            <sz val="10"/>
            <color indexed="81"/>
            <rFont val="Tahoma"/>
            <family val="2"/>
          </rPr>
          <t>Kosten für Gebindebenutzung und Transport (vom Betrieb zur Genossenschaft) sind hier pauschal bereits abgezogen.</t>
        </r>
        <r>
          <rPr>
            <sz val="8"/>
            <color indexed="81"/>
            <rFont val="Tahoma"/>
            <family val="2"/>
          </rPr>
          <t xml:space="preserve">
</t>
        </r>
      </text>
    </comment>
    <comment ref="D10" authorId="0" shapeId="0" xr:uid="{00000000-0006-0000-0700-000002000000}">
      <text>
        <r>
          <rPr>
            <b/>
            <sz val="8"/>
            <color indexed="81"/>
            <rFont val="Tahoma"/>
            <family val="2"/>
          </rPr>
          <t>P. Mouron:</t>
        </r>
        <r>
          <rPr>
            <sz val="8"/>
            <color indexed="81"/>
            <rFont val="Tahoma"/>
            <family val="2"/>
          </rPr>
          <t xml:space="preserve">
durchschnittlich während Ertragsphase, Schäden durch Frost inkl.
Hingegen Hagelschaden nicht berücksichtigt, da Hagelversicherung.</t>
        </r>
      </text>
    </comment>
    <comment ref="C18" authorId="0" shapeId="0" xr:uid="{00000000-0006-0000-0700-000003000000}">
      <text>
        <r>
          <rPr>
            <b/>
            <sz val="8"/>
            <color indexed="81"/>
            <rFont val="Tahoma"/>
            <family val="2"/>
          </rPr>
          <t>P. Mouron:</t>
        </r>
        <r>
          <rPr>
            <sz val="8"/>
            <color indexed="81"/>
            <rFont val="Tahoma"/>
            <family val="2"/>
          </rPr>
          <t xml:space="preserve">
Anzahl Fahrten
</t>
        </r>
      </text>
    </comment>
    <comment ref="E34" authorId="0" shapeId="0" xr:uid="{00000000-0006-0000-0700-000004000000}">
      <text>
        <r>
          <rPr>
            <b/>
            <sz val="8"/>
            <color indexed="81"/>
            <rFont val="Tahoma"/>
            <family val="2"/>
          </rPr>
          <t>P. Mouron:</t>
        </r>
        <r>
          <rPr>
            <sz val="8"/>
            <color indexed="81"/>
            <rFont val="Tahoma"/>
            <family val="2"/>
          </rPr>
          <t xml:space="preserve">
Fr./Durchgang = Fr./ha weil Arbokost die Kosten für 1 ha ausweist
FAT-Ansätze für fixe+variable Kosten</t>
        </r>
      </text>
    </comment>
    <comment ref="B52" authorId="1" shapeId="0" xr:uid="{00000000-0006-0000-0700-000005000000}">
      <text>
        <r>
          <rPr>
            <b/>
            <sz val="10"/>
            <color indexed="81"/>
            <rFont val="Tahoma"/>
            <family val="2"/>
          </rPr>
          <t>zue:</t>
        </r>
        <r>
          <rPr>
            <sz val="10"/>
            <color indexed="81"/>
            <rFont val="Tahoma"/>
            <family val="2"/>
          </rPr>
          <t xml:space="preserve">
es wird davon ausgegangen, dass auch im 1.Jahr die Netze geöffnet und geschlossen werden</t>
        </r>
      </text>
    </comment>
    <comment ref="A73" authorId="0" shapeId="0" xr:uid="{00000000-0006-0000-0700-000006000000}">
      <text>
        <r>
          <rPr>
            <b/>
            <sz val="8"/>
            <color indexed="81"/>
            <rFont val="Tahoma"/>
            <family val="2"/>
          </rPr>
          <t>P. Mouron:</t>
        </r>
        <r>
          <rPr>
            <sz val="8"/>
            <color indexed="81"/>
            <rFont val="Tahoma"/>
            <family val="2"/>
          </rPr>
          <t xml:space="preserve">
</t>
        </r>
        <r>
          <rPr>
            <sz val="10"/>
            <color indexed="81"/>
            <rFont val="Tahoma"/>
            <family val="2"/>
          </rPr>
          <t>Wenn dieser Betrag mit dem Gesamterlös im Durchschnitt nicht gedeckt werden kann, sollte die Parzelle gerodet werden.
Mit dem Betriebsminimum werden die variablen Kosten gedeckt. Nicht gedeckt sind: Abschreibung Obstanlage, Abschreibung Maschinen und Zinsanspruch</t>
        </r>
      </text>
    </comment>
    <comment ref="A85" authorId="0" shapeId="0" xr:uid="{00000000-0006-0000-0700-000007000000}">
      <text>
        <r>
          <rPr>
            <b/>
            <sz val="8"/>
            <color indexed="81"/>
            <rFont val="Tahoma"/>
            <family val="2"/>
          </rPr>
          <t>P. Mouron:</t>
        </r>
        <r>
          <rPr>
            <sz val="8"/>
            <color indexed="81"/>
            <rFont val="Tahoma"/>
            <family val="2"/>
          </rPr>
          <t xml:space="preserve">
</t>
        </r>
        <r>
          <rPr>
            <sz val="10"/>
            <color indexed="81"/>
            <rFont val="Tahoma"/>
            <family val="2"/>
          </rPr>
          <t>siehe: Betriebswirtschaftliche Begriffe im Agrarbereich, LMZ 2000, S.112</t>
        </r>
      </text>
    </comment>
    <comment ref="A87" authorId="0" shapeId="0" xr:uid="{00000000-0006-0000-0700-000008000000}">
      <text>
        <r>
          <rPr>
            <b/>
            <sz val="8"/>
            <color indexed="81"/>
            <rFont val="Tahoma"/>
            <family val="2"/>
          </rPr>
          <t>P. Mouron:</t>
        </r>
        <r>
          <rPr>
            <sz val="8"/>
            <color indexed="81"/>
            <rFont val="Tahoma"/>
            <family val="2"/>
          </rPr>
          <t xml:space="preserve">
</t>
        </r>
        <r>
          <rPr>
            <sz val="10"/>
            <color indexed="81"/>
            <rFont val="Tahoma"/>
            <family val="2"/>
          </rPr>
          <t>Summe aus Zinsanspruch für das Eigenkapital und bezahlten Schuld- und Pachtzinsen ((Betriebswirtschaftliche Begriffe im Agrarbereich, LMZ 2000, S.110)
Hier: Zins für Investitionen und Boden.</t>
        </r>
      </text>
    </comment>
    <comment ref="A88" authorId="0" shapeId="0" xr:uid="{00000000-0006-0000-0700-000009000000}">
      <text>
        <r>
          <rPr>
            <b/>
            <sz val="8"/>
            <color indexed="81"/>
            <rFont val="Tahoma"/>
            <family val="2"/>
          </rPr>
          <t>P</t>
        </r>
        <r>
          <rPr>
            <b/>
            <sz val="10"/>
            <color indexed="81"/>
            <rFont val="Tahoma"/>
            <family val="2"/>
          </rPr>
          <t>. Mouron:</t>
        </r>
        <r>
          <rPr>
            <sz val="10"/>
            <color indexed="81"/>
            <rFont val="Tahoma"/>
            <family val="2"/>
          </rPr>
          <t xml:space="preserve">
Kosten für die in der Produktion eingesetzten Produktionsmittel </t>
        </r>
        <r>
          <rPr>
            <b/>
            <i/>
            <sz val="10"/>
            <color indexed="81"/>
            <rFont val="Tahoma"/>
            <family val="2"/>
          </rPr>
          <t>einschliesslich der Abschreibungen</t>
        </r>
        <r>
          <rPr>
            <sz val="10"/>
            <color indexed="81"/>
            <rFont val="Tahoma"/>
            <family val="2"/>
          </rPr>
          <t>, aber ohne die Entschädigung für die Produktionsfaktoren Arbeit und Kapital. (Betriebswirtschaftliche Begriffe im Agrarbereich, LMZ 2000, S.149)</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FAW</author>
    <author>P. Mouron</author>
    <author>zue</author>
  </authors>
  <commentList>
    <comment ref="C31" authorId="0" shapeId="0" xr:uid="{00000000-0006-0000-0900-000001000000}">
      <text>
        <r>
          <rPr>
            <sz val="9"/>
            <color indexed="81"/>
            <rFont val="Tahoma"/>
            <family val="2"/>
          </rPr>
          <t>Agridea 2006: 1jV Pfl.material zw. 12-18 Fr.</t>
        </r>
      </text>
    </comment>
    <comment ref="C41" authorId="1" shapeId="0" xr:uid="{00000000-0006-0000-0900-000002000000}">
      <text>
        <r>
          <rPr>
            <b/>
            <sz val="8"/>
            <color indexed="81"/>
            <rFont val="Tahoma"/>
            <family val="2"/>
          </rPr>
          <t>M.Zürcher:</t>
        </r>
        <r>
          <rPr>
            <sz val="8"/>
            <color indexed="81"/>
            <rFont val="Tahoma"/>
            <family val="2"/>
          </rPr>
          <t xml:space="preserve">
</t>
        </r>
        <r>
          <rPr>
            <sz val="10"/>
            <color indexed="81"/>
            <rFont val="Tahoma"/>
            <family val="2"/>
          </rPr>
          <t>Nach FAT
genauer Faktor bei 12 Jahren Abschreibungsdauer: 0.542</t>
        </r>
      </text>
    </comment>
    <comment ref="D68" authorId="1" shapeId="0" xr:uid="{00000000-0006-0000-0900-000003000000}">
      <text>
        <r>
          <rPr>
            <b/>
            <sz val="8"/>
            <color indexed="81"/>
            <rFont val="Tahoma"/>
            <family val="2"/>
          </rPr>
          <t>M.Zürcher:</t>
        </r>
        <r>
          <rPr>
            <sz val="8"/>
            <color indexed="81"/>
            <rFont val="Tahoma"/>
            <family val="2"/>
          </rPr>
          <t xml:space="preserve">
</t>
        </r>
        <r>
          <rPr>
            <sz val="10"/>
            <color indexed="81"/>
            <rFont val="Tahoma"/>
            <family val="2"/>
          </rPr>
          <t>Ernte inkl. Sortieren ohne kalibrieren
inkl. Gebinde richten und Transport bis Hof.</t>
        </r>
      </text>
    </comment>
    <comment ref="D130" authorId="1" shapeId="0" xr:uid="{00000000-0006-0000-0900-000004000000}">
      <text>
        <r>
          <rPr>
            <sz val="10"/>
            <color indexed="81"/>
            <rFont val="Arial"/>
            <family val="2"/>
          </rPr>
          <t>ACW
Fr./Durchgang = Fr./ha , weil Arbokost die Kosten für 1 ha ausweist
ART-Ansätze für fixe+variable Kosten</t>
        </r>
      </text>
    </comment>
    <comment ref="C154" authorId="1" shapeId="0" xr:uid="{00000000-0006-0000-0900-000005000000}">
      <text>
        <r>
          <rPr>
            <b/>
            <sz val="8"/>
            <color indexed="81"/>
            <rFont val="Tahoma"/>
            <family val="2"/>
          </rPr>
          <t>P. Mouron:</t>
        </r>
        <r>
          <rPr>
            <sz val="8"/>
            <color indexed="81"/>
            <rFont val="Tahoma"/>
            <family val="2"/>
          </rPr>
          <t xml:space="preserve">
pro ha für Obstbau</t>
        </r>
      </text>
    </comment>
    <comment ref="D163" authorId="1" shapeId="0" xr:uid="{00000000-0006-0000-0900-000006000000}">
      <text>
        <r>
          <rPr>
            <sz val="10"/>
            <color indexed="81"/>
            <rFont val="Tahoma"/>
            <family val="2"/>
          </rPr>
          <t>Ursus Knotengitter schwer (Hortima)
Typ 11/120 (Abstände der Querdrähte 15cm)
Preis: 8.10 Fr. per lm
Ab 2000 Fr.  gibt es 15% Rabatt
Variante
Ursus Knotengitter leicht,Typ 23/160 
Preis: 7.45 Fr. per lm</t>
        </r>
      </text>
    </comment>
    <comment ref="B164" authorId="0" shapeId="0" xr:uid="{00000000-0006-0000-0900-000007000000}">
      <text>
        <r>
          <rPr>
            <sz val="9"/>
            <color indexed="81"/>
            <rFont val="Tahoma"/>
            <family val="2"/>
          </rPr>
          <t>200cm Länge, 7x7 cm Dimension; nur oben gefasst</t>
        </r>
      </text>
    </comment>
    <comment ref="D164" authorId="0" shapeId="0" xr:uid="{00000000-0006-0000-0900-000008000000}">
      <text>
        <r>
          <rPr>
            <sz val="9"/>
            <color indexed="81"/>
            <rFont val="Tahoma"/>
            <family val="2"/>
          </rPr>
          <t>ab 600 Fr. 6% Rabatt, urspr. Stückpreis war 10.20 Fr.</t>
        </r>
      </text>
    </comment>
    <comment ref="B165" authorId="0" shapeId="0" xr:uid="{00000000-0006-0000-0900-000009000000}">
      <text>
        <r>
          <rPr>
            <sz val="9"/>
            <color indexed="81"/>
            <rFont val="Tahoma"/>
            <family val="2"/>
          </rPr>
          <t>225 cm lang; 8x8cm Dimension, nur oben gefasst</t>
        </r>
      </text>
    </comment>
    <comment ref="D165" authorId="0" shapeId="0" xr:uid="{00000000-0006-0000-0900-00000A000000}">
      <text>
        <r>
          <rPr>
            <sz val="9"/>
            <color indexed="81"/>
            <rFont val="Tahoma"/>
            <family val="2"/>
          </rPr>
          <t>es werden 21 Pfähle gekauft da es dann Rabatt von 3% gibt (ab 300 Fr.), urspr. Stückpreis 15.95</t>
        </r>
      </text>
    </comment>
    <comment ref="B166" authorId="0" shapeId="0" xr:uid="{00000000-0006-0000-0900-00000B000000}">
      <text>
        <r>
          <rPr>
            <sz val="9"/>
            <color indexed="81"/>
            <rFont val="Tahoma"/>
            <family val="2"/>
          </rPr>
          <t>225 cm lang; 8x10cm Dimension, nur oben gefasst; für die Befestigung der Tore gebraucht</t>
        </r>
      </text>
    </comment>
    <comment ref="D167" authorId="0" shapeId="0" xr:uid="{00000000-0006-0000-0900-00000C000000}">
      <text>
        <r>
          <rPr>
            <sz val="9"/>
            <color indexed="81"/>
            <rFont val="Tahoma"/>
            <family val="2"/>
          </rPr>
          <t>je nach Schiebetor etwas billiger/teurer.
Angaben von Durchschnittspreis von Roland Rot</t>
        </r>
      </text>
    </comment>
    <comment ref="B168" authorId="0" shapeId="0" xr:uid="{00000000-0006-0000-0900-00000D000000}">
      <text>
        <r>
          <rPr>
            <sz val="9"/>
            <color indexed="81"/>
            <rFont val="Tahoma"/>
            <family val="2"/>
          </rPr>
          <t>Eisendraht stark verzinkt, 3mm Durchmesser, ca 18m per kg</t>
        </r>
      </text>
    </comment>
    <comment ref="B169" authorId="0" shapeId="0" xr:uid="{00000000-0006-0000-0900-00000E000000}">
      <text>
        <r>
          <rPr>
            <sz val="10"/>
            <color indexed="81"/>
            <rFont val="Tahoma"/>
            <family val="2"/>
          </rPr>
          <t>verzinkt, 4.0/ 40mm , 150 Stk./kg
Pro Pfahl 4 x Agraffen=400</t>
        </r>
      </text>
    </comment>
    <comment ref="D170" authorId="2" shapeId="0" xr:uid="{00000000-0006-0000-0900-00000F000000}">
      <text>
        <r>
          <rPr>
            <b/>
            <sz val="10"/>
            <color indexed="81"/>
            <rFont val="Tahoma"/>
            <family val="2"/>
          </rPr>
          <t>zue:</t>
        </r>
        <r>
          <rPr>
            <sz val="10"/>
            <color indexed="81"/>
            <rFont val="Tahoma"/>
            <family val="2"/>
          </rPr>
          <t xml:space="preserve">
gerundeter Erfahrungswert</t>
        </r>
      </text>
    </comment>
    <comment ref="C190" authorId="0" shapeId="0" xr:uid="{00000000-0006-0000-0900-000010000000}">
      <text>
        <r>
          <rPr>
            <b/>
            <sz val="8"/>
            <color indexed="81"/>
            <rFont val="Tahoma"/>
            <family val="2"/>
          </rPr>
          <t>FAW:</t>
        </r>
        <r>
          <rPr>
            <sz val="8"/>
            <color indexed="81"/>
            <rFont val="Tahoma"/>
            <family val="2"/>
          </rPr>
          <t xml:space="preserve">
Wenn Hagelnetz = ja und Bewässerung = Ja --&gt; dann = 2</t>
        </r>
      </text>
    </comment>
    <comment ref="C192" authorId="0" shapeId="0" xr:uid="{00000000-0006-0000-0900-000011000000}">
      <text>
        <r>
          <rPr>
            <b/>
            <sz val="8"/>
            <color indexed="81"/>
            <rFont val="Tahoma"/>
            <family val="2"/>
          </rPr>
          <t>FAW:</t>
        </r>
        <r>
          <rPr>
            <sz val="8"/>
            <color indexed="81"/>
            <rFont val="Tahoma"/>
            <family val="2"/>
          </rPr>
          <t xml:space="preserve">
Wenn Hagelnetz = ja und Bewässerung = Ja --&gt; dann = 2</t>
        </r>
      </text>
    </comment>
  </commentList>
</comments>
</file>

<file path=xl/sharedStrings.xml><?xml version="1.0" encoding="utf-8"?>
<sst xmlns="http://schemas.openxmlformats.org/spreadsheetml/2006/main" count="3517" uniqueCount="700">
  <si>
    <t>Länge</t>
  </si>
  <si>
    <t>Breite</t>
  </si>
  <si>
    <t>berechnet</t>
  </si>
  <si>
    <t>Spindel</t>
  </si>
  <si>
    <t>Gassenbreite</t>
  </si>
  <si>
    <t>Baumabstand</t>
  </si>
  <si>
    <t>Anzahl Reihen</t>
  </si>
  <si>
    <t>Bäume pro ha</t>
  </si>
  <si>
    <t>Pflanzgut</t>
  </si>
  <si>
    <t>Baumpreis</t>
  </si>
  <si>
    <t>Zinssatz</t>
  </si>
  <si>
    <t>Anzahl</t>
  </si>
  <si>
    <t>Stückpreis</t>
  </si>
  <si>
    <t>Kosten</t>
  </si>
  <si>
    <t>Einzäunung</t>
  </si>
  <si>
    <t>Tore</t>
  </si>
  <si>
    <t>Kant. Beitrag (Gemeinde, Jagdkasse)</t>
  </si>
  <si>
    <t>Verschiedenes</t>
  </si>
  <si>
    <t>Bodenanalyse</t>
  </si>
  <si>
    <t xml:space="preserve">Total direkte Kosten </t>
  </si>
  <si>
    <t>Zkh/ha</t>
  </si>
  <si>
    <t>Fr./h</t>
  </si>
  <si>
    <t>Fr./ha</t>
  </si>
  <si>
    <t>Maschinen</t>
  </si>
  <si>
    <t>Zugkraft</t>
  </si>
  <si>
    <t>Kleingeräte</t>
  </si>
  <si>
    <t>Total Maschinen und Zugkraftkosten</t>
  </si>
  <si>
    <t>Akh/ha</t>
  </si>
  <si>
    <t>Arbeit</t>
  </si>
  <si>
    <t>Düngung</t>
  </si>
  <si>
    <t>Bodenprobe</t>
  </si>
  <si>
    <t>Ausmessen</t>
  </si>
  <si>
    <t>Pflanzung inkl. Anbinden</t>
  </si>
  <si>
    <t>Einzäunung erstellen</t>
  </si>
  <si>
    <t>Einsaat</t>
  </si>
  <si>
    <t>Total Strukturkosten</t>
  </si>
  <si>
    <t>Stj.</t>
  </si>
  <si>
    <t>kg / ha</t>
  </si>
  <si>
    <t>kg / B.</t>
  </si>
  <si>
    <t>System: Äpfel  Spindel 1-reihig</t>
  </si>
  <si>
    <t>Anzahl Bäume pro ha</t>
  </si>
  <si>
    <t>1. Standjahr</t>
  </si>
  <si>
    <t>2. Standjahr</t>
  </si>
  <si>
    <t>3. Standjahr</t>
  </si>
  <si>
    <t>4. Standjahr</t>
  </si>
  <si>
    <t>5. Standjahr</t>
  </si>
  <si>
    <t>6. Standjahr</t>
  </si>
  <si>
    <t>7. Standjahr</t>
  </si>
  <si>
    <t>8. Standjahr</t>
  </si>
  <si>
    <t>9. Standjahr</t>
  </si>
  <si>
    <t>10. Standjahr</t>
  </si>
  <si>
    <t>11. Standjahr</t>
  </si>
  <si>
    <t>12. Standjahr</t>
  </si>
  <si>
    <t>13. Standjahr</t>
  </si>
  <si>
    <t>14. Standjahr</t>
  </si>
  <si>
    <t>15. Standjahr</t>
  </si>
  <si>
    <t>kg/B.</t>
  </si>
  <si>
    <t>kg/ha</t>
  </si>
  <si>
    <t>Preis pro Einh.</t>
  </si>
  <si>
    <t>Rohertrag</t>
  </si>
  <si>
    <t>%</t>
  </si>
  <si>
    <t>Erträge</t>
  </si>
  <si>
    <t>Ammonsalpeter</t>
  </si>
  <si>
    <t>pro 100 kg</t>
  </si>
  <si>
    <t>Total direkte Kosten</t>
  </si>
  <si>
    <t>Fläche</t>
  </si>
  <si>
    <t>Fr./h, Fr./ha</t>
  </si>
  <si>
    <t>Schnittholzhacker</t>
  </si>
  <si>
    <t>Arbeiten</t>
  </si>
  <si>
    <t>für Boden</t>
  </si>
  <si>
    <t>Gesamtertrag</t>
  </si>
  <si>
    <t>Zeitwert</t>
  </si>
  <si>
    <t xml:space="preserve">Zins </t>
  </si>
  <si>
    <t>Produktionskosten ohne Arbeitskosten</t>
  </si>
  <si>
    <t>Anteil PK</t>
  </si>
  <si>
    <t>Standard</t>
  </si>
  <si>
    <t>kg/Baum</t>
  </si>
  <si>
    <t>Erstellungsjahr</t>
  </si>
  <si>
    <t>1. Sandjahr</t>
  </si>
  <si>
    <t>Aufbauphase</t>
  </si>
  <si>
    <t>Unter den gewählten Vorgaben ergeben sich folgende Kenngrössen aus der Kapitalflussrechnung:</t>
  </si>
  <si>
    <t>Arbeitseinkommen / Akh</t>
  </si>
  <si>
    <t>Akh / ha</t>
  </si>
  <si>
    <t>SOLL Fläche in ha bei 2700 Akh/J</t>
  </si>
  <si>
    <t>h</t>
  </si>
  <si>
    <t>Total Standdauer</t>
  </si>
  <si>
    <t>Gesamterlös (Leistung)</t>
  </si>
  <si>
    <t>Ertragsphase</t>
  </si>
  <si>
    <t>mit Direktzahlungen</t>
  </si>
  <si>
    <t xml:space="preserve">Produktionskosten </t>
  </si>
  <si>
    <t>durchschnittlich über alle Klassen:</t>
  </si>
  <si>
    <r>
      <t xml:space="preserve">Direktzahlungen </t>
    </r>
    <r>
      <rPr>
        <sz val="10"/>
        <rFont val="Arial"/>
        <family val="2"/>
      </rPr>
      <t>ÖLN</t>
    </r>
  </si>
  <si>
    <t xml:space="preserve">Lohnkosten brutto    </t>
  </si>
  <si>
    <t>Total</t>
  </si>
  <si>
    <t>Arbeitseinkommen  intern pro Akh</t>
  </si>
  <si>
    <t xml:space="preserve">                                                        Akh extern total</t>
  </si>
  <si>
    <t>Erstellung</t>
  </si>
  <si>
    <t>Sämaschine 3 m</t>
  </si>
  <si>
    <t>Pneuwagen 2achsig, 3 t</t>
  </si>
  <si>
    <t>Bewirtschaftung Obstanlage</t>
  </si>
  <si>
    <t xml:space="preserve">Knotengitter </t>
  </si>
  <si>
    <t>Agraffen</t>
  </si>
  <si>
    <t>Total Zaunkosten</t>
  </si>
  <si>
    <t>Diverses Material und Kleingeräte</t>
  </si>
  <si>
    <t>Verwaltung + übrige Arbeiten</t>
  </si>
  <si>
    <t>Mulchen und Schnittholz hacken</t>
  </si>
  <si>
    <t>Anhängegebläsepritze 1000 l</t>
  </si>
  <si>
    <t>Speziell für Erstellung</t>
  </si>
  <si>
    <t>Maschinen und Geräte</t>
  </si>
  <si>
    <t>Dünger</t>
  </si>
  <si>
    <t>1. Stj.</t>
  </si>
  <si>
    <t>2. Stj.</t>
  </si>
  <si>
    <t>Pflanzenbehandlungsmittel</t>
  </si>
  <si>
    <t>Geräte</t>
  </si>
  <si>
    <t>hier gewählt</t>
  </si>
  <si>
    <t>Zkh/Durchgang</t>
  </si>
  <si>
    <t>Fr./Durchgang</t>
  </si>
  <si>
    <t>Total Gerätestunden</t>
  </si>
  <si>
    <t>Traktor für Ernte</t>
  </si>
  <si>
    <t xml:space="preserve">Variante </t>
  </si>
  <si>
    <t>intern (Familie)</t>
  </si>
  <si>
    <t>Resultate</t>
  </si>
  <si>
    <t>+/-</t>
  </si>
  <si>
    <t xml:space="preserve"> +/-</t>
  </si>
  <si>
    <r>
      <t xml:space="preserve">Pflanzdichte   </t>
    </r>
    <r>
      <rPr>
        <sz val="10"/>
        <color indexed="8"/>
        <rFont val="Arial"/>
        <family val="2"/>
      </rPr>
      <t>Bäume / ha</t>
    </r>
  </si>
  <si>
    <t>fixe Kosten</t>
  </si>
  <si>
    <t>variable Kosten</t>
  </si>
  <si>
    <t>variable Kosten Maschinen und Geräte</t>
  </si>
  <si>
    <t>Kalkulierte Produktionskosten</t>
  </si>
  <si>
    <t>Betriebsminimum</t>
  </si>
  <si>
    <t>Baumpreis inkl. Lizenz</t>
  </si>
  <si>
    <t>externe Arbeitskräfte</t>
  </si>
  <si>
    <t>Bäume / ha</t>
  </si>
  <si>
    <t>Systembeschreibung</t>
  </si>
  <si>
    <r>
      <t>Rodekosten</t>
    </r>
    <r>
      <rPr>
        <sz val="10"/>
        <rFont val="Arial"/>
        <family val="2"/>
      </rPr>
      <t xml:space="preserve"> (Arbeit + Maschinen)</t>
    </r>
  </si>
  <si>
    <t>Obstart</t>
  </si>
  <si>
    <t>Produktionsweise</t>
  </si>
  <si>
    <t>Erziehungsform</t>
  </si>
  <si>
    <t>Geometrische Daten</t>
  </si>
  <si>
    <t>Pflanzenschutzkontrolle</t>
  </si>
  <si>
    <t>Mausen</t>
  </si>
  <si>
    <t>Akh</t>
  </si>
  <si>
    <t>Verwaltung</t>
  </si>
  <si>
    <t>übrige Arbeiten</t>
  </si>
  <si>
    <t xml:space="preserve">2. Stj. </t>
  </si>
  <si>
    <t>Rodungskosten</t>
  </si>
  <si>
    <t>Rodekostenanteil abgezinst</t>
  </si>
  <si>
    <t>Arbeitsproduktivität</t>
  </si>
  <si>
    <t>Rentabilität</t>
  </si>
  <si>
    <t>Qualität und Ernteleistung</t>
  </si>
  <si>
    <t xml:space="preserve">Preise und Erträge  </t>
  </si>
  <si>
    <t>Standjahr</t>
  </si>
  <si>
    <t>Patentkali</t>
  </si>
  <si>
    <t>l,kg pro ha</t>
  </si>
  <si>
    <t>16. Standjahr</t>
  </si>
  <si>
    <t>Anzahl Fahrten</t>
  </si>
  <si>
    <t>Pneuwagen 2achsig (Ernte)</t>
  </si>
  <si>
    <t>Diverse Kleingeräte</t>
  </si>
  <si>
    <t xml:space="preserve">                                     Erntestd.</t>
  </si>
  <si>
    <t>Zins für Boden</t>
  </si>
  <si>
    <t>Baumgerüst</t>
  </si>
  <si>
    <t>Diverses (z.B. Telefon, Transport, Bindematerial)</t>
  </si>
  <si>
    <t>Baumpfahl stellen</t>
  </si>
  <si>
    <t>Erwirtschaftetes Kapital nach 16 Jahren</t>
  </si>
  <si>
    <t xml:space="preserve"> Akh gesamt pro ha </t>
  </si>
  <si>
    <t xml:space="preserve"> Akh  intern</t>
  </si>
  <si>
    <t>Faktor für mittleren Zins</t>
  </si>
  <si>
    <t>Pflanzenschutz inkl. Kontrolle und Mausen</t>
  </si>
  <si>
    <t>ZA = Kapitalkosten</t>
  </si>
  <si>
    <t xml:space="preserve">PK ohne ZA </t>
  </si>
  <si>
    <t>Gewinn ohne ZA</t>
  </si>
  <si>
    <t>Annahme: alles eigene Maschinen: fixe Kosten + var. Kosten = Mietansätze - 10 %</t>
  </si>
  <si>
    <t>für aktuelle Investition</t>
  </si>
  <si>
    <t>Anteil externe Akh für Ernte</t>
  </si>
  <si>
    <t>Gesamt-erlös</t>
  </si>
  <si>
    <t>Standard 1ha</t>
  </si>
  <si>
    <t>Definition Standard:</t>
  </si>
  <si>
    <t>Fr./kg</t>
  </si>
  <si>
    <t>Tafelzwetschge</t>
  </si>
  <si>
    <t>Niederstammanlage mit Drahtgerüst und Zaun</t>
  </si>
  <si>
    <t>Brutto</t>
  </si>
  <si>
    <t>Netto</t>
  </si>
  <si>
    <t>Wendezone</t>
  </si>
  <si>
    <t>Sorte und Unterlage</t>
  </si>
  <si>
    <t>oder Fereley</t>
  </si>
  <si>
    <t>1j.V., Anbauvertrag</t>
  </si>
  <si>
    <t>Telleranker</t>
  </si>
  <si>
    <t>Pflug 2scharig</t>
  </si>
  <si>
    <t>Pneuwagen</t>
  </si>
  <si>
    <t>Pflügen</t>
  </si>
  <si>
    <t>Eggen</t>
  </si>
  <si>
    <t>Sortierkategorien</t>
  </si>
  <si>
    <t>Hagelversicherung</t>
  </si>
  <si>
    <t>Deckungsgrad</t>
  </si>
  <si>
    <t>(1 Standardarbeitskraft = 300 T * 9 Akh)</t>
  </si>
  <si>
    <t xml:space="preserve"> Produktionskosten Brennzwet.</t>
  </si>
  <si>
    <t>Var</t>
  </si>
  <si>
    <t>(1 Vararbeitskraft = 300 T * 9 Akh)</t>
  </si>
  <si>
    <t>Unter den gewählten 'Var Vorgaben' ergeben sich folgende Kenngrössen aus der Kapitalflussrechnung:</t>
  </si>
  <si>
    <t>Fr./Jahr</t>
  </si>
  <si>
    <t>Ersatzmaterial</t>
  </si>
  <si>
    <t>Büromaterial</t>
  </si>
  <si>
    <t>Diverse Kosten</t>
  </si>
  <si>
    <r>
      <t>Düngerkosten / Jahr</t>
    </r>
    <r>
      <rPr>
        <sz val="10"/>
        <rFont val="Arial"/>
        <family val="2"/>
      </rPr>
      <t xml:space="preserve">     </t>
    </r>
  </si>
  <si>
    <t xml:space="preserve">Maschinenkosten / Jahr      </t>
  </si>
  <si>
    <t xml:space="preserve">Pflanzenbehandlungsmittel / Jahr     </t>
  </si>
  <si>
    <t>Variante</t>
  </si>
  <si>
    <t>siehe unten</t>
  </si>
  <si>
    <t>Anteil externe Akh für Ernte und Ausdünnen</t>
  </si>
  <si>
    <t>kg Tafelfrüchte pro Arbeitskraftstunde</t>
  </si>
  <si>
    <t>Tafelzwetschgen 33 mm</t>
  </si>
  <si>
    <t>siehe unten: geometrische Daten</t>
  </si>
  <si>
    <t>Lieferort:</t>
  </si>
  <si>
    <t>Genossenschaft, Grosshandel</t>
  </si>
  <si>
    <t>Abschreibungsdauer</t>
  </si>
  <si>
    <t>Gebäude</t>
  </si>
  <si>
    <t>Sortierraum</t>
  </si>
  <si>
    <t>Fr./m²</t>
  </si>
  <si>
    <t>m2 / Jahr</t>
  </si>
  <si>
    <t>Gebäudekosten</t>
  </si>
  <si>
    <t>Materiallager (für PBM, Dünger, Gebinde, Ersatzmaterial, usw.)</t>
  </si>
  <si>
    <t>Gliederung nach Kostenarten</t>
  </si>
  <si>
    <t>Sachkosten</t>
  </si>
  <si>
    <t>Arbeitskosten</t>
  </si>
  <si>
    <t>Kapitalkosten</t>
  </si>
  <si>
    <t>Anteil an PK</t>
  </si>
  <si>
    <r>
      <t xml:space="preserve">Ernte </t>
    </r>
    <r>
      <rPr>
        <sz val="10"/>
        <rFont val="Arial"/>
        <family val="2"/>
      </rPr>
      <t>inkl. Sortieren</t>
    </r>
  </si>
  <si>
    <t>Gliederung nach buchhalterischer Konvention</t>
  </si>
  <si>
    <t>übrige Kosten (aus Posten mit &lt; 10%)</t>
  </si>
  <si>
    <t>übrige Arbeiten (aus Posten &lt; 10%)</t>
  </si>
  <si>
    <t xml:space="preserve">für Investition Obstanlage </t>
  </si>
  <si>
    <t xml:space="preserve">Abschreibung Obstanlage </t>
  </si>
  <si>
    <t>Gliederung nach Sachkosten</t>
  </si>
  <si>
    <t>Gliederung Arbeitskosten (alle Arbeiten)</t>
  </si>
  <si>
    <t>Gliederung Arbeitskosten (&gt; 10%)</t>
  </si>
  <si>
    <t>Summe Aufbauphase</t>
  </si>
  <si>
    <t>Summe ganze Standdauer</t>
  </si>
  <si>
    <t>Durchschnitt Ertragsphase</t>
  </si>
  <si>
    <t>Durchschnitt ganze Standdauer</t>
  </si>
  <si>
    <r>
      <t xml:space="preserve">Ernteleistung </t>
    </r>
    <r>
      <rPr>
        <sz val="10"/>
        <color indexed="8"/>
        <rFont val="Arial"/>
        <family val="2"/>
      </rPr>
      <t xml:space="preserve">inkl. sortieren   </t>
    </r>
    <r>
      <rPr>
        <b/>
        <sz val="10"/>
        <color indexed="8"/>
        <rFont val="Arial"/>
        <family val="2"/>
      </rPr>
      <t xml:space="preserve">      </t>
    </r>
  </si>
  <si>
    <r>
      <t xml:space="preserve">Lohnkosten </t>
    </r>
    <r>
      <rPr>
        <b/>
        <i/>
        <sz val="10"/>
        <color indexed="8"/>
        <rFont val="Arial"/>
        <family val="2"/>
      </rPr>
      <t>intern</t>
    </r>
    <r>
      <rPr>
        <sz val="10"/>
        <color indexed="8"/>
        <rFont val="Arial"/>
        <family val="2"/>
      </rPr>
      <t xml:space="preserve"> (Familie)</t>
    </r>
  </si>
  <si>
    <r>
      <t xml:space="preserve">Lohnkosten </t>
    </r>
    <r>
      <rPr>
        <b/>
        <i/>
        <sz val="10"/>
        <color indexed="8"/>
        <rFont val="Arial"/>
        <family val="2"/>
      </rPr>
      <t>extern</t>
    </r>
  </si>
  <si>
    <t>Behangsregulierung von Hand</t>
  </si>
  <si>
    <t xml:space="preserve">Arbeitseinkommen   intern  </t>
  </si>
  <si>
    <t xml:space="preserve">Produktionskosten Tafelzwetschgen  </t>
  </si>
  <si>
    <t>Indikatoren der Wirtschaftlichkeit</t>
  </si>
  <si>
    <t>Kalkulat. Gewinn</t>
  </si>
  <si>
    <t>Direktzahlungen</t>
  </si>
  <si>
    <r>
      <t>Erstellungskosten</t>
    </r>
    <r>
      <rPr>
        <sz val="12"/>
        <rFont val="Arial"/>
        <family val="2"/>
      </rPr>
      <t xml:space="preserve"> </t>
    </r>
  </si>
  <si>
    <r>
      <t xml:space="preserve">Gesamtinvestition </t>
    </r>
    <r>
      <rPr>
        <sz val="12"/>
        <rFont val="Arial"/>
        <family val="2"/>
      </rPr>
      <t>(GesamtCashflow am Ende der Aufbauphase = Basis für die Abschreibung)</t>
    </r>
  </si>
  <si>
    <t>Abschreibung Obstanlage</t>
  </si>
  <si>
    <t>Zinsanspruch pro Jahr</t>
  </si>
  <si>
    <t>Erlös Tafelzwetschgen 33mm+</t>
  </si>
  <si>
    <t>Erlös Brennzwetschgen</t>
  </si>
  <si>
    <t>Produktionskosten pro ha</t>
  </si>
  <si>
    <t>Arbeitseinkommen (Leistung - Prod.ko ohne Arbeitskosten)</t>
  </si>
  <si>
    <t>Arbeitseinkommen durchschnittlich pro Akh</t>
  </si>
  <si>
    <t>Vergleichbarer Deckungsbeitrag</t>
  </si>
  <si>
    <t>ohne Direktzahlungen</t>
  </si>
  <si>
    <t>Leistung pro Akh</t>
  </si>
  <si>
    <t xml:space="preserve">Eigenkapitalsrente (kalk. Gewinn + Zinsanspruch) pro investiertem Kapital </t>
  </si>
  <si>
    <t>leistungsgewichtet</t>
  </si>
  <si>
    <t>Leistungsanteil</t>
  </si>
  <si>
    <t>Total Direktkosten</t>
  </si>
  <si>
    <t>Direktkosten</t>
  </si>
  <si>
    <t>Strukturkosten</t>
  </si>
  <si>
    <t>Lohnkosten extern</t>
  </si>
  <si>
    <t xml:space="preserve"> Akh gesamt nur Ernte</t>
  </si>
  <si>
    <t xml:space="preserve"> Anteil Akh gesamt für Ernte</t>
  </si>
  <si>
    <t>Akh externe Arbeitskräfte</t>
  </si>
  <si>
    <t xml:space="preserve">Arbeitseinkommen pro Akh          </t>
  </si>
  <si>
    <t>Anteil externe Akh für Ernte und Handausdünnen</t>
  </si>
  <si>
    <t>Produktionskosten-  / Leistungsvergleich</t>
  </si>
  <si>
    <t>als Leistung / Akh gesamt</t>
  </si>
  <si>
    <t>Was kostet die Ernte?</t>
  </si>
  <si>
    <t>Was kostet der Pflanzenschutz?</t>
  </si>
  <si>
    <r>
      <t xml:space="preserve">Produktionskosten     </t>
    </r>
    <r>
      <rPr>
        <sz val="12"/>
        <rFont val="Arial"/>
        <family val="2"/>
      </rPr>
      <t>pro ha</t>
    </r>
  </si>
  <si>
    <t>Leistung</t>
  </si>
  <si>
    <t>Produktionskosten</t>
  </si>
  <si>
    <t>Gliederung Kapitalkosten</t>
  </si>
  <si>
    <t>Material</t>
  </si>
  <si>
    <t>Zusammenfassung</t>
  </si>
  <si>
    <t>übrige Produktionskosten</t>
  </si>
  <si>
    <t>Pflanzenschutz (Material, Maschinen, Arbeit&gt;)</t>
  </si>
  <si>
    <t>Was kostet der direkte Pflanzenschutz?</t>
  </si>
  <si>
    <t>Total Pflanzenschutz</t>
  </si>
  <si>
    <t>Total Ernte</t>
  </si>
  <si>
    <t>Produktionskosten     pro ha</t>
  </si>
  <si>
    <t>Anteil Sachkosten</t>
  </si>
  <si>
    <t>Anteil Pflanzenschutzkosten</t>
  </si>
  <si>
    <t xml:space="preserve">                                       Erntestunden</t>
  </si>
  <si>
    <t>Anteil an Ernte</t>
  </si>
  <si>
    <t>Produktionskosten ohne Abschreibung 2. Stj.</t>
  </si>
  <si>
    <t>Produktionskosten ohne Abschreibung 3. Stj.</t>
  </si>
  <si>
    <t>Produktionskosten ohne Abschreibung 4. Stj.</t>
  </si>
  <si>
    <t>Produktionskosten ohne Abschreibung 5. Stj.</t>
  </si>
  <si>
    <t>Produktionskosten ohne Abschreibung 6. Stj.</t>
  </si>
  <si>
    <t>Produktionskosten ohne Abschreibung 7. Stj.</t>
  </si>
  <si>
    <t>Produktionskosten ohne Abschreibung 8. Stj.</t>
  </si>
  <si>
    <t>Produktionskosten ohne Abschreibung 9. Stj.</t>
  </si>
  <si>
    <t>Produktionskosten ohne Abschreibung 10. Stj.</t>
  </si>
  <si>
    <t>Produktionskosten ohne Abschreibung 11. Stj.</t>
  </si>
  <si>
    <t>Produktionskosten ohne Abschreibung 12. Stj.</t>
  </si>
  <si>
    <t>Produktionskosten ohne Abschreibung 13. Stj.</t>
  </si>
  <si>
    <t>Produktionskosten ohne Abschreibung 14. Stj.</t>
  </si>
  <si>
    <t>Produktionskosten ohne Abschreibung 15. Stj.</t>
  </si>
  <si>
    <t>Produktionskosten ohne Abschreibung 16. Stj.</t>
  </si>
  <si>
    <t>Produktionskosten ohne Abschreibung 1. Stj.</t>
  </si>
  <si>
    <t>Cashflow nach 1. Stj.</t>
  </si>
  <si>
    <t>Cashflow nach 2. Stj.</t>
  </si>
  <si>
    <t>Cashflow nach 3. Stj.</t>
  </si>
  <si>
    <t>Cashflow nach 4. Stj.</t>
  </si>
  <si>
    <t>Cashflow nach 5. Stj.</t>
  </si>
  <si>
    <t>Cashflow nach 6. Stj.</t>
  </si>
  <si>
    <t>Cashflow nach 7. Stj.</t>
  </si>
  <si>
    <t>Cashflow nach 8. Stj.</t>
  </si>
  <si>
    <t>Cashflow nach 9. Stj.</t>
  </si>
  <si>
    <t>Cashflow nach 10. Stj.</t>
  </si>
  <si>
    <t>Cashflow nach 11. Stj.</t>
  </si>
  <si>
    <t>Cashflow nach 12. Stj.</t>
  </si>
  <si>
    <t>Cashflow nach 13. Stj.</t>
  </si>
  <si>
    <t>Cashflow nach 14. Stj.</t>
  </si>
  <si>
    <t xml:space="preserve">Cashflow </t>
  </si>
  <si>
    <t>Anzahl Durchfahrten</t>
  </si>
  <si>
    <t>Geldflussrechnung</t>
  </si>
  <si>
    <t>Anteil Arbeitskosten</t>
  </si>
  <si>
    <t>Basis: Gesamtcashflow Ende   4. Standjahr</t>
  </si>
  <si>
    <t>Cashflowkurve  (Kapitalfluss)  1ha</t>
  </si>
  <si>
    <t>Kapitalfluss (Gesamtcashflow)</t>
  </si>
  <si>
    <t>Cashflow</t>
  </si>
  <si>
    <t>Basis: Gesamtcashflow Ende      4. Standjahr</t>
  </si>
  <si>
    <r>
      <t xml:space="preserve">Standard Vorgaben       </t>
    </r>
    <r>
      <rPr>
        <b/>
        <sz val="13"/>
        <color indexed="9"/>
        <rFont val="Arial"/>
        <family val="2"/>
      </rPr>
      <t>Seite 1</t>
    </r>
    <r>
      <rPr>
        <b/>
        <sz val="12"/>
        <color indexed="9"/>
        <rFont val="Arial"/>
        <family val="2"/>
      </rPr>
      <t xml:space="preserve"> </t>
    </r>
    <r>
      <rPr>
        <b/>
        <sz val="22"/>
        <color indexed="9"/>
        <rFont val="Arial"/>
        <family val="2"/>
      </rPr>
      <t xml:space="preserve">           </t>
    </r>
  </si>
  <si>
    <t>Cacaks Schöne auf GF 655-2</t>
  </si>
  <si>
    <r>
      <t xml:space="preserve">Direktzahlungen </t>
    </r>
    <r>
      <rPr>
        <sz val="11"/>
        <rFont val="Arial"/>
        <family val="2"/>
      </rPr>
      <t>ÖLN</t>
    </r>
  </si>
  <si>
    <r>
      <t xml:space="preserve">Vorgaben          </t>
    </r>
    <r>
      <rPr>
        <b/>
        <sz val="11"/>
        <color indexed="9"/>
        <rFont val="Arial"/>
        <family val="2"/>
      </rPr>
      <t xml:space="preserve">Seite 2 </t>
    </r>
    <r>
      <rPr>
        <b/>
        <sz val="20"/>
        <color indexed="9"/>
        <rFont val="Arial"/>
        <family val="2"/>
      </rPr>
      <t xml:space="preserve">       </t>
    </r>
  </si>
  <si>
    <r>
      <t>Arbeiten</t>
    </r>
    <r>
      <rPr>
        <sz val="20"/>
        <rFont val="Arial"/>
        <family val="2"/>
      </rPr>
      <t xml:space="preserve"> ohne Maschinen</t>
    </r>
  </si>
  <si>
    <r>
      <t xml:space="preserve">Standard Erstellungskosten   </t>
    </r>
    <r>
      <rPr>
        <sz val="16"/>
        <color indexed="9"/>
        <rFont val="Arial"/>
        <family val="2"/>
      </rPr>
      <t/>
    </r>
  </si>
  <si>
    <t xml:space="preserve">Seite 1 </t>
  </si>
  <si>
    <r>
      <t xml:space="preserve">Arbeitseinkommen  </t>
    </r>
    <r>
      <rPr>
        <i/>
        <sz val="12"/>
        <rFont val="Arial"/>
        <family val="2"/>
      </rPr>
      <t xml:space="preserve"> durchschnitt.</t>
    </r>
  </si>
  <si>
    <r>
      <t xml:space="preserve">Leistung </t>
    </r>
    <r>
      <rPr>
        <sz val="12"/>
        <rFont val="Arial"/>
        <family val="2"/>
      </rPr>
      <t>(Gesamterlös)</t>
    </r>
  </si>
  <si>
    <r>
      <t>Gewinn oder Verlust pro ha und Jahr</t>
    </r>
    <r>
      <rPr>
        <sz val="12"/>
        <rFont val="Arial"/>
        <family val="2"/>
      </rPr>
      <t xml:space="preserve"> (kalkulatorisch)</t>
    </r>
  </si>
  <si>
    <r>
      <t xml:space="preserve">   Deckungsgrad </t>
    </r>
    <r>
      <rPr>
        <i/>
        <sz val="12"/>
        <rFont val="Arial"/>
        <family val="2"/>
      </rPr>
      <t>(Leistung / Produktionskosten)</t>
    </r>
  </si>
  <si>
    <r>
      <t xml:space="preserve">  Cashflow </t>
    </r>
    <r>
      <rPr>
        <i/>
        <sz val="12"/>
        <rFont val="Arial"/>
        <family val="2"/>
      </rPr>
      <t>(kalk. Gewinn plus Abschreibung Obstanlage)</t>
    </r>
  </si>
  <si>
    <r>
      <t xml:space="preserve">Was kostet die Ernte? </t>
    </r>
    <r>
      <rPr>
        <sz val="14"/>
        <rFont val="Arial"/>
        <family val="2"/>
      </rPr>
      <t>(ohne Gebindekosten)</t>
    </r>
  </si>
  <si>
    <t xml:space="preserve">Variante Vorgaben                 </t>
  </si>
  <si>
    <t xml:space="preserve">Variante Vorgaben                </t>
  </si>
  <si>
    <r>
      <t xml:space="preserve">Variante Erstellungskosten   </t>
    </r>
    <r>
      <rPr>
        <sz val="16"/>
        <color indexed="9"/>
        <rFont val="Arial"/>
        <family val="2"/>
      </rPr>
      <t/>
    </r>
  </si>
  <si>
    <t>Variante 1ha</t>
  </si>
  <si>
    <r>
      <t>Leistung</t>
    </r>
    <r>
      <rPr>
        <sz val="14"/>
        <rFont val="Arial"/>
        <family val="2"/>
      </rPr>
      <t xml:space="preserve"> (Gesamterlös)</t>
    </r>
  </si>
  <si>
    <r>
      <t>Produktionskosten</t>
    </r>
    <r>
      <rPr>
        <b/>
        <sz val="12"/>
        <rFont val="Arial"/>
        <family val="2"/>
      </rPr>
      <t xml:space="preserve">      </t>
    </r>
  </si>
  <si>
    <r>
      <t>Betriebsminimum</t>
    </r>
    <r>
      <rPr>
        <b/>
        <sz val="10"/>
        <rFont val="Arial"/>
        <family val="2"/>
      </rPr>
      <t xml:space="preserve"> </t>
    </r>
    <r>
      <rPr>
        <sz val="10"/>
        <rFont val="Arial"/>
        <family val="2"/>
      </rPr>
      <t>= laufende Kosten (Dünger + PBM + Hagelversicherung + Abzüge + var.Maschinenkosten + Lohnkosten)</t>
    </r>
  </si>
  <si>
    <r>
      <t xml:space="preserve">  </t>
    </r>
    <r>
      <rPr>
        <b/>
        <i/>
        <sz val="12"/>
        <rFont val="Arial"/>
        <family val="2"/>
      </rPr>
      <t xml:space="preserve"> Deckungsgrad</t>
    </r>
    <r>
      <rPr>
        <b/>
        <i/>
        <sz val="10"/>
        <rFont val="Arial"/>
        <family val="2"/>
      </rPr>
      <t xml:space="preserve"> = </t>
    </r>
    <r>
      <rPr>
        <i/>
        <sz val="10"/>
        <rFont val="Arial"/>
        <family val="2"/>
      </rPr>
      <t>Leistung / Produktionskosten</t>
    </r>
  </si>
  <si>
    <r>
      <t>Rentabilität</t>
    </r>
    <r>
      <rPr>
        <sz val="10"/>
        <rFont val="Arial"/>
        <family val="2"/>
      </rPr>
      <t xml:space="preserve"> = Eigenkapitalsrente (kalk. Gewinn + Zinsanspruch) pro investiertem Kapital </t>
    </r>
  </si>
  <si>
    <r>
      <t>Cashflow</t>
    </r>
    <r>
      <rPr>
        <b/>
        <sz val="10"/>
        <rFont val="Arial"/>
        <family val="2"/>
      </rPr>
      <t xml:space="preserve"> </t>
    </r>
    <r>
      <rPr>
        <sz val="10"/>
        <rFont val="Arial"/>
        <family val="2"/>
      </rPr>
      <t>(kalk. Gewinn plus Abschreibung Obstanlage)</t>
    </r>
  </si>
  <si>
    <r>
      <t>Vergleichbarer Deckungsbeitrag</t>
    </r>
    <r>
      <rPr>
        <sz val="10"/>
        <rFont val="Arial"/>
        <family val="2"/>
      </rPr>
      <t xml:space="preserve">       (früher DfE)</t>
    </r>
  </si>
  <si>
    <r>
      <t>Arbeitseinkommen</t>
    </r>
    <r>
      <rPr>
        <sz val="12"/>
        <rFont val="Arial"/>
        <family val="2"/>
      </rPr>
      <t xml:space="preserve"> </t>
    </r>
    <r>
      <rPr>
        <b/>
        <sz val="12"/>
        <rFont val="Arial"/>
        <family val="2"/>
      </rPr>
      <t xml:space="preserve">intern </t>
    </r>
    <r>
      <rPr>
        <sz val="12"/>
        <rFont val="Arial"/>
        <family val="2"/>
      </rPr>
      <t>= Arbeitseinkommen - Lohnkosten extern</t>
    </r>
  </si>
  <si>
    <r>
      <t>Erwirtschaftetes Kapital</t>
    </r>
    <r>
      <rPr>
        <sz val="10"/>
        <rFont val="Arial"/>
        <family val="2"/>
      </rPr>
      <t xml:space="preserve"> am Ende der Ertragsphase</t>
    </r>
  </si>
  <si>
    <t>1 ha</t>
  </si>
  <si>
    <t>/</t>
  </si>
  <si>
    <t>Aufbauphase: 4 Jahre</t>
  </si>
  <si>
    <t xml:space="preserve">Ertragsphase: 12 Jahre </t>
  </si>
  <si>
    <r>
      <t xml:space="preserve">Arbeitseinkommen pro Akh  </t>
    </r>
    <r>
      <rPr>
        <b/>
        <i/>
        <sz val="13"/>
        <rFont val="Arial"/>
        <family val="2"/>
      </rPr>
      <t>intern</t>
    </r>
  </si>
  <si>
    <r>
      <t>Arbeitseinkommen</t>
    </r>
    <r>
      <rPr>
        <sz val="13"/>
        <rFont val="Arial"/>
        <family val="2"/>
      </rPr>
      <t xml:space="preserve"> </t>
    </r>
    <r>
      <rPr>
        <sz val="10"/>
        <rFont val="Arial"/>
        <family val="2"/>
      </rPr>
      <t>= Leistung - Produktionskosten ohne Arbeit</t>
    </r>
  </si>
  <si>
    <r>
      <t>Arbeitsproduktivität</t>
    </r>
    <r>
      <rPr>
        <sz val="13"/>
        <rFont val="Arial"/>
        <family val="2"/>
      </rPr>
      <t xml:space="preserve">  </t>
    </r>
    <r>
      <rPr>
        <sz val="10"/>
        <rFont val="Arial"/>
        <family val="2"/>
      </rPr>
      <t>als kg Tafelfrüchte / Akh gesamt</t>
    </r>
  </si>
  <si>
    <r>
      <t xml:space="preserve">Kennzahlenübersicht  </t>
    </r>
    <r>
      <rPr>
        <sz val="17"/>
        <rFont val="Arial"/>
        <family val="2"/>
      </rPr>
      <t>pro Ertragsjahr</t>
    </r>
  </si>
  <si>
    <r>
      <t xml:space="preserve">Kennzahlenübersicht   </t>
    </r>
    <r>
      <rPr>
        <sz val="17"/>
        <rFont val="Arial"/>
        <family val="2"/>
      </rPr>
      <t>pro Ertragsjahr</t>
    </r>
  </si>
  <si>
    <r>
      <t>Gliederung nach Kostenarten</t>
    </r>
    <r>
      <rPr>
        <b/>
        <i/>
        <sz val="17"/>
        <rFont val="Arial"/>
        <family val="2"/>
      </rPr>
      <t xml:space="preserve"> detailliert</t>
    </r>
  </si>
  <si>
    <r>
      <t>Vollkosten</t>
    </r>
    <r>
      <rPr>
        <b/>
        <sz val="12"/>
        <color indexed="9"/>
        <rFont val="Arial"/>
        <family val="2"/>
      </rPr>
      <t xml:space="preserve"> für 1 durchschnittliches Ertragsjahr</t>
    </r>
  </si>
  <si>
    <t>Obstbautraktor 4-Rad</t>
  </si>
  <si>
    <r>
      <t>Akazienpfähle 200cm; D</t>
    </r>
    <r>
      <rPr>
        <sz val="9"/>
        <rFont val="Arial"/>
        <family val="2"/>
      </rPr>
      <t>istanz 4m</t>
    </r>
  </si>
  <si>
    <r>
      <t>Akazienpfähle 225cm; D</t>
    </r>
    <r>
      <rPr>
        <sz val="9"/>
        <rFont val="Arial"/>
        <family val="2"/>
      </rPr>
      <t>istanz 4m</t>
    </r>
  </si>
  <si>
    <t>Spanndraht 3mm</t>
  </si>
  <si>
    <t>Hagelnetz</t>
  </si>
  <si>
    <t>3-fädige Standardbreite m2</t>
  </si>
  <si>
    <t>Firstplaketten</t>
  </si>
  <si>
    <t>Traufenplaketten FRUSTAR 1</t>
  </si>
  <si>
    <t>Firstdraht</t>
  </si>
  <si>
    <t>Netzschnur</t>
  </si>
  <si>
    <t>Drahtspanner</t>
  </si>
  <si>
    <t>Kleinmaterial</t>
  </si>
  <si>
    <t>Hilfsgerüst</t>
  </si>
  <si>
    <t>Anker</t>
  </si>
  <si>
    <t>Pfahlhüte</t>
  </si>
  <si>
    <t>totale Zugkraftkosten</t>
  </si>
  <si>
    <t>Kleinbagger</t>
  </si>
  <si>
    <t>Arbeit Hagelnetzerstellung</t>
  </si>
  <si>
    <t>Ausstecken</t>
  </si>
  <si>
    <t>Netzmontage</t>
  </si>
  <si>
    <t>Verlustzeiten (10%)</t>
  </si>
  <si>
    <t>Einsparung an Gerüstkosten durch Hagelnetzerstellung</t>
  </si>
  <si>
    <t>Endpfähle</t>
  </si>
  <si>
    <t>Zwischenpfähle</t>
  </si>
  <si>
    <t>Gerüst und Material</t>
  </si>
  <si>
    <t>Einsparung</t>
  </si>
  <si>
    <t>Totale Kosten nur Hagelnetz</t>
  </si>
  <si>
    <t>Cashflow nach der Erstellung (inkl. Zaun und Hagelnetz)</t>
  </si>
  <si>
    <t>Produktionskosten      Tafelzwet. 33mm</t>
  </si>
  <si>
    <t>Dünger + PBM + Abzüge+var.Maschinenkosten + Lohnkosten</t>
  </si>
  <si>
    <t>Dünger + PBM  +Abzüge+var.Maschinenkosten + Lohnkosten</t>
  </si>
  <si>
    <t>Hagelnetze öffnen</t>
  </si>
  <si>
    <t>Hagelnetze schliessen</t>
  </si>
  <si>
    <t>Betriebsleiter</t>
  </si>
  <si>
    <t>FK (Fr/ha)</t>
  </si>
  <si>
    <t>VK (Fr/ha)</t>
  </si>
  <si>
    <t>Total (Fr/ha)</t>
  </si>
  <si>
    <t>Mietansatz</t>
  </si>
  <si>
    <t>ÖLN</t>
  </si>
  <si>
    <t>Durchschnitt (berechnet) über alle</t>
  </si>
  <si>
    <t>Durchschnitt (berechnet) intern u. Leiter</t>
  </si>
  <si>
    <t>Kommentar: Auslastung gemäss ART evt. im Durchschnitt zu hoch, d.h. Ansätze eher zu klein.</t>
  </si>
  <si>
    <t>Quelle: Anbauempfehlung für die Obstregion NW-CH 2007</t>
  </si>
  <si>
    <t xml:space="preserve">Stirnseil 9.5 mm </t>
  </si>
  <si>
    <t>Einsparung an Arbeits-u. Maschinenkosten</t>
  </si>
  <si>
    <t>Zugkraftkosten</t>
  </si>
  <si>
    <t>Pfählen</t>
  </si>
  <si>
    <t xml:space="preserve">Lohnkosten Betriebsleiter </t>
  </si>
  <si>
    <t>Quelle: Anbauempfehlung Obstregion NW-CH 2007</t>
  </si>
  <si>
    <r>
      <t>Baumerziehung</t>
    </r>
    <r>
      <rPr>
        <sz val="10"/>
        <rFont val="Arial"/>
        <family val="2"/>
      </rPr>
      <t xml:space="preserve"> (Sommer+Winter)</t>
    </r>
  </si>
  <si>
    <r>
      <t>Behangsregulierung</t>
    </r>
    <r>
      <rPr>
        <sz val="10"/>
        <rFont val="Arial"/>
        <family val="2"/>
      </rPr>
      <t xml:space="preserve"> (von Hand)</t>
    </r>
  </si>
  <si>
    <r>
      <t xml:space="preserve">Baumerziehung </t>
    </r>
    <r>
      <rPr>
        <sz val="10"/>
        <rFont val="Arial"/>
        <family val="2"/>
      </rPr>
      <t>(Sommer+Winter)</t>
    </r>
  </si>
  <si>
    <r>
      <t>Rodekosten</t>
    </r>
    <r>
      <rPr>
        <b/>
        <sz val="10"/>
        <rFont val="Arial"/>
        <family val="2"/>
      </rPr>
      <t xml:space="preserve"> </t>
    </r>
    <r>
      <rPr>
        <sz val="10"/>
        <rFont val="Arial"/>
        <family val="2"/>
      </rPr>
      <t>(Arbeit + Maschinen)</t>
    </r>
  </si>
  <si>
    <t xml:space="preserve">                                            Erntestunden</t>
  </si>
  <si>
    <r>
      <t xml:space="preserve">Kostengliederung </t>
    </r>
    <r>
      <rPr>
        <sz val="8"/>
        <rFont val="Arial"/>
        <family val="2"/>
      </rPr>
      <t>(</t>
    </r>
    <r>
      <rPr>
        <sz val="9"/>
        <rFont val="Arial"/>
        <family val="2"/>
      </rPr>
      <t>alle Begriffe richten sich nach der landw. Begriffsverordnung und / oder nach den betriebswirtschaftlichen 
Begriffen im Agrarbereich, LMZ, 2005)</t>
    </r>
  </si>
  <si>
    <t>umsatzgewichtet</t>
  </si>
  <si>
    <t>Produktionskosten pro kg</t>
  </si>
  <si>
    <t>Anzahl Jahre mit 50% Ertrag (Z.B Frost oder Hagel)</t>
  </si>
  <si>
    <t xml:space="preserve">Triplesuperphosphat </t>
  </si>
  <si>
    <t>Pflanzenschutzmittel</t>
  </si>
  <si>
    <t>Mulchgerät  ohne Schwenkarm</t>
  </si>
  <si>
    <t>Quelle: ACW Flugschrift Nr. 61</t>
  </si>
  <si>
    <t>Bewässerung</t>
  </si>
  <si>
    <t>Regendach</t>
  </si>
  <si>
    <r>
      <t>Produktionskosten d</t>
    </r>
    <r>
      <rPr>
        <i/>
        <sz val="12"/>
        <rFont val="Arial"/>
        <family val="2"/>
      </rPr>
      <t>urchschnitt.</t>
    </r>
  </si>
  <si>
    <t>Hubstapler, Heckanbau, Kippgabel, Seitenschieber, 3 m Hubhöhe</t>
  </si>
  <si>
    <t>3. - 4. Stj</t>
  </si>
  <si>
    <t>5.-16. Stj</t>
  </si>
  <si>
    <t>3. Stj. -4.</t>
  </si>
  <si>
    <t>5. Stj. - 16.</t>
  </si>
  <si>
    <t>Verwaltung, Weiterbildung und SwissGAP</t>
  </si>
  <si>
    <t>Anbaugebläsespritze 500 l</t>
  </si>
  <si>
    <t>Pflanzlochbohrer dreipunktanbau</t>
  </si>
  <si>
    <t>5.-16. Stj.</t>
  </si>
  <si>
    <t xml:space="preserve">3. -4. Stj. </t>
  </si>
  <si>
    <t>Pflanzen und Tiere 2009, Agridea</t>
  </si>
  <si>
    <t>Hagelnetz  (ja=1, nein =0)</t>
  </si>
  <si>
    <t>Bsp. TG</t>
  </si>
  <si>
    <t>Beitrag Jagdverwaltung</t>
  </si>
  <si>
    <t>Bsp. ZH</t>
  </si>
  <si>
    <t>Wassermenge</t>
  </si>
  <si>
    <t>Bewässerung total</t>
  </si>
  <si>
    <t>Jahreskosten Bewässerung</t>
  </si>
  <si>
    <t>Hagelnetz und Bewässerung</t>
  </si>
  <si>
    <t>Hagelnetz und Bewässerung (ja=2)</t>
  </si>
  <si>
    <t>Hagelversicherung (ja =1, nein =0)</t>
  </si>
  <si>
    <r>
      <t>Wasserpreis (Fr/m</t>
    </r>
    <r>
      <rPr>
        <b/>
        <vertAlign val="superscript"/>
        <sz val="10"/>
        <rFont val="Arial"/>
        <family val="2"/>
      </rPr>
      <t>3</t>
    </r>
    <r>
      <rPr>
        <b/>
        <sz val="10"/>
        <rFont val="Arial"/>
        <family val="2"/>
      </rPr>
      <t>)</t>
    </r>
  </si>
  <si>
    <t>Wassermenge (m3)</t>
  </si>
  <si>
    <t>Bewässerung mit Tropfenbewässerung (ja=1, nein =0)</t>
  </si>
  <si>
    <t>Kontrolle Bewässerung</t>
  </si>
  <si>
    <t>Spühlung Bewässerung</t>
  </si>
  <si>
    <t>Standard 1 ha</t>
  </si>
  <si>
    <t>Stützpfahl je B.</t>
  </si>
  <si>
    <t xml:space="preserve">Spanndraht 3 mm </t>
  </si>
  <si>
    <t xml:space="preserve">Agraffen </t>
  </si>
  <si>
    <t>Klemmfix</t>
  </si>
  <si>
    <t>Plaketten Standart inkl. S-Hacken</t>
  </si>
  <si>
    <t>Ankerseil 9.5 mm</t>
  </si>
  <si>
    <t>Querseil 9mm</t>
  </si>
  <si>
    <t>Reihenpfähle 4 m 8/10 10m Abstand</t>
  </si>
  <si>
    <t>Eckpfähle 4.50 m 13/15</t>
  </si>
  <si>
    <t>Maschinen (separat für Hagel
netzerstellung)</t>
  </si>
  <si>
    <t>Pneuwagen 2achsig, 5 t</t>
  </si>
  <si>
    <t>Stapler</t>
  </si>
  <si>
    <t>Arbeit Bäume und Gerüst</t>
  </si>
  <si>
    <t>Baumgerüst erstellen</t>
  </si>
  <si>
    <t>Pfahlen</t>
  </si>
  <si>
    <t>Jahr</t>
  </si>
  <si>
    <t>% der Bruttomarge</t>
  </si>
  <si>
    <t>Tarif</t>
  </si>
  <si>
    <t>Schätzung</t>
  </si>
  <si>
    <t>Mittelwert 4.-15. Jahr</t>
  </si>
  <si>
    <t>Total 4.-15. Jahr</t>
  </si>
  <si>
    <r>
      <t xml:space="preserve"> Erstellungs- und Jahreskosten </t>
    </r>
    <r>
      <rPr>
        <sz val="14"/>
        <color indexed="9"/>
        <rFont val="Arial Black"/>
        <family val="2"/>
      </rPr>
      <t/>
    </r>
  </si>
  <si>
    <t>Tropfanlage</t>
  </si>
  <si>
    <t>Tropfschlauch mit integr-</t>
  </si>
  <si>
    <t>(Netafim)</t>
  </si>
  <si>
    <t>ierten Tropfern, druckko-</t>
  </si>
  <si>
    <t xml:space="preserve">mpensiert, 20 mm, 2.3 l/h, </t>
  </si>
  <si>
    <t xml:space="preserve">50 cm Tropfenabstand Ram </t>
  </si>
  <si>
    <t>Tropfreihen An-/Abschlüsse</t>
  </si>
  <si>
    <t>Kugelventile PVC 20x20</t>
  </si>
  <si>
    <t>Tropfschlauchaufhänger 20mm</t>
  </si>
  <si>
    <t>Total Tropfanlage</t>
  </si>
  <si>
    <t>Verteilanlage</t>
  </si>
  <si>
    <t>PE-Wasserdruckrohr, 50</t>
  </si>
  <si>
    <t>mm, PN 8 (Hauptleitung)</t>
  </si>
  <si>
    <t>Kugelhahn 2"</t>
  </si>
  <si>
    <t>Diverses Kleinmaterial</t>
  </si>
  <si>
    <t>Total Verteilanlage</t>
  </si>
  <si>
    <t>Kopfstation</t>
  </si>
  <si>
    <t>Filter Arkal 2" 120 masch</t>
  </si>
  <si>
    <t>Kopfstation 2"</t>
  </si>
  <si>
    <t>Druckreduzierventil</t>
  </si>
  <si>
    <t xml:space="preserve">Rückschlagventil </t>
  </si>
  <si>
    <t>Magnetventile 1 1/2"</t>
  </si>
  <si>
    <t>Bewässerungscomputer</t>
  </si>
  <si>
    <t>Total Kopfstation</t>
  </si>
  <si>
    <t>Optionen</t>
  </si>
  <si>
    <t>Pumpe, wenn ab Tank</t>
  </si>
  <si>
    <t xml:space="preserve">Total Materialkosten </t>
  </si>
  <si>
    <t>Arbeits- und Maschinenkosten</t>
  </si>
  <si>
    <t>AKh/ha</t>
  </si>
  <si>
    <t>ZKh/ha</t>
  </si>
  <si>
    <t>Montage</t>
  </si>
  <si>
    <t>Hauptleitung graben und verlegen</t>
  </si>
  <si>
    <t>Grabenfräse</t>
  </si>
  <si>
    <t xml:space="preserve">Tropfschlauch auslegen </t>
  </si>
  <si>
    <t>Tropfschlauch montieren</t>
  </si>
  <si>
    <t>Kopfstation einrichten</t>
  </si>
  <si>
    <t>Abmessen</t>
  </si>
  <si>
    <t>Verlustzeiten</t>
  </si>
  <si>
    <t>der aufgel. AKh und ZKh</t>
  </si>
  <si>
    <t>Total Arbeits- u. Maschinenkosten</t>
  </si>
  <si>
    <t>Kostenzusammenstellung</t>
  </si>
  <si>
    <t>Materialkosten</t>
  </si>
  <si>
    <t xml:space="preserve">Maschinen- u. </t>
  </si>
  <si>
    <t>Zugkraftkst.</t>
  </si>
  <si>
    <t>Traktor 2-Rad</t>
  </si>
  <si>
    <t>à</t>
  </si>
  <si>
    <t>Handarbeitskosten</t>
  </si>
  <si>
    <t>Betriebsleitung</t>
  </si>
  <si>
    <t>Total Erstellungskosten / ha        mit Fertigation</t>
  </si>
  <si>
    <t xml:space="preserve">Betriebskosten </t>
  </si>
  <si>
    <t>Strom</t>
  </si>
  <si>
    <t xml:space="preserve"> jährlich</t>
  </si>
  <si>
    <t>Spülung</t>
  </si>
  <si>
    <t>Fertigationsdünger</t>
  </si>
  <si>
    <t>Kontrolle</t>
  </si>
  <si>
    <t>Wasser</t>
  </si>
  <si>
    <t xml:space="preserve">Jahreskosten  einer Tröpfchenbewässerung   mit Fertigation </t>
  </si>
  <si>
    <t xml:space="preserve">Bewässerungsanlage: Mikrosprinkler Kernobst  Quelle: Anbauempfehlung für die Obstregion NO-CH 2006       </t>
  </si>
  <si>
    <t>Erstellung und Jahreskosten</t>
  </si>
  <si>
    <r>
      <t xml:space="preserve">Grundstück 124 x 81 m     =   Netto 75 x </t>
    </r>
    <r>
      <rPr>
        <b/>
        <sz val="8"/>
        <rFont val="Arial"/>
        <family val="2"/>
      </rPr>
      <t xml:space="preserve"> </t>
    </r>
  </si>
  <si>
    <t>Tropfschlauch Pn4 25 mm</t>
  </si>
  <si>
    <t>Microsprinkler Spinet 70L/h</t>
  </si>
  <si>
    <t>1 Sprinkler je 2 Bäume</t>
  </si>
  <si>
    <t>Kugelventile PVC 25x25</t>
  </si>
  <si>
    <t xml:space="preserve">Tropfschlauchaufhänger </t>
  </si>
  <si>
    <r>
      <t xml:space="preserve">Druckreduzierventil </t>
    </r>
    <r>
      <rPr>
        <sz val="8"/>
        <rFont val="Arial"/>
        <family val="2"/>
      </rPr>
      <t>2" 4-fach</t>
    </r>
  </si>
  <si>
    <t>Fertigationspumpe</t>
  </si>
  <si>
    <t>Total Materialkosten  inkl. MwSt</t>
  </si>
  <si>
    <t>Maschinenkst.</t>
  </si>
  <si>
    <t>Sprinkler montieren</t>
  </si>
  <si>
    <t>Total Erstellungskosten / ha        ohne Fertigation</t>
  </si>
  <si>
    <r>
      <t xml:space="preserve">Jahreskosten     </t>
    </r>
    <r>
      <rPr>
        <sz val="8"/>
        <rFont val="Arial"/>
        <family val="2"/>
      </rPr>
      <t xml:space="preserve"> </t>
    </r>
    <r>
      <rPr>
        <sz val="8"/>
        <rFont val="Arial"/>
        <family val="2"/>
      </rPr>
      <t>(Wasser wird zugekauft)</t>
    </r>
  </si>
  <si>
    <t>Zinsanspruch</t>
  </si>
  <si>
    <t>Materialkst.</t>
  </si>
  <si>
    <t>davon</t>
  </si>
  <si>
    <t>Fremdkst.</t>
  </si>
  <si>
    <t>Abschreibung</t>
  </si>
  <si>
    <t>geteilt durch 15 Nutzungsjahre</t>
  </si>
  <si>
    <t xml:space="preserve">Jahreskosten einer Tröpfchenbewässerung ohne Fertigation </t>
  </si>
  <si>
    <t>Anteil an den totalen
Erstellungskosten</t>
  </si>
  <si>
    <t>Hilfsgerüst für Hagelnetz</t>
  </si>
  <si>
    <t xml:space="preserve">Total Direktkosten </t>
  </si>
  <si>
    <t>Traktor für Netzmontage</t>
  </si>
  <si>
    <t>Total Zugkraft</t>
  </si>
  <si>
    <t>Verwaltung, Logistik, etc.</t>
  </si>
  <si>
    <r>
      <t>Total Erstellungskosten</t>
    </r>
    <r>
      <rPr>
        <sz val="16"/>
        <color indexed="9"/>
        <rFont val="Arial"/>
        <family val="2"/>
      </rPr>
      <t xml:space="preserve"> ohne Hagelnetz und ohne Zaun</t>
    </r>
  </si>
  <si>
    <t>Totale Erstellungskosten inkl. Hagelnetz ohne Zaun</t>
  </si>
  <si>
    <t>Totale Erstellungskosten nur Hagelnetz</t>
  </si>
  <si>
    <t>Kant. Beitrag (Gemeinde, Jagdkasse) Bsp. Kt.TG</t>
  </si>
  <si>
    <t>Traktor 2-Rad 50 kW</t>
  </si>
  <si>
    <t xml:space="preserve">totale Zaunkosten bei kantonaler Übernahme der Zaunmaterialkosten </t>
  </si>
  <si>
    <t>Bewässerungsanlage: Tropfenbewässerung</t>
  </si>
  <si>
    <t>Maschinen und Zugkraftkosten</t>
  </si>
  <si>
    <t>Handarbeitkosten</t>
  </si>
  <si>
    <t>Totale Erstellungskosten Bewässerung</t>
  </si>
  <si>
    <t xml:space="preserve">Bewässerungsanlage: Mikrosprinkler </t>
  </si>
  <si>
    <t>Total Erstellungskosten</t>
  </si>
  <si>
    <t>Definition Variante:</t>
  </si>
  <si>
    <t>Variante 1 ha</t>
  </si>
  <si>
    <r>
      <t xml:space="preserve">Variante Hagel  </t>
    </r>
    <r>
      <rPr>
        <sz val="10"/>
        <color indexed="9"/>
        <rFont val="Arial"/>
        <family val="2"/>
      </rPr>
      <t>(Quelle: Expertenschätzung von Produzenten, kantonalen Fachstellen und Agroscope FAW Wädenswil)</t>
    </r>
  </si>
  <si>
    <t>Bewässerung mit Mikrojet   (ja=1, nein=0)</t>
  </si>
  <si>
    <t>Versicherte Summe</t>
  </si>
  <si>
    <t>Moderne Tafelzwetschenanlage auf schwachwachsender Unterlage. Werte sind ausgelegt auf gemischtwirtschaftliche Betriebe mit mehr als 0.5 ha Tafelzwetschgen, an geeignetem Standort in einem der Hauptproduktionsgebiete der Schweiz.</t>
  </si>
  <si>
    <t>Anzahl Jahre mit Frost</t>
  </si>
  <si>
    <r>
      <t xml:space="preserve">Erstellung System Netzteam-Plast-Holz, ohne Hagelnetz, mit Vogelschutz                                                     </t>
    </r>
    <r>
      <rPr>
        <sz val="8"/>
        <color indexed="9"/>
        <rFont val="Arial"/>
        <family val="2"/>
      </rPr>
      <t>Quelle: Anbauempfehlung für die Obstregion NO-CH 2008</t>
    </r>
  </si>
  <si>
    <t>Folie</t>
  </si>
  <si>
    <t>Folie Bändchengewebe 34 x 2.3 m x 108 m</t>
  </si>
  <si>
    <t>Folienplaketten</t>
  </si>
  <si>
    <t>Folienanbindeschnüre rot</t>
  </si>
  <si>
    <t>Vogelschutz-Vorhang</t>
  </si>
  <si>
    <t xml:space="preserve">Hagelnetz Vorhang 2 Bahnen x </t>
  </si>
  <si>
    <t>Hagelnetz 0.7m x 108m</t>
  </si>
  <si>
    <t>Rand-Plaketten alle 2m</t>
  </si>
  <si>
    <t>Dachkonstruktion</t>
  </si>
  <si>
    <t>Drahtseil Ø 4mm</t>
  </si>
  <si>
    <t>Groblitz-Querseil Ø 6mm</t>
  </si>
  <si>
    <t>Folienfix Model 2 ohne Oesen</t>
  </si>
  <si>
    <t xml:space="preserve">Seilklemmen 6/10mm </t>
  </si>
  <si>
    <t>Drahtspanner mittel</t>
  </si>
  <si>
    <t>Abspannung</t>
  </si>
  <si>
    <t>Endpfähle 4.20 m 10/12</t>
  </si>
  <si>
    <t>Reihenpfähle 4.5 m 8/10 5m Abstand</t>
  </si>
  <si>
    <t>Endpfähle 4.5 m 10/12</t>
  </si>
  <si>
    <t>Eckpfähle 4.5 m 13/15</t>
  </si>
  <si>
    <t>Bodenanker</t>
  </si>
  <si>
    <t>Anker-Feinlitzseil Ø 9.5mm</t>
  </si>
  <si>
    <t>Hilfsgerüst für Regendach</t>
  </si>
  <si>
    <t>Arbeit Regendacherstellung</t>
  </si>
  <si>
    <t>Folienmontage</t>
  </si>
  <si>
    <t>Total Direktkosten mit Hagelnetz</t>
  </si>
  <si>
    <t>Total Direktkosten mit Regendach</t>
  </si>
  <si>
    <t>Verlustzeiten mit Regendach</t>
  </si>
  <si>
    <t>Total Strukturkosten Hagelnetz</t>
  </si>
  <si>
    <t>Total Strukturkosten Regendach</t>
  </si>
  <si>
    <t>Total Erstellungskosten inkl. Hagelnetz ohne Zaun</t>
  </si>
  <si>
    <t>Total Erstellungskosten nur Hagelnetz</t>
  </si>
  <si>
    <t>Total Erstellungskosten inkl. Regendach ohne Zaun</t>
  </si>
  <si>
    <t>Total Erstellungskosten nur Regendach</t>
  </si>
  <si>
    <t>Total Erstellungskosten Bewässerung</t>
  </si>
  <si>
    <t>Regendach und Bewässerung</t>
  </si>
  <si>
    <t>Regendach und Bewässerung (ja=2)</t>
  </si>
  <si>
    <t>Verlustzeiten mit Hagelnetz</t>
  </si>
  <si>
    <r>
      <t>Total Erstellungskosten</t>
    </r>
    <r>
      <rPr>
        <sz val="16"/>
        <color indexed="9"/>
        <rFont val="Arial"/>
        <family val="2"/>
      </rPr>
      <t xml:space="preserve"> ohne Hagelnetz oder Regendach und ohne Zaun</t>
    </r>
  </si>
  <si>
    <t>Total Erstellungskosten mit Hagelnetz mit Zaun, ohne Bewässerung</t>
  </si>
  <si>
    <t>Total Erstellungskosten mit Hagelnetz und Bewässerung und mit Zaun</t>
  </si>
  <si>
    <t>Total Erstellungskosten mit Regendach mit Zaun, ohne Bewässerung</t>
  </si>
  <si>
    <t>Total Erstellungskosten mit Regendach und Bewässerung und mit Zaun</t>
  </si>
  <si>
    <t>Total Erstellungskosten ohne Hagelnetz/Regendach und ohne Bewässerung mit Zaun</t>
  </si>
  <si>
    <t>Total Erstellungskosten ohne Hagelnetz/Regendach mit Bewässerung und mit Zaun</t>
  </si>
  <si>
    <t>Folien + Vogelnetzmontage/demontage</t>
  </si>
  <si>
    <t>Folien (Regendach) + Vogelnetzmontage/demontage</t>
  </si>
  <si>
    <t>Definition Var:</t>
  </si>
  <si>
    <t>Variante Regendach  (Quelle: Expertenschätzung von Produzenten, kantonalen Fachstellen und Agroscope FAW Wädenswil)</t>
  </si>
  <si>
    <t xml:space="preserve">Verwaltung, Logistik, etc. </t>
  </si>
  <si>
    <t xml:space="preserve">Hagelnetz/Regendach öffnen und schliessen </t>
  </si>
  <si>
    <t>Gesamt-Cashflow nach 1. Stj.</t>
  </si>
  <si>
    <t>Gesamt-Cashflow nach 2. Stj.</t>
  </si>
  <si>
    <t>Gesamt-Cashflow nach 3. Stj.</t>
  </si>
  <si>
    <t>Gesamt-Cashflow nach 4. Stj.</t>
  </si>
  <si>
    <t>Gesamt-Cashflow nach 5. Stj.</t>
  </si>
  <si>
    <t>Gesamt-Cashflow nach 6. Stj.</t>
  </si>
  <si>
    <t>Gesamt-Cashflow nach 7. Stj.</t>
  </si>
  <si>
    <t>Gesamt-Cashflow nach 8. Stj.</t>
  </si>
  <si>
    <t>Gesamt-Cashflow nach 9. Stj.</t>
  </si>
  <si>
    <t>Gesamt-Cashflow nach 10. Stj.</t>
  </si>
  <si>
    <t>Gesamt-Cashflow nach 11. Stj.</t>
  </si>
  <si>
    <t>Gesamt-Cashflow nach 12. Stj.</t>
  </si>
  <si>
    <t>Gesamt-Cashflow nach 13. Stj.</t>
  </si>
  <si>
    <t>Gesamt-Cashflow nach 14. Stj.</t>
  </si>
  <si>
    <t>Gesamt-Cashflow nach 15. Stj.</t>
  </si>
  <si>
    <t>Gesamt-Cashflow nach 16. Stj.</t>
  </si>
  <si>
    <t>Totale Kosten nur Regendach</t>
  </si>
  <si>
    <r>
      <t xml:space="preserve">Ertrag / Jahr </t>
    </r>
    <r>
      <rPr>
        <sz val="10"/>
        <color indexed="8"/>
        <rFont val="Arial"/>
        <family val="2"/>
      </rPr>
      <t xml:space="preserve">Ertragsphase </t>
    </r>
  </si>
  <si>
    <t>Sortierabgang</t>
  </si>
  <si>
    <t>Branchenbeiträge</t>
  </si>
  <si>
    <t>Abzüge                                      Branchenbeiträge</t>
  </si>
  <si>
    <t>Abzüge                                 Branchenbeiträge</t>
  </si>
  <si>
    <t>Schleudestreuer 500-1'000 l</t>
  </si>
  <si>
    <t>Durchschnitt (berechnet)  extern + interne</t>
  </si>
  <si>
    <t>Anbaufeldspritze, 12 m Balken, 600 l Fass</t>
  </si>
  <si>
    <t>Anbaufeldspritze, 12 m Balken, 600 l Fass Zweireihig</t>
  </si>
  <si>
    <t>Sichelmulchgerät  ohne Schwenkarm, 2-3 m</t>
  </si>
  <si>
    <t>Obstbautraktor 4-Rad (45-54 kW, 61-73 PS)</t>
  </si>
  <si>
    <t>Kreiselegge mit Packerwalze, 3 m</t>
  </si>
  <si>
    <t>Miststreuer (3.5 t)</t>
  </si>
  <si>
    <t>Quelle: ART Bericht 2009</t>
  </si>
  <si>
    <r>
      <t xml:space="preserve">Quelle: </t>
    </r>
    <r>
      <rPr>
        <sz val="12"/>
        <color indexed="9"/>
        <rFont val="Arial"/>
        <family val="2"/>
      </rPr>
      <t>Expertenschätzung von Produzenten, kantonalen Fachstellen und Agroscope</t>
    </r>
  </si>
  <si>
    <t>Zwetschgen</t>
  </si>
  <si>
    <t>pro ha</t>
  </si>
  <si>
    <t>Abzüge               Branchenbeiträge</t>
  </si>
  <si>
    <t>Gebindekosten und Aktionsbeiträge</t>
  </si>
  <si>
    <t>Arbokost 2022</t>
  </si>
  <si>
    <t>Grunddünger (Terbona)</t>
  </si>
  <si>
    <t>Cacaks Schöne auf Wavit</t>
  </si>
  <si>
    <t>Aktion und Gebindekosten</t>
  </si>
  <si>
    <t>Konditionierung, Transport und Handling</t>
  </si>
  <si>
    <t>Diverse Räume</t>
  </si>
  <si>
    <t>Hebebühne</t>
  </si>
  <si>
    <t>Anbaufeldspritze, Fass</t>
  </si>
  <si>
    <t>Düngerstreuer Einkasten 2.5 m</t>
  </si>
  <si>
    <t>Arbokost 2023</t>
  </si>
  <si>
    <t>Fungiziden</t>
  </si>
  <si>
    <t>Insektiziden</t>
  </si>
  <si>
    <t>Herbiziden</t>
  </si>
  <si>
    <t>Anzahl Fahrten Anbaugebläsespritze</t>
  </si>
  <si>
    <t>Anzahl Fahrten Herbidzidtank + -balken</t>
  </si>
  <si>
    <t>4. Standjahr + Ertragsphase</t>
  </si>
  <si>
    <r>
      <t xml:space="preserve">Standard Regendach  </t>
    </r>
    <r>
      <rPr>
        <sz val="8"/>
        <color indexed="9"/>
        <rFont val="Arial"/>
        <family val="2"/>
      </rPr>
      <t>(Quelle: Expertenschätzung von Produzenten, kantonalen Fachstellen und Agroscope)</t>
    </r>
  </si>
  <si>
    <t xml:space="preserve">Erstellung System Netzteam-Plast-Holz, ohne Hagelnetz, mit Vogelschutz                                                   </t>
  </si>
  <si>
    <t xml:space="preserve">Bewässerungsanlage: Tropfenbewässerung  Quelle: Anbauempfehlung für die Obstregion </t>
  </si>
  <si>
    <t>Zitierungshinweis: Bravin E., Carint D., Zürcher M., Mouron P., Arbokost 2023, Agroscope, arbokost.agroscope.ch</t>
  </si>
  <si>
    <t>@copyright: Weitergabe der Kalkulationen nur mit Genemigung von Agroscope. Alle Angaben ohne Gewähr.</t>
  </si>
  <si>
    <t xml:space="preserve">Erstellung inkl. Hagelnetz                                                      </t>
  </si>
  <si>
    <t>Teuerung 2015-2023 (Baumaterialien gemäss Bundesamt für Statistik)</t>
  </si>
  <si>
    <t xml:space="preserve">Erstellung inkl. Hagelnetz                                                    </t>
  </si>
  <si>
    <t xml:space="preserve">Bewässerungsanlage: Tropfenbewässerung  </t>
  </si>
  <si>
    <t xml:space="preserve">Bewässerungsanlage: Mikrosprinkler Kernobst  Quelle: Anbauempfehlung für die Obstregion NO-CH </t>
  </si>
  <si>
    <r>
      <t xml:space="preserve">Standard Hagel  </t>
    </r>
    <r>
      <rPr>
        <sz val="8"/>
        <color indexed="9"/>
        <rFont val="Arial"/>
        <family val="2"/>
      </rPr>
      <t>(Quelle: Expertenschätzung von Produzenten, kantonalen Fachstellen und Agroscope)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</si>
</sst>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9">
    <numFmt numFmtId="164" formatCode="&quot;Fr.&quot;\ #,##0;&quot;Fr.&quot;\ \-#,##0"/>
    <numFmt numFmtId="165" formatCode="&quot;Fr.&quot;\ #,##0;[Red]&quot;Fr.&quot;\ \-#,##0"/>
    <numFmt numFmtId="166" formatCode="&quot;Fr.&quot;\ #,##0.00;&quot;Fr.&quot;\ \-#,##0.00"/>
    <numFmt numFmtId="167" formatCode="&quot;Fr.&quot;\ #,##0.00;[Red]&quot;Fr.&quot;\ \-#,##0.00"/>
    <numFmt numFmtId="168" formatCode="0.0"/>
    <numFmt numFmtId="169" formatCode="0.00\ &quot;Fr.&quot;"/>
    <numFmt numFmtId="170" formatCode="\ #,##0\ &quot;Fr.&quot;"/>
    <numFmt numFmtId="171" formatCode="h"/>
    <numFmt numFmtId="172" formatCode="\ #,##0\ \k\g"/>
    <numFmt numFmtId="173" formatCode="0.0\ \k\g"/>
    <numFmt numFmtId="174" formatCode="0.0\ \l"/>
    <numFmt numFmtId="175" formatCode="0\ \J"/>
    <numFmt numFmtId="176" formatCode="0.0%"/>
    <numFmt numFmtId="177" formatCode="#,##0.0"/>
    <numFmt numFmtId="178" formatCode="0.00\ \k\g"/>
    <numFmt numFmtId="179" formatCode="#,##0\ &quot;Bäume&quot;"/>
    <numFmt numFmtId="180" formatCode="0.00\ &quot;Fr./kg&quot;"/>
    <numFmt numFmtId="181" formatCode="#,##0\ &quot;kg / ha&quot;"/>
    <numFmt numFmtId="182" formatCode="#,##0\ &quot;kg / h&quot;"/>
    <numFmt numFmtId="183" formatCode="0.00\ &quot;Fr./ h&quot;"/>
    <numFmt numFmtId="184" formatCode="0.00\ &quot;Fr./ kg&quot;"/>
    <numFmt numFmtId="185" formatCode="0\ &quot;Akh&quot;"/>
    <numFmt numFmtId="186" formatCode="0.00\ &quot;Fr./ ha&quot;"/>
    <numFmt numFmtId="187" formatCode="0\ &quot;h / ha&quot;"/>
    <numFmt numFmtId="188" formatCode="0\ &quot;m&quot;"/>
    <numFmt numFmtId="189" formatCode="&quot;Faktor&quot;\ 0.0"/>
    <numFmt numFmtId="190" formatCode="0\ &quot;Fuder&quot;"/>
    <numFmt numFmtId="191" formatCode="0\ &quot;h&quot;"/>
    <numFmt numFmtId="192" formatCode="0\ &quot;m2&quot;"/>
    <numFmt numFmtId="193" formatCode="#,##0\ &quot;Bäume/ha&quot;"/>
    <numFmt numFmtId="194" formatCode="#,##0\ &quot;Fr.&quot;"/>
    <numFmt numFmtId="195" formatCode="0.00\ &quot;Fr./Fu&quot;"/>
    <numFmt numFmtId="196" formatCode="\ #,##0\ &quot;h&quot;"/>
    <numFmt numFmtId="197" formatCode="\ #,###.00\ &quot;Fr.&quot;\ "/>
    <numFmt numFmtId="198" formatCode="\ #,###\ &quot;Fr.&quot;\ "/>
    <numFmt numFmtId="199" formatCode="0\ &quot;Jahre&quot;"/>
    <numFmt numFmtId="200" formatCode="0.0\ &quot;m&quot;"/>
    <numFmt numFmtId="201" formatCode="0\ &quot;x&quot;"/>
    <numFmt numFmtId="202" formatCode="0.0000"/>
    <numFmt numFmtId="203" formatCode="#,##0\ \ &quot;Fr.&quot;"/>
    <numFmt numFmtId="204" formatCode="#,##0.00\ &quot;Fr.&quot;"/>
    <numFmt numFmtId="205" formatCode="0.00\ &quot;Fr./h&quot;"/>
    <numFmt numFmtId="206" formatCode="0.00\ &quot;von Erntestd.&quot;"/>
    <numFmt numFmtId="207" formatCode="#,##0\ &quot;Fr./J.&quot;"/>
    <numFmt numFmtId="208" formatCode="0.00\ &quot;v. Erntestd.&quot;"/>
    <numFmt numFmtId="209" formatCode="#,##0\ &quot;Akh&quot;"/>
    <numFmt numFmtId="210" formatCode="0.00\ &quot;von Akh&quot;"/>
    <numFmt numFmtId="211" formatCode="0.00\ &quot;Fr./100kg&quot;"/>
    <numFmt numFmtId="212" formatCode="#,##0\ &quot;m2&quot;"/>
    <numFmt numFmtId="213" formatCode="#,##0.0\ &quot;kg / h&quot;"/>
    <numFmt numFmtId="214" formatCode="0\ &quot;Bäume/ha&quot;"/>
    <numFmt numFmtId="215" formatCode="0\ &quot;Fr./ ha&quot;"/>
    <numFmt numFmtId="216" formatCode="#,##0\ &quot;gerundet&quot;"/>
    <numFmt numFmtId="217" formatCode="#,##0&quot;.- Versicherungssumme&quot;"/>
    <numFmt numFmtId="218" formatCode="0.00\ &quot;Fr&quot;"/>
    <numFmt numFmtId="219" formatCode="#,##0&quot;.- Ersatz- u. Büromaterial&quot;"/>
    <numFmt numFmtId="220" formatCode="0.0\ &quot;kg / h&quot;"/>
    <numFmt numFmtId="221" formatCode="0\ &quot;kg/h&quot;"/>
    <numFmt numFmtId="222" formatCode="#,##0\ \F\r."/>
    <numFmt numFmtId="223" formatCode="#,##0\ &quot;Fr./ha&quot;"/>
    <numFmt numFmtId="224" formatCode="0.00\ &quot;Fr. / h&quot;"/>
    <numFmt numFmtId="225" formatCode="\ #,###\ &quot;Fr./ha&quot;"/>
    <numFmt numFmtId="226" formatCode="#,##0\ &quot;Fahrten&quot;"/>
    <numFmt numFmtId="227" formatCode="0\ &quot;kg&quot;"/>
    <numFmt numFmtId="228" formatCode="0.00\ &quot;Fr./m3&quot;"/>
    <numFmt numFmtId="229" formatCode="0\ &quot;m3&quot;"/>
    <numFmt numFmtId="230" formatCode="#,##0\ &quot;m&quot;"/>
    <numFmt numFmtId="231" formatCode="\ 0\ \ &quot;Reihen&quot;"/>
    <numFmt numFmtId="232" formatCode="&quot;Netto&quot;\ 0\ \ &quot;x&quot;"/>
    <numFmt numFmtId="233" formatCode="0.0\ \ &quot;x&quot;"/>
    <numFmt numFmtId="234" formatCode="0.00\ \ &quot;m&quot;"/>
    <numFmt numFmtId="235" formatCode="0\ &quot;lfm&quot;"/>
    <numFmt numFmtId="236" formatCode="0\ &quot;Stück&quot;"/>
    <numFmt numFmtId="237" formatCode="0.00\ &quot;dt&quot;"/>
    <numFmt numFmtId="238" formatCode="0.00\ &quot;kg&quot;"/>
    <numFmt numFmtId="239" formatCode="0.0\ &quot;Fr./lfm&quot;"/>
    <numFmt numFmtId="240" formatCode="0\ &quot;AK&quot;"/>
    <numFmt numFmtId="241" formatCode="0\ &quot;Wg&quot;"/>
    <numFmt numFmtId="242" formatCode="0.0\ &quot;h&quot;"/>
    <numFmt numFmtId="243" formatCode="0.0\ &quot;x&quot;"/>
    <numFmt numFmtId="244" formatCode="0.00\ &quot;m3&quot;"/>
    <numFmt numFmtId="245" formatCode="\ #,##0\ \ &quot;Fr.&quot;"/>
    <numFmt numFmtId="246" formatCode="0\ &quot;%&quot;"/>
    <numFmt numFmtId="247" formatCode="0.\ &quot;%&quot;"/>
    <numFmt numFmtId="248" formatCode="0\ &quot;Fr./m3&quot;"/>
    <numFmt numFmtId="249" formatCode="\ #,##0.00\ &quot;Fr.&quot;"/>
    <numFmt numFmtId="250" formatCode="0\ &quot;Fr.&quot;"/>
    <numFmt numFmtId="251" formatCode="0.000000000000"/>
    <numFmt numFmtId="252" formatCode="&quot;Fr.&quot;\ #,##0.00"/>
  </numFmts>
  <fonts count="101" x14ac:knownFonts="1">
    <font>
      <sz val="10"/>
      <name val="Arial"/>
    </font>
    <font>
      <b/>
      <sz val="10"/>
      <name val="Arial"/>
      <family val="2"/>
    </font>
    <font>
      <sz val="10"/>
      <name val="Arial"/>
      <family val="2"/>
    </font>
    <font>
      <b/>
      <sz val="20"/>
      <name val="Arial"/>
      <family val="2"/>
    </font>
    <font>
      <b/>
      <sz val="12"/>
      <name val="Arial"/>
      <family val="2"/>
    </font>
    <font>
      <sz val="8"/>
      <name val="Arial"/>
      <family val="2"/>
    </font>
    <font>
      <b/>
      <sz val="14"/>
      <name val="Arial"/>
      <family val="2"/>
    </font>
    <font>
      <sz val="12"/>
      <name val="Arial"/>
      <family val="2"/>
    </font>
    <font>
      <sz val="14"/>
      <name val="Arial"/>
      <family val="2"/>
    </font>
    <font>
      <b/>
      <i/>
      <sz val="14"/>
      <name val="Arial"/>
      <family val="2"/>
    </font>
    <font>
      <b/>
      <sz val="10"/>
      <name val="Arial"/>
      <family val="2"/>
    </font>
    <font>
      <sz val="10"/>
      <name val="Arial"/>
      <family val="2"/>
    </font>
    <font>
      <b/>
      <sz val="10"/>
      <color indexed="9"/>
      <name val="Arial"/>
      <family val="2"/>
    </font>
    <font>
      <b/>
      <sz val="16"/>
      <name val="Arial"/>
      <family val="2"/>
    </font>
    <font>
      <b/>
      <sz val="16"/>
      <name val="Arial"/>
      <family val="2"/>
    </font>
    <font>
      <b/>
      <i/>
      <sz val="16"/>
      <name val="Arial"/>
      <family val="2"/>
    </font>
    <font>
      <sz val="10"/>
      <color indexed="9"/>
      <name val="Arial"/>
      <family val="2"/>
    </font>
    <font>
      <sz val="16"/>
      <color indexed="9"/>
      <name val="Arial"/>
      <family val="2"/>
    </font>
    <font>
      <sz val="10"/>
      <color indexed="8"/>
      <name val="Arial"/>
      <family val="2"/>
    </font>
    <font>
      <b/>
      <sz val="10"/>
      <color indexed="8"/>
      <name val="Arial"/>
      <family val="2"/>
    </font>
    <font>
      <sz val="11"/>
      <color indexed="8"/>
      <name val="Arial"/>
      <family val="2"/>
    </font>
    <font>
      <b/>
      <sz val="12"/>
      <color indexed="9"/>
      <name val="Arial"/>
      <family val="2"/>
    </font>
    <font>
      <b/>
      <sz val="11"/>
      <name val="Arial"/>
      <family val="2"/>
    </font>
    <font>
      <sz val="8"/>
      <name val="Arial"/>
      <family val="2"/>
    </font>
    <font>
      <b/>
      <sz val="11"/>
      <color indexed="9"/>
      <name val="Arial"/>
      <family val="2"/>
    </font>
    <font>
      <sz val="12"/>
      <color indexed="9"/>
      <name val="Arial"/>
      <family val="2"/>
    </font>
    <font>
      <sz val="10"/>
      <color indexed="10"/>
      <name val="Arial"/>
      <family val="2"/>
    </font>
    <font>
      <sz val="8"/>
      <color indexed="81"/>
      <name val="Tahoma"/>
      <family val="2"/>
    </font>
    <font>
      <b/>
      <sz val="8"/>
      <color indexed="81"/>
      <name val="Tahoma"/>
      <family val="2"/>
    </font>
    <font>
      <b/>
      <i/>
      <sz val="10"/>
      <name val="Arial"/>
      <family val="2"/>
    </font>
    <font>
      <b/>
      <sz val="20"/>
      <color indexed="9"/>
      <name val="Arial"/>
      <family val="2"/>
    </font>
    <font>
      <b/>
      <sz val="16"/>
      <color indexed="9"/>
      <name val="Arial"/>
      <family val="2"/>
    </font>
    <font>
      <b/>
      <sz val="14"/>
      <color indexed="9"/>
      <name val="Arial"/>
      <family val="2"/>
    </font>
    <font>
      <b/>
      <sz val="20"/>
      <color indexed="8"/>
      <name val="Arial"/>
      <family val="2"/>
    </font>
    <font>
      <sz val="20"/>
      <color indexed="8"/>
      <name val="Arial"/>
      <family val="2"/>
    </font>
    <font>
      <sz val="9"/>
      <name val="Arial"/>
      <family val="2"/>
    </font>
    <font>
      <sz val="10"/>
      <color indexed="81"/>
      <name val="Tahoma"/>
      <family val="2"/>
    </font>
    <font>
      <b/>
      <i/>
      <sz val="12"/>
      <name val="Arial"/>
      <family val="2"/>
    </font>
    <font>
      <sz val="20"/>
      <color indexed="9"/>
      <name val="Arial"/>
      <family val="2"/>
    </font>
    <font>
      <i/>
      <sz val="10"/>
      <name val="Arial"/>
      <family val="2"/>
    </font>
    <font>
      <b/>
      <i/>
      <sz val="14"/>
      <name val="Arial"/>
      <family val="2"/>
    </font>
    <font>
      <b/>
      <sz val="18"/>
      <name val="Arial"/>
      <family val="2"/>
    </font>
    <font>
      <sz val="11"/>
      <color indexed="9"/>
      <name val="Arial"/>
      <family val="2"/>
    </font>
    <font>
      <b/>
      <sz val="20"/>
      <name val="Comic Sans MS"/>
      <family val="4"/>
    </font>
    <font>
      <b/>
      <sz val="22"/>
      <color indexed="9"/>
      <name val="Arial"/>
      <family val="2"/>
    </font>
    <font>
      <b/>
      <i/>
      <sz val="14"/>
      <color indexed="8"/>
      <name val="Arial"/>
      <family val="2"/>
    </font>
    <font>
      <sz val="26"/>
      <color indexed="9"/>
      <name val="Arial"/>
      <family val="2"/>
    </font>
    <font>
      <b/>
      <sz val="10"/>
      <color indexed="81"/>
      <name val="Tahoma"/>
      <family val="2"/>
    </font>
    <font>
      <b/>
      <i/>
      <sz val="10"/>
      <color indexed="81"/>
      <name val="Tahoma"/>
      <family val="2"/>
    </font>
    <font>
      <b/>
      <i/>
      <sz val="10"/>
      <color indexed="8"/>
      <name val="Arial"/>
      <family val="2"/>
    </font>
    <font>
      <sz val="12"/>
      <color indexed="8"/>
      <name val="Arial"/>
      <family val="2"/>
    </font>
    <font>
      <sz val="10"/>
      <name val="Arial"/>
      <family val="2"/>
    </font>
    <font>
      <b/>
      <sz val="13"/>
      <color indexed="9"/>
      <name val="Arial"/>
      <family val="2"/>
    </font>
    <font>
      <sz val="11"/>
      <name val="Arial"/>
      <family val="2"/>
    </font>
    <font>
      <b/>
      <sz val="11"/>
      <name val="Arial"/>
      <family val="2"/>
    </font>
    <font>
      <sz val="11"/>
      <name val="Arial"/>
      <family val="2"/>
    </font>
    <font>
      <sz val="20"/>
      <name val="Arial"/>
      <family val="2"/>
    </font>
    <font>
      <sz val="16"/>
      <name val="Arial"/>
      <family val="2"/>
    </font>
    <font>
      <i/>
      <sz val="12"/>
      <name val="Arial"/>
      <family val="2"/>
    </font>
    <font>
      <b/>
      <i/>
      <sz val="11"/>
      <name val="Arial"/>
      <family val="2"/>
    </font>
    <font>
      <b/>
      <sz val="24"/>
      <name val="Arial"/>
      <family val="2"/>
    </font>
    <font>
      <b/>
      <sz val="20"/>
      <name val="Arial"/>
      <family val="2"/>
    </font>
    <font>
      <sz val="10"/>
      <name val="Arial"/>
      <family val="2"/>
    </font>
    <font>
      <b/>
      <sz val="13"/>
      <name val="Arial"/>
      <family val="2"/>
    </font>
    <font>
      <b/>
      <i/>
      <sz val="13"/>
      <name val="Arial"/>
      <family val="2"/>
    </font>
    <font>
      <sz val="13"/>
      <name val="Arial"/>
      <family val="2"/>
    </font>
    <font>
      <b/>
      <sz val="17"/>
      <name val="Arial"/>
      <family val="2"/>
    </font>
    <font>
      <sz val="17"/>
      <name val="Arial"/>
      <family val="2"/>
    </font>
    <font>
      <b/>
      <i/>
      <sz val="17"/>
      <name val="Arial"/>
      <family val="2"/>
    </font>
    <font>
      <b/>
      <sz val="15"/>
      <name val="Arial"/>
      <family val="2"/>
    </font>
    <font>
      <sz val="15"/>
      <name val="Arial"/>
      <family val="2"/>
    </font>
    <font>
      <b/>
      <i/>
      <sz val="10"/>
      <color indexed="9"/>
      <name val="Arial"/>
      <family val="2"/>
    </font>
    <font>
      <b/>
      <sz val="10"/>
      <color indexed="10"/>
      <name val="Arial"/>
      <family val="2"/>
    </font>
    <font>
      <sz val="9"/>
      <color indexed="81"/>
      <name val="Tahoma"/>
      <family val="2"/>
    </font>
    <font>
      <sz val="10"/>
      <color indexed="9"/>
      <name val="Arial"/>
      <family val="2"/>
    </font>
    <font>
      <b/>
      <vertAlign val="superscript"/>
      <sz val="10"/>
      <name val="Arial"/>
      <family val="2"/>
    </font>
    <font>
      <b/>
      <sz val="20"/>
      <color indexed="9"/>
      <name val="Comic Sans MS"/>
      <family val="4"/>
    </font>
    <font>
      <b/>
      <sz val="8"/>
      <name val="Arial"/>
      <family val="2"/>
    </font>
    <font>
      <b/>
      <sz val="8"/>
      <color indexed="9"/>
      <name val="Comic Sans MS"/>
      <family val="4"/>
    </font>
    <font>
      <sz val="8"/>
      <color indexed="9"/>
      <name val="Arial"/>
      <family val="2"/>
    </font>
    <font>
      <b/>
      <sz val="8"/>
      <color indexed="9"/>
      <name val="Arial"/>
      <family val="2"/>
    </font>
    <font>
      <sz val="14"/>
      <color indexed="9"/>
      <name val="Arial Black"/>
      <family val="2"/>
    </font>
    <font>
      <b/>
      <sz val="8"/>
      <name val="Arial"/>
      <family val="2"/>
    </font>
    <font>
      <i/>
      <sz val="8"/>
      <name val="Arial"/>
      <family val="2"/>
    </font>
    <font>
      <sz val="8"/>
      <color indexed="8"/>
      <name val="Arial"/>
      <family val="2"/>
    </font>
    <font>
      <sz val="8"/>
      <color indexed="10"/>
      <name val="Arial"/>
      <family val="2"/>
    </font>
    <font>
      <b/>
      <i/>
      <sz val="8"/>
      <name val="Arial"/>
      <family val="2"/>
    </font>
    <font>
      <b/>
      <sz val="8"/>
      <color indexed="10"/>
      <name val="Arial"/>
      <family val="2"/>
    </font>
    <font>
      <sz val="8"/>
      <color indexed="9"/>
      <name val="Arial"/>
      <family val="2"/>
    </font>
    <font>
      <sz val="14"/>
      <color indexed="9"/>
      <name val="Arial"/>
      <family val="2"/>
    </font>
    <font>
      <sz val="18"/>
      <name val="Arial"/>
      <family val="2"/>
    </font>
    <font>
      <b/>
      <sz val="10"/>
      <color indexed="9"/>
      <name val="Arial"/>
      <family val="2"/>
    </font>
    <font>
      <sz val="10"/>
      <color indexed="14"/>
      <name val="Arial"/>
      <family val="2"/>
    </font>
    <font>
      <b/>
      <sz val="10"/>
      <color indexed="23"/>
      <name val="Arial"/>
      <family val="2"/>
    </font>
    <font>
      <sz val="10"/>
      <color indexed="23"/>
      <name val="Arial"/>
      <family val="2"/>
    </font>
    <font>
      <sz val="10"/>
      <color indexed="81"/>
      <name val="Arial"/>
      <family val="2"/>
    </font>
    <font>
      <b/>
      <sz val="10"/>
      <color indexed="81"/>
      <name val="Arial"/>
      <family val="2"/>
    </font>
    <font>
      <sz val="9"/>
      <color indexed="81"/>
      <name val="Segoe UI"/>
      <family val="2"/>
    </font>
    <font>
      <b/>
      <sz val="9"/>
      <color indexed="81"/>
      <name val="Segoe UI"/>
      <family val="2"/>
    </font>
    <font>
      <sz val="7"/>
      <name val="Arial"/>
      <family val="2"/>
    </font>
    <font>
      <b/>
      <sz val="7"/>
      <name val="Arial"/>
      <family val="2"/>
    </font>
  </fonts>
  <fills count="1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29"/>
        <bgColor indexed="64"/>
      </patternFill>
    </fill>
    <fill>
      <patternFill patternType="solid">
        <fgColor indexed="18"/>
        <bgColor indexed="64"/>
      </patternFill>
    </fill>
    <fill>
      <patternFill patternType="solid">
        <fgColor indexed="44"/>
        <bgColor indexed="64"/>
      </patternFill>
    </fill>
    <fill>
      <patternFill patternType="solid">
        <fgColor indexed="47"/>
        <bgColor indexed="64"/>
      </patternFill>
    </fill>
    <fill>
      <patternFill patternType="solid">
        <fgColor indexed="50"/>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35">
    <border>
      <left/>
      <right/>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1385">
    <xf numFmtId="0" fontId="0" fillId="0" borderId="0" xfId="0"/>
    <xf numFmtId="0" fontId="0" fillId="0" borderId="0" xfId="0" applyFill="1"/>
    <xf numFmtId="0" fontId="4" fillId="0" borderId="0" xfId="0" applyFont="1" applyFill="1"/>
    <xf numFmtId="0" fontId="1" fillId="0" borderId="0" xfId="0" applyFont="1" applyFill="1"/>
    <xf numFmtId="0" fontId="2" fillId="0" borderId="0" xfId="0" applyFont="1" applyFill="1"/>
    <xf numFmtId="1" fontId="0" fillId="0" borderId="0" xfId="0" applyNumberFormat="1" applyFill="1"/>
    <xf numFmtId="169" fontId="0" fillId="0" borderId="0" xfId="0" applyNumberFormat="1" applyFill="1"/>
    <xf numFmtId="170" fontId="0" fillId="0" borderId="0" xfId="0" applyNumberFormat="1" applyFill="1"/>
    <xf numFmtId="169" fontId="0" fillId="0" borderId="0" xfId="0" applyNumberFormat="1"/>
    <xf numFmtId="169" fontId="0" fillId="2" borderId="1" xfId="0" applyNumberFormat="1" applyFill="1" applyBorder="1"/>
    <xf numFmtId="0" fontId="0" fillId="0" borderId="0" xfId="0" applyAlignment="1">
      <alignment horizontal="center"/>
    </xf>
    <xf numFmtId="0" fontId="0" fillId="0" borderId="0" xfId="0" applyBorder="1" applyAlignment="1">
      <alignment horizontal="center"/>
    </xf>
    <xf numFmtId="0" fontId="0" fillId="3" borderId="0" xfId="0" applyFill="1"/>
    <xf numFmtId="0" fontId="0" fillId="3" borderId="0" xfId="0" applyFill="1" applyBorder="1" applyAlignment="1">
      <alignment horizontal="center"/>
    </xf>
    <xf numFmtId="0" fontId="1" fillId="0" borderId="0" xfId="0" applyFont="1"/>
    <xf numFmtId="0" fontId="0" fillId="0" borderId="0" xfId="0" applyBorder="1"/>
    <xf numFmtId="3" fontId="0" fillId="0" borderId="0" xfId="0" applyNumberFormat="1" applyAlignment="1">
      <alignment horizontal="center"/>
    </xf>
    <xf numFmtId="0" fontId="2" fillId="0" borderId="0" xfId="0" applyFont="1"/>
    <xf numFmtId="0" fontId="7" fillId="0" borderId="0" xfId="0" applyFont="1"/>
    <xf numFmtId="0" fontId="1" fillId="0" borderId="0" xfId="0" applyFont="1" applyBorder="1"/>
    <xf numFmtId="168" fontId="1" fillId="2" borderId="0" xfId="0" applyNumberFormat="1" applyFont="1" applyFill="1"/>
    <xf numFmtId="0" fontId="0" fillId="0" borderId="0" xfId="0" applyFill="1" applyBorder="1"/>
    <xf numFmtId="0" fontId="7" fillId="0" borderId="0" xfId="0" applyFont="1" applyFill="1"/>
    <xf numFmtId="169" fontId="0" fillId="0" borderId="0" xfId="0" applyNumberFormat="1" applyAlignment="1">
      <alignment horizontal="center"/>
    </xf>
    <xf numFmtId="170" fontId="0" fillId="0" borderId="0" xfId="0" applyNumberFormat="1" applyAlignment="1">
      <alignment horizontal="center"/>
    </xf>
    <xf numFmtId="168" fontId="0" fillId="0" borderId="0" xfId="0" applyNumberFormat="1" applyAlignment="1">
      <alignment horizontal="center"/>
    </xf>
    <xf numFmtId="0" fontId="2" fillId="2" borderId="0" xfId="0" applyFont="1" applyFill="1" applyAlignment="1">
      <alignment horizontal="center"/>
    </xf>
    <xf numFmtId="169" fontId="2" fillId="2" borderId="0" xfId="0" applyNumberFormat="1" applyFont="1" applyFill="1" applyAlignment="1">
      <alignment horizontal="center"/>
    </xf>
    <xf numFmtId="170" fontId="1" fillId="2" borderId="0" xfId="0" applyNumberFormat="1" applyFont="1" applyFill="1" applyAlignment="1">
      <alignment horizontal="center"/>
    </xf>
    <xf numFmtId="0" fontId="0" fillId="0" borderId="1" xfId="0" applyBorder="1" applyAlignment="1">
      <alignment horizontal="center"/>
    </xf>
    <xf numFmtId="170" fontId="0" fillId="0" borderId="1" xfId="0" applyNumberFormat="1" applyBorder="1" applyAlignment="1">
      <alignment horizontal="center"/>
    </xf>
    <xf numFmtId="0" fontId="0" fillId="0" borderId="1" xfId="0" applyBorder="1"/>
    <xf numFmtId="170" fontId="2" fillId="2" borderId="0" xfId="0" applyNumberFormat="1" applyFont="1" applyFill="1" applyAlignment="1">
      <alignment horizontal="center"/>
    </xf>
    <xf numFmtId="170" fontId="0" fillId="0" borderId="0" xfId="0" applyNumberFormat="1" applyFill="1" applyAlignment="1">
      <alignment horizontal="center"/>
    </xf>
    <xf numFmtId="0" fontId="0" fillId="0" borderId="0" xfId="0" applyFill="1" applyAlignment="1">
      <alignment horizontal="center"/>
    </xf>
    <xf numFmtId="168" fontId="0" fillId="0" borderId="0" xfId="0" applyNumberFormat="1" applyFill="1" applyAlignment="1">
      <alignment horizontal="center"/>
    </xf>
    <xf numFmtId="170" fontId="0" fillId="0" borderId="0" xfId="0" applyNumberFormat="1"/>
    <xf numFmtId="0" fontId="0" fillId="2" borderId="0" xfId="0" applyFill="1" applyAlignment="1">
      <alignment horizontal="center"/>
    </xf>
    <xf numFmtId="0" fontId="0" fillId="0" borderId="2" xfId="0" applyBorder="1" applyAlignment="1">
      <alignment horizontal="center"/>
    </xf>
    <xf numFmtId="168" fontId="0" fillId="0" borderId="0" xfId="0" applyNumberFormat="1" applyFill="1" applyBorder="1" applyAlignment="1">
      <alignment horizontal="center"/>
    </xf>
    <xf numFmtId="0" fontId="1" fillId="0" borderId="0" xfId="0" applyFont="1" applyFill="1" applyBorder="1"/>
    <xf numFmtId="0" fontId="2" fillId="0" borderId="0" xfId="0" applyFont="1" applyFill="1" applyBorder="1" applyAlignment="1">
      <alignment horizontal="center"/>
    </xf>
    <xf numFmtId="169" fontId="2" fillId="0" borderId="0" xfId="0" applyNumberFormat="1" applyFont="1" applyFill="1" applyBorder="1" applyAlignment="1">
      <alignment horizontal="center"/>
    </xf>
    <xf numFmtId="170" fontId="2" fillId="0" borderId="0" xfId="0" applyNumberFormat="1" applyFont="1" applyFill="1" applyBorder="1" applyAlignment="1">
      <alignment horizontal="center"/>
    </xf>
    <xf numFmtId="0" fontId="0" fillId="0" borderId="0" xfId="0" applyFill="1" applyBorder="1" applyAlignment="1">
      <alignment horizontal="center"/>
    </xf>
    <xf numFmtId="169" fontId="0" fillId="0" borderId="0" xfId="0" applyNumberFormat="1" applyFill="1" applyBorder="1" applyAlignment="1">
      <alignment horizontal="center"/>
    </xf>
    <xf numFmtId="170" fontId="0" fillId="0" borderId="0" xfId="0" applyNumberFormat="1" applyFill="1" applyBorder="1" applyAlignment="1">
      <alignment horizontal="center"/>
    </xf>
    <xf numFmtId="1" fontId="0" fillId="0" borderId="0" xfId="0" applyNumberFormat="1" applyFill="1" applyBorder="1" applyAlignment="1">
      <alignment horizontal="center"/>
    </xf>
    <xf numFmtId="169" fontId="0" fillId="0" borderId="0" xfId="0" applyNumberFormat="1" applyFill="1" applyAlignment="1">
      <alignment horizontal="center"/>
    </xf>
    <xf numFmtId="0" fontId="10" fillId="0" borderId="0" xfId="0" applyFont="1"/>
    <xf numFmtId="0" fontId="4" fillId="4" borderId="0" xfId="0" applyFont="1" applyFill="1"/>
    <xf numFmtId="0" fontId="7" fillId="4" borderId="0" xfId="0" applyFont="1" applyFill="1"/>
    <xf numFmtId="0" fontId="7" fillId="0" borderId="2" xfId="0" applyFont="1" applyBorder="1" applyAlignment="1">
      <alignment horizontal="center"/>
    </xf>
    <xf numFmtId="0" fontId="2" fillId="0" borderId="0" xfId="0" applyFont="1" applyAlignment="1">
      <alignment horizontal="center"/>
    </xf>
    <xf numFmtId="0" fontId="0" fillId="0" borderId="0" xfId="0" applyAlignment="1">
      <alignment horizontal="right"/>
    </xf>
    <xf numFmtId="0" fontId="14" fillId="0" borderId="0" xfId="0" applyFont="1"/>
    <xf numFmtId="0" fontId="14" fillId="0" borderId="0" xfId="0" applyFont="1" applyFill="1"/>
    <xf numFmtId="0" fontId="12" fillId="0" borderId="0" xfId="0" applyFont="1"/>
    <xf numFmtId="0" fontId="17" fillId="0" borderId="0" xfId="0" applyFont="1" applyFill="1"/>
    <xf numFmtId="0" fontId="0" fillId="0" borderId="2" xfId="0" applyBorder="1"/>
    <xf numFmtId="0" fontId="18" fillId="0" borderId="0" xfId="0" applyFont="1" applyFill="1"/>
    <xf numFmtId="170" fontId="1" fillId="0" borderId="0" xfId="0" applyNumberFormat="1" applyFont="1" applyFill="1" applyAlignment="1">
      <alignment horizontal="center"/>
    </xf>
    <xf numFmtId="0" fontId="0" fillId="0" borderId="3" xfId="0" applyBorder="1"/>
    <xf numFmtId="0" fontId="15" fillId="0" borderId="0" xfId="0" applyFont="1"/>
    <xf numFmtId="0" fontId="11" fillId="0" borderId="0" xfId="0" applyFont="1"/>
    <xf numFmtId="173" fontId="1" fillId="0" borderId="0" xfId="0" applyNumberFormat="1" applyFont="1" applyFill="1" applyBorder="1" applyAlignment="1">
      <alignment horizontal="center"/>
    </xf>
    <xf numFmtId="172" fontId="1" fillId="0" borderId="0" xfId="0" applyNumberFormat="1" applyFont="1" applyFill="1" applyBorder="1" applyAlignment="1">
      <alignment horizontal="center"/>
    </xf>
    <xf numFmtId="169" fontId="1" fillId="0" borderId="0" xfId="0" applyNumberFormat="1" applyFont="1" applyFill="1" applyBorder="1" applyAlignment="1">
      <alignment horizontal="center"/>
    </xf>
    <xf numFmtId="9" fontId="0" fillId="0" borderId="0" xfId="1" applyFont="1" applyFill="1" applyBorder="1" applyAlignment="1">
      <alignment horizontal="center"/>
    </xf>
    <xf numFmtId="3" fontId="1" fillId="0" borderId="0" xfId="0" applyNumberFormat="1" applyFont="1" applyFill="1" applyAlignment="1">
      <alignment horizontal="center"/>
    </xf>
    <xf numFmtId="0" fontId="18" fillId="0" borderId="0" xfId="0" applyFont="1"/>
    <xf numFmtId="3" fontId="20" fillId="0" borderId="0" xfId="0" applyNumberFormat="1" applyFont="1" applyFill="1"/>
    <xf numFmtId="3" fontId="18" fillId="0" borderId="0" xfId="0" applyNumberFormat="1" applyFont="1" applyFill="1"/>
    <xf numFmtId="0" fontId="11" fillId="0" borderId="0" xfId="0" applyFont="1" applyFill="1"/>
    <xf numFmtId="0" fontId="7" fillId="0" borderId="0" xfId="0" applyFont="1" applyBorder="1"/>
    <xf numFmtId="0" fontId="11" fillId="0" borderId="0" xfId="0" applyFont="1" applyBorder="1"/>
    <xf numFmtId="0" fontId="10" fillId="0" borderId="0" xfId="0" applyFont="1" applyBorder="1"/>
    <xf numFmtId="0" fontId="26" fillId="0" borderId="0" xfId="0" applyFont="1" applyBorder="1"/>
    <xf numFmtId="0" fontId="16" fillId="0" borderId="0" xfId="0" applyFont="1" applyFill="1"/>
    <xf numFmtId="169" fontId="16" fillId="0" borderId="0" xfId="0" applyNumberFormat="1" applyFont="1" applyFill="1" applyAlignment="1">
      <alignment horizontal="center"/>
    </xf>
    <xf numFmtId="0" fontId="10" fillId="0" borderId="0" xfId="0" applyFont="1" applyFill="1"/>
    <xf numFmtId="9" fontId="0" fillId="0" borderId="0" xfId="1" applyFont="1" applyFill="1" applyAlignment="1">
      <alignment horizontal="center"/>
    </xf>
    <xf numFmtId="0" fontId="29" fillId="0" borderId="0" xfId="0" applyFont="1"/>
    <xf numFmtId="169" fontId="1" fillId="0" borderId="0" xfId="0" applyNumberFormat="1" applyFont="1" applyFill="1" applyAlignment="1">
      <alignment horizontal="center"/>
    </xf>
    <xf numFmtId="177" fontId="1" fillId="0" borderId="0" xfId="0" applyNumberFormat="1" applyFont="1" applyFill="1" applyAlignment="1">
      <alignment horizontal="center"/>
    </xf>
    <xf numFmtId="0" fontId="0" fillId="0" borderId="0" xfId="0" applyFill="1" applyAlignment="1">
      <alignment horizontal="right"/>
    </xf>
    <xf numFmtId="0" fontId="10" fillId="2" borderId="0" xfId="0" applyFont="1" applyFill="1" applyAlignment="1">
      <alignment horizontal="center"/>
    </xf>
    <xf numFmtId="0" fontId="10" fillId="2" borderId="0" xfId="0" applyFont="1" applyFill="1" applyBorder="1" applyAlignment="1">
      <alignment horizontal="center"/>
    </xf>
    <xf numFmtId="2" fontId="0" fillId="0" borderId="0" xfId="0" applyNumberFormat="1" applyFill="1" applyBorder="1" applyAlignment="1">
      <alignment horizontal="center"/>
    </xf>
    <xf numFmtId="2" fontId="0" fillId="0" borderId="1" xfId="0" applyNumberFormat="1" applyFill="1" applyBorder="1" applyAlignment="1">
      <alignment horizontal="center"/>
    </xf>
    <xf numFmtId="1" fontId="0" fillId="0" borderId="1" xfId="0" applyNumberFormat="1" applyFill="1" applyBorder="1" applyAlignment="1">
      <alignment horizontal="center"/>
    </xf>
    <xf numFmtId="170" fontId="0" fillId="0" borderId="1" xfId="0" applyNumberFormat="1" applyFill="1" applyBorder="1" applyAlignment="1">
      <alignment horizontal="center"/>
    </xf>
    <xf numFmtId="170" fontId="1" fillId="0" borderId="0" xfId="0" applyNumberFormat="1" applyFont="1" applyFill="1" applyBorder="1" applyAlignment="1">
      <alignment horizontal="center"/>
    </xf>
    <xf numFmtId="170" fontId="11" fillId="0" borderId="0" xfId="0" applyNumberFormat="1" applyFont="1" applyFill="1" applyAlignment="1">
      <alignment horizontal="center"/>
    </xf>
    <xf numFmtId="170" fontId="10" fillId="0" borderId="0" xfId="0" applyNumberFormat="1" applyFont="1" applyFill="1" applyBorder="1" applyAlignment="1">
      <alignment horizontal="center"/>
    </xf>
    <xf numFmtId="0" fontId="11" fillId="2" borderId="0" xfId="0" applyFont="1" applyFill="1" applyBorder="1" applyAlignment="1">
      <alignment horizontal="center"/>
    </xf>
    <xf numFmtId="168" fontId="0" fillId="2" borderId="1" xfId="0" applyNumberFormat="1" applyFill="1" applyBorder="1" applyAlignment="1">
      <alignment horizontal="center"/>
    </xf>
    <xf numFmtId="170" fontId="0" fillId="2" borderId="1" xfId="0" applyNumberFormat="1" applyFill="1" applyBorder="1" applyAlignment="1">
      <alignment horizontal="center"/>
    </xf>
    <xf numFmtId="0" fontId="10" fillId="0" borderId="0" xfId="0" applyFont="1" applyFill="1" applyBorder="1"/>
    <xf numFmtId="0" fontId="21" fillId="0" borderId="1" xfId="0" applyFont="1" applyFill="1" applyBorder="1" applyAlignment="1">
      <alignment horizontal="center"/>
    </xf>
    <xf numFmtId="169" fontId="0" fillId="2" borderId="1" xfId="0" applyNumberFormat="1" applyFill="1" applyBorder="1" applyAlignment="1">
      <alignment horizontal="center"/>
    </xf>
    <xf numFmtId="168" fontId="1" fillId="2" borderId="0" xfId="0" applyNumberFormat="1" applyFont="1" applyFill="1" applyAlignment="1">
      <alignment horizontal="center"/>
    </xf>
    <xf numFmtId="9" fontId="1" fillId="0" borderId="0" xfId="1" applyFont="1" applyFill="1" applyAlignment="1">
      <alignment horizontal="center"/>
    </xf>
    <xf numFmtId="9" fontId="2" fillId="0" borderId="0" xfId="1" applyFill="1" applyAlignment="1">
      <alignment horizontal="center"/>
    </xf>
    <xf numFmtId="179" fontId="6" fillId="0" borderId="0" xfId="0" applyNumberFormat="1" applyFont="1" applyFill="1" applyAlignment="1">
      <alignment horizontal="left"/>
    </xf>
    <xf numFmtId="0" fontId="15" fillId="0" borderId="0" xfId="0" applyFont="1" applyFill="1"/>
    <xf numFmtId="0" fontId="11" fillId="0" borderId="0" xfId="0" applyFont="1" applyAlignment="1">
      <alignment horizontal="right"/>
    </xf>
    <xf numFmtId="183" fontId="0" fillId="0" borderId="0" xfId="0" applyNumberFormat="1" applyBorder="1" applyAlignment="1">
      <alignment horizontal="center"/>
    </xf>
    <xf numFmtId="183" fontId="0" fillId="0" borderId="0" xfId="0" applyNumberFormat="1" applyAlignment="1">
      <alignment horizontal="center"/>
    </xf>
    <xf numFmtId="183" fontId="0" fillId="0" borderId="0" xfId="0" applyNumberFormat="1" applyBorder="1" applyAlignment="1">
      <alignment horizontal="left"/>
    </xf>
    <xf numFmtId="0" fontId="0" fillId="2" borderId="0" xfId="0" applyFill="1" applyBorder="1" applyAlignment="1">
      <alignment horizontal="center"/>
    </xf>
    <xf numFmtId="183" fontId="0" fillId="0" borderId="0" xfId="0" applyNumberFormat="1" applyFill="1" applyAlignment="1">
      <alignment horizontal="center"/>
    </xf>
    <xf numFmtId="1" fontId="0" fillId="0" borderId="0" xfId="0" applyNumberFormat="1" applyFill="1" applyAlignment="1">
      <alignment horizontal="center"/>
    </xf>
    <xf numFmtId="183" fontId="0" fillId="0" borderId="0" xfId="0" applyNumberFormat="1" applyFill="1" applyBorder="1" applyAlignment="1">
      <alignment horizontal="center"/>
    </xf>
    <xf numFmtId="0" fontId="32" fillId="0" borderId="0" xfId="0" applyFont="1" applyFill="1"/>
    <xf numFmtId="0" fontId="8" fillId="0" borderId="0" xfId="0" applyFont="1" applyFill="1" applyBorder="1"/>
    <xf numFmtId="0" fontId="8" fillId="0" borderId="0" xfId="0" applyFont="1" applyFill="1"/>
    <xf numFmtId="0" fontId="2" fillId="0" borderId="0" xfId="0" applyFont="1" applyAlignment="1">
      <alignment horizontal="right"/>
    </xf>
    <xf numFmtId="0" fontId="0" fillId="0" borderId="0" xfId="0" applyAlignment="1">
      <alignment horizontal="left"/>
    </xf>
    <xf numFmtId="3" fontId="0" fillId="0" borderId="0" xfId="0" applyNumberFormat="1" applyBorder="1" applyAlignment="1">
      <alignment horizontal="center"/>
    </xf>
    <xf numFmtId="0" fontId="11" fillId="0" borderId="0" xfId="0" applyFont="1" applyAlignment="1">
      <alignment horizontal="center"/>
    </xf>
    <xf numFmtId="1" fontId="0" fillId="0" borderId="0" xfId="0" applyNumberFormat="1" applyAlignment="1">
      <alignment horizontal="center"/>
    </xf>
    <xf numFmtId="0" fontId="31" fillId="0" borderId="0" xfId="0" applyFont="1" applyFill="1" applyBorder="1"/>
    <xf numFmtId="0" fontId="1" fillId="0" borderId="0" xfId="0" applyFont="1" applyAlignment="1">
      <alignment horizontal="right"/>
    </xf>
    <xf numFmtId="0" fontId="11" fillId="0" borderId="0" xfId="0" applyFont="1" applyFill="1" applyAlignment="1">
      <alignment horizontal="right"/>
    </xf>
    <xf numFmtId="0" fontId="10" fillId="0" borderId="0" xfId="0" applyFont="1" applyAlignment="1">
      <alignment horizontal="left"/>
    </xf>
    <xf numFmtId="194" fontId="4" fillId="4" borderId="0" xfId="0" applyNumberFormat="1" applyFont="1" applyFill="1" applyAlignment="1">
      <alignment horizontal="center"/>
    </xf>
    <xf numFmtId="0" fontId="7" fillId="0" borderId="0" xfId="0" applyFont="1" applyFill="1" applyBorder="1"/>
    <xf numFmtId="0" fontId="10" fillId="0" borderId="0" xfId="0" applyFont="1" applyBorder="1" applyAlignment="1">
      <alignment horizontal="center"/>
    </xf>
    <xf numFmtId="194" fontId="0" fillId="0" borderId="0" xfId="0" applyNumberFormat="1" applyAlignment="1">
      <alignment horizontal="center"/>
    </xf>
    <xf numFmtId="194" fontId="0" fillId="0" borderId="0" xfId="0" applyNumberFormat="1" applyFill="1" applyAlignment="1">
      <alignment horizontal="center"/>
    </xf>
    <xf numFmtId="0" fontId="21" fillId="5" borderId="0" xfId="0" applyFont="1" applyFill="1" applyBorder="1" applyAlignment="1">
      <alignment horizontal="center" vertical="center"/>
    </xf>
    <xf numFmtId="49" fontId="4" fillId="0" borderId="3" xfId="0" applyNumberFormat="1" applyFont="1" applyBorder="1" applyAlignment="1">
      <alignment horizontal="center"/>
    </xf>
    <xf numFmtId="49" fontId="4" fillId="0" borderId="0" xfId="0" applyNumberFormat="1" applyFont="1" applyBorder="1" applyAlignment="1">
      <alignment horizontal="center"/>
    </xf>
    <xf numFmtId="0" fontId="0" fillId="2" borderId="0" xfId="0" applyFill="1"/>
    <xf numFmtId="4" fontId="0" fillId="0" borderId="0" xfId="0" applyNumberFormat="1" applyAlignment="1">
      <alignment horizontal="center"/>
    </xf>
    <xf numFmtId="168" fontId="0" fillId="2" borderId="0" xfId="0" applyNumberFormat="1" applyFill="1" applyBorder="1" applyAlignment="1">
      <alignment horizontal="center"/>
    </xf>
    <xf numFmtId="0" fontId="18" fillId="0" borderId="0" xfId="0" applyFont="1" applyFill="1" applyAlignment="1">
      <alignment horizontal="center"/>
    </xf>
    <xf numFmtId="0" fontId="17" fillId="0" borderId="0" xfId="0" applyFont="1" applyFill="1" applyAlignment="1">
      <alignment horizontal="center"/>
    </xf>
    <xf numFmtId="0" fontId="7" fillId="0" borderId="0" xfId="0" applyFont="1" applyAlignment="1">
      <alignment horizontal="center"/>
    </xf>
    <xf numFmtId="0" fontId="12" fillId="0" borderId="0" xfId="0" applyFont="1" applyAlignment="1">
      <alignment horizontal="center"/>
    </xf>
    <xf numFmtId="3" fontId="0" fillId="0" borderId="0" xfId="0" applyNumberFormat="1" applyFill="1" applyAlignment="1">
      <alignment horizontal="center"/>
    </xf>
    <xf numFmtId="3" fontId="18" fillId="0" borderId="0" xfId="0" applyNumberFormat="1" applyFont="1" applyFill="1" applyAlignment="1">
      <alignment horizontal="center"/>
    </xf>
    <xf numFmtId="3" fontId="0" fillId="2" borderId="0" xfId="0" applyNumberFormat="1" applyFill="1" applyAlignment="1">
      <alignment horizontal="center"/>
    </xf>
    <xf numFmtId="3" fontId="17" fillId="0" borderId="0" xfId="0" applyNumberFormat="1" applyFont="1" applyFill="1" applyAlignment="1">
      <alignment horizontal="center"/>
    </xf>
    <xf numFmtId="3" fontId="7" fillId="0" borderId="0" xfId="0" applyNumberFormat="1" applyFont="1" applyAlignment="1">
      <alignment horizontal="center"/>
    </xf>
    <xf numFmtId="3" fontId="12" fillId="0" borderId="0" xfId="0" applyNumberFormat="1" applyFont="1" applyAlignment="1">
      <alignment horizontal="center"/>
    </xf>
    <xf numFmtId="0" fontId="26" fillId="0" borderId="0" xfId="0" applyFont="1" applyAlignment="1">
      <alignment horizontal="left"/>
    </xf>
    <xf numFmtId="3" fontId="0" fillId="0" borderId="1" xfId="0" applyNumberFormat="1" applyBorder="1" applyAlignment="1">
      <alignment horizontal="center"/>
    </xf>
    <xf numFmtId="4" fontId="0" fillId="0" borderId="0" xfId="0" applyNumberFormat="1" applyBorder="1" applyAlignment="1">
      <alignment horizontal="center"/>
    </xf>
    <xf numFmtId="3" fontId="26" fillId="0" borderId="4" xfId="0" applyNumberFormat="1" applyFont="1" applyBorder="1" applyAlignment="1">
      <alignment horizontal="center"/>
    </xf>
    <xf numFmtId="0" fontId="0" fillId="0" borderId="0" xfId="0" applyFill="1" applyAlignment="1">
      <alignment horizontal="left"/>
    </xf>
    <xf numFmtId="3" fontId="6" fillId="0" borderId="0" xfId="0" applyNumberFormat="1" applyFont="1" applyFill="1" applyAlignment="1">
      <alignment horizontal="center"/>
    </xf>
    <xf numFmtId="9" fontId="1" fillId="0" borderId="0" xfId="1" applyFont="1" applyFill="1" applyBorder="1" applyAlignment="1">
      <alignment horizontal="center"/>
    </xf>
    <xf numFmtId="0" fontId="0" fillId="0" borderId="0" xfId="0" applyFill="1" applyBorder="1" applyAlignment="1">
      <alignment horizontal="right"/>
    </xf>
    <xf numFmtId="3" fontId="1" fillId="0" borderId="0" xfId="0" applyNumberFormat="1" applyFont="1" applyFill="1" applyBorder="1" applyAlignment="1">
      <alignment horizontal="center"/>
    </xf>
    <xf numFmtId="3" fontId="0" fillId="0" borderId="0" xfId="0" applyNumberFormat="1" applyFill="1" applyBorder="1" applyAlignment="1">
      <alignment horizontal="center"/>
    </xf>
    <xf numFmtId="9" fontId="0" fillId="0" borderId="0" xfId="0" applyNumberFormat="1" applyFill="1" applyBorder="1" applyAlignment="1">
      <alignment horizontal="center"/>
    </xf>
    <xf numFmtId="1" fontId="1" fillId="0" borderId="0" xfId="0" applyNumberFormat="1" applyFont="1" applyFill="1" applyBorder="1" applyAlignment="1">
      <alignment horizontal="center"/>
    </xf>
    <xf numFmtId="3" fontId="4" fillId="0" borderId="0" xfId="0" applyNumberFormat="1" applyFont="1" applyFill="1" applyBorder="1" applyAlignment="1">
      <alignment horizontal="center"/>
    </xf>
    <xf numFmtId="170" fontId="0" fillId="0" borderId="3" xfId="0" applyNumberFormat="1" applyFill="1" applyBorder="1" applyAlignment="1">
      <alignment horizontal="center"/>
    </xf>
    <xf numFmtId="170" fontId="2" fillId="0" borderId="1" xfId="0" applyNumberFormat="1" applyFont="1" applyFill="1" applyBorder="1" applyAlignment="1">
      <alignment horizontal="center"/>
    </xf>
    <xf numFmtId="170" fontId="10" fillId="0" borderId="0" xfId="0" applyNumberFormat="1" applyFont="1" applyFill="1" applyAlignment="1">
      <alignment horizontal="center"/>
    </xf>
    <xf numFmtId="9" fontId="2" fillId="0" borderId="0" xfId="1" applyFill="1" applyBorder="1" applyAlignment="1">
      <alignment horizontal="center"/>
    </xf>
    <xf numFmtId="0" fontId="10" fillId="2" borderId="0" xfId="0" applyFont="1" applyFill="1" applyAlignment="1">
      <alignment horizontal="left"/>
    </xf>
    <xf numFmtId="0" fontId="0" fillId="0" borderId="5" xfId="0" applyFill="1" applyBorder="1"/>
    <xf numFmtId="0" fontId="0" fillId="0" borderId="1" xfId="0" applyFill="1" applyBorder="1"/>
    <xf numFmtId="9" fontId="0" fillId="0" borderId="1" xfId="1" applyFont="1" applyFill="1" applyBorder="1" applyAlignment="1">
      <alignment horizontal="center"/>
    </xf>
    <xf numFmtId="1" fontId="1" fillId="0" borderId="0" xfId="0" applyNumberFormat="1" applyFont="1" applyFill="1" applyAlignment="1">
      <alignment horizontal="center"/>
    </xf>
    <xf numFmtId="169" fontId="11" fillId="0" borderId="0" xfId="0" applyNumberFormat="1" applyFont="1" applyFill="1" applyAlignment="1">
      <alignment horizontal="center"/>
    </xf>
    <xf numFmtId="0" fontId="10" fillId="0" borderId="0" xfId="0" applyFont="1" applyFill="1" applyAlignment="1">
      <alignment horizontal="center"/>
    </xf>
    <xf numFmtId="0" fontId="11" fillId="0" borderId="0" xfId="0" applyFont="1" applyFill="1" applyBorder="1"/>
    <xf numFmtId="195" fontId="0" fillId="0" borderId="0" xfId="0" applyNumberFormat="1" applyFill="1" applyAlignment="1">
      <alignment horizontal="center"/>
    </xf>
    <xf numFmtId="190" fontId="0" fillId="0" borderId="0" xfId="0" applyNumberFormat="1" applyFill="1" applyBorder="1" applyAlignment="1">
      <alignment horizontal="center"/>
    </xf>
    <xf numFmtId="189" fontId="0" fillId="0" borderId="0" xfId="0" applyNumberFormat="1" applyFill="1" applyAlignment="1">
      <alignment horizontal="center"/>
    </xf>
    <xf numFmtId="10" fontId="0" fillId="0" borderId="0" xfId="1" applyNumberFormat="1" applyFont="1" applyFill="1" applyAlignment="1">
      <alignment horizontal="center"/>
    </xf>
    <xf numFmtId="170" fontId="11" fillId="0" borderId="1" xfId="0" applyNumberFormat="1" applyFont="1" applyFill="1" applyBorder="1" applyAlignment="1">
      <alignment horizontal="center"/>
    </xf>
    <xf numFmtId="194" fontId="11" fillId="0" borderId="1" xfId="0" applyNumberFormat="1" applyFont="1" applyBorder="1" applyAlignment="1">
      <alignment horizontal="center"/>
    </xf>
    <xf numFmtId="170" fontId="10" fillId="0" borderId="0" xfId="0" applyNumberFormat="1" applyFont="1" applyAlignment="1">
      <alignment horizontal="center"/>
    </xf>
    <xf numFmtId="194" fontId="0" fillId="0" borderId="0" xfId="0" applyNumberFormat="1" applyAlignment="1">
      <alignment horizontal="center" vertical="center"/>
    </xf>
    <xf numFmtId="0" fontId="10" fillId="0" borderId="0" xfId="0" applyFont="1" applyAlignment="1">
      <alignment horizontal="right"/>
    </xf>
    <xf numFmtId="0" fontId="10" fillId="0" borderId="0" xfId="0" applyFont="1" applyBorder="1" applyAlignment="1">
      <alignment horizontal="left"/>
    </xf>
    <xf numFmtId="170" fontId="11" fillId="0" borderId="0" xfId="0" applyNumberFormat="1" applyFont="1" applyFill="1" applyBorder="1" applyAlignment="1">
      <alignment horizontal="center"/>
    </xf>
    <xf numFmtId="194" fontId="11" fillId="0" borderId="0" xfId="0" applyNumberFormat="1" applyFont="1" applyAlignment="1">
      <alignment horizontal="center"/>
    </xf>
    <xf numFmtId="165" fontId="11" fillId="0" borderId="0" xfId="0" applyNumberFormat="1" applyFont="1" applyFill="1" applyBorder="1" applyAlignment="1">
      <alignment horizontal="center"/>
    </xf>
    <xf numFmtId="49" fontId="16" fillId="0" borderId="0" xfId="0" applyNumberFormat="1" applyFont="1" applyFill="1" applyAlignment="1">
      <alignment horizontal="center" vertical="center"/>
    </xf>
    <xf numFmtId="0" fontId="0" fillId="0" borderId="0" xfId="0" applyFill="1" applyAlignment="1">
      <alignment horizontal="center" vertical="center"/>
    </xf>
    <xf numFmtId="0" fontId="21" fillId="5" borderId="0" xfId="0" applyFont="1" applyFill="1" applyBorder="1" applyAlignment="1">
      <alignment horizontal="left" vertical="center"/>
    </xf>
    <xf numFmtId="0" fontId="45" fillId="0" borderId="0" xfId="0" applyFont="1" applyFill="1" applyBorder="1"/>
    <xf numFmtId="0" fontId="32" fillId="5" borderId="0" xfId="0" applyFont="1" applyFill="1" applyBorder="1" applyAlignment="1">
      <alignment horizontal="left" vertical="center"/>
    </xf>
    <xf numFmtId="0" fontId="11" fillId="3" borderId="0" xfId="0" applyFont="1" applyFill="1" applyBorder="1" applyAlignment="1">
      <alignment horizontal="center"/>
    </xf>
    <xf numFmtId="0" fontId="11" fillId="3" borderId="0" xfId="0" applyFont="1" applyFill="1" applyAlignment="1">
      <alignment horizontal="center"/>
    </xf>
    <xf numFmtId="0" fontId="31" fillId="5" borderId="0" xfId="0" applyFont="1" applyFill="1"/>
    <xf numFmtId="49" fontId="6" fillId="0" borderId="0" xfId="0" applyNumberFormat="1" applyFont="1" applyFill="1" applyBorder="1" applyAlignment="1">
      <alignment horizontal="center"/>
    </xf>
    <xf numFmtId="0" fontId="4" fillId="0" borderId="0" xfId="0" applyFont="1" applyFill="1" applyBorder="1"/>
    <xf numFmtId="194" fontId="4" fillId="0" borderId="0" xfId="0" applyNumberFormat="1" applyFont="1" applyFill="1" applyBorder="1" applyAlignment="1">
      <alignment horizontal="center"/>
    </xf>
    <xf numFmtId="9" fontId="2" fillId="0" borderId="0" xfId="1" applyFill="1"/>
    <xf numFmtId="10" fontId="2" fillId="0" borderId="0" xfId="1" applyNumberFormat="1" applyFill="1" applyAlignment="1">
      <alignment horizontal="center"/>
    </xf>
    <xf numFmtId="0" fontId="46" fillId="0" borderId="0" xfId="0" applyFont="1" applyFill="1" applyBorder="1" applyAlignment="1">
      <alignment horizontal="left"/>
    </xf>
    <xf numFmtId="0" fontId="3" fillId="6" borderId="0" xfId="0" applyFont="1" applyFill="1"/>
    <xf numFmtId="0" fontId="0" fillId="6" borderId="0" xfId="0" applyFill="1"/>
    <xf numFmtId="183" fontId="0" fillId="6" borderId="0" xfId="0" applyNumberFormat="1" applyFill="1" applyAlignment="1">
      <alignment horizontal="center"/>
    </xf>
    <xf numFmtId="0" fontId="0" fillId="6" borderId="0" xfId="0" applyFill="1" applyAlignment="1">
      <alignment horizontal="center"/>
    </xf>
    <xf numFmtId="217" fontId="7" fillId="0" borderId="0" xfId="0" applyNumberFormat="1" applyFont="1" applyFill="1" applyAlignment="1">
      <alignment horizontal="left"/>
    </xf>
    <xf numFmtId="9" fontId="7" fillId="0" borderId="0" xfId="1" applyFont="1" applyFill="1" applyAlignment="1">
      <alignment horizontal="center"/>
    </xf>
    <xf numFmtId="0" fontId="7" fillId="0" borderId="0" xfId="0" applyFont="1" applyFill="1" applyBorder="1" applyAlignment="1">
      <alignment horizontal="center"/>
    </xf>
    <xf numFmtId="183" fontId="0" fillId="2" borderId="0" xfId="0" applyNumberFormat="1" applyFill="1" applyAlignment="1">
      <alignment horizontal="center"/>
    </xf>
    <xf numFmtId="49" fontId="0" fillId="0" borderId="0" xfId="0" applyNumberFormat="1" applyAlignment="1">
      <alignment wrapText="1"/>
    </xf>
    <xf numFmtId="183" fontId="11" fillId="2" borderId="0" xfId="0" applyNumberFormat="1" applyFont="1" applyFill="1" applyAlignment="1">
      <alignment horizontal="left"/>
    </xf>
    <xf numFmtId="170" fontId="11" fillId="0" borderId="0" xfId="0" applyNumberFormat="1" applyFont="1" applyFill="1" applyAlignment="1">
      <alignment horizontal="center" vertical="center"/>
    </xf>
    <xf numFmtId="0" fontId="10" fillId="0" borderId="0" xfId="0" applyFont="1" applyAlignment="1">
      <alignment vertical="center"/>
    </xf>
    <xf numFmtId="0" fontId="0" fillId="0" borderId="0" xfId="0" applyAlignment="1">
      <alignment vertical="center"/>
    </xf>
    <xf numFmtId="0" fontId="0" fillId="2" borderId="0" xfId="0" applyFill="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0" fontId="0" fillId="2" borderId="0" xfId="0" applyFill="1" applyAlignment="1">
      <alignment vertical="center"/>
    </xf>
    <xf numFmtId="0" fontId="0" fillId="0" borderId="0" xfId="0" applyFill="1" applyAlignment="1">
      <alignment vertical="center"/>
    </xf>
    <xf numFmtId="0" fontId="10" fillId="0" borderId="0" xfId="0" applyFont="1" applyAlignment="1">
      <alignment vertical="center" wrapText="1"/>
    </xf>
    <xf numFmtId="170" fontId="10" fillId="0" borderId="0" xfId="0" applyNumberFormat="1" applyFont="1" applyFill="1" applyAlignment="1">
      <alignment horizontal="center" vertical="center"/>
    </xf>
    <xf numFmtId="170" fontId="0" fillId="0" borderId="0" xfId="1" applyNumberFormat="1" applyFont="1" applyFill="1"/>
    <xf numFmtId="0" fontId="0" fillId="0" borderId="0" xfId="0" applyAlignment="1">
      <alignment vertical="center" wrapText="1"/>
    </xf>
    <xf numFmtId="0" fontId="19" fillId="0" borderId="0" xfId="0" applyFont="1" applyFill="1" applyAlignment="1">
      <alignment vertical="center" wrapText="1"/>
    </xf>
    <xf numFmtId="176" fontId="10" fillId="7" borderId="0" xfId="1" applyNumberFormat="1" applyFont="1" applyFill="1" applyBorder="1" applyAlignment="1" applyProtection="1">
      <alignment horizontal="center" vertical="center"/>
    </xf>
    <xf numFmtId="176" fontId="11" fillId="7" borderId="0" xfId="1" applyNumberFormat="1" applyFont="1" applyFill="1" applyBorder="1" applyAlignment="1" applyProtection="1">
      <alignment horizontal="center" vertical="center"/>
    </xf>
    <xf numFmtId="176" fontId="11" fillId="0" borderId="0" xfId="1" applyNumberFormat="1" applyFont="1" applyFill="1" applyBorder="1" applyAlignment="1" applyProtection="1">
      <alignment horizontal="center" vertical="center"/>
    </xf>
    <xf numFmtId="0" fontId="19" fillId="7" borderId="0" xfId="0" applyFont="1" applyFill="1" applyAlignment="1">
      <alignment vertical="center"/>
    </xf>
    <xf numFmtId="0" fontId="19" fillId="0" borderId="0" xfId="0" applyFont="1" applyFill="1" applyAlignment="1">
      <alignment vertical="center"/>
    </xf>
    <xf numFmtId="176" fontId="10" fillId="0" borderId="0" xfId="1" applyNumberFormat="1" applyFont="1" applyFill="1" applyBorder="1" applyAlignment="1" applyProtection="1">
      <alignment horizontal="center" vertical="center"/>
    </xf>
    <xf numFmtId="0" fontId="0" fillId="0" borderId="0" xfId="0" applyFill="1" applyAlignment="1">
      <alignment horizontal="left" vertical="center"/>
    </xf>
    <xf numFmtId="194" fontId="0" fillId="0" borderId="0" xfId="0" applyNumberFormat="1" applyFill="1" applyAlignment="1">
      <alignment horizontal="center" vertical="center"/>
    </xf>
    <xf numFmtId="0" fontId="18" fillId="0" borderId="0" xfId="0" applyFont="1" applyFill="1" applyAlignment="1">
      <alignment vertical="center"/>
    </xf>
    <xf numFmtId="204" fontId="16" fillId="0" borderId="0" xfId="0" applyNumberFormat="1" applyFont="1" applyFill="1" applyAlignment="1">
      <alignment horizontal="center" vertical="center"/>
    </xf>
    <xf numFmtId="204" fontId="11" fillId="0" borderId="0" xfId="0" applyNumberFormat="1" applyFont="1" applyFill="1" applyAlignment="1">
      <alignment horizontal="center" vertical="center"/>
    </xf>
    <xf numFmtId="0" fontId="16" fillId="0" borderId="0" xfId="0" applyFont="1" applyFill="1" applyAlignment="1">
      <alignment vertical="center"/>
    </xf>
    <xf numFmtId="0" fontId="10" fillId="0" borderId="0" xfId="0" applyFont="1" applyBorder="1" applyAlignment="1">
      <alignment vertical="center"/>
    </xf>
    <xf numFmtId="49" fontId="6" fillId="0" borderId="0" xfId="0" applyNumberFormat="1" applyFont="1" applyFill="1" applyBorder="1" applyAlignment="1">
      <alignment horizontal="center" vertical="center"/>
    </xf>
    <xf numFmtId="49" fontId="21" fillId="8" borderId="0" xfId="0" applyNumberFormat="1"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50" fillId="0" borderId="0" xfId="0" applyFont="1" applyFill="1" applyAlignment="1">
      <alignment horizontal="right" vertical="center"/>
    </xf>
    <xf numFmtId="176" fontId="0" fillId="0" borderId="0" xfId="0" applyNumberFormat="1" applyFill="1" applyAlignment="1">
      <alignment vertical="center"/>
    </xf>
    <xf numFmtId="0" fontId="10" fillId="0" borderId="0" xfId="0" applyFont="1" applyFill="1" applyAlignment="1">
      <alignment vertical="center"/>
    </xf>
    <xf numFmtId="0" fontId="4" fillId="0" borderId="0" xfId="0" applyFont="1" applyFill="1" applyAlignment="1">
      <alignment horizontal="left" vertical="center" wrapText="1"/>
    </xf>
    <xf numFmtId="176" fontId="4" fillId="0" borderId="0" xfId="1" applyNumberFormat="1" applyFont="1" applyFill="1" applyBorder="1" applyAlignment="1" applyProtection="1">
      <alignment horizontal="center" vertical="center"/>
    </xf>
    <xf numFmtId="49" fontId="7" fillId="0" borderId="0" xfId="0" applyNumberFormat="1" applyFont="1" applyFill="1" applyAlignment="1">
      <alignment horizontal="right" vertical="center" wrapText="1"/>
    </xf>
    <xf numFmtId="176" fontId="7" fillId="0" borderId="0" xfId="1" applyNumberFormat="1" applyFont="1" applyFill="1" applyBorder="1" applyAlignment="1" applyProtection="1">
      <alignment horizontal="center" vertical="center"/>
    </xf>
    <xf numFmtId="198" fontId="7" fillId="0" borderId="0" xfId="0" applyNumberFormat="1" applyFont="1" applyFill="1" applyBorder="1" applyAlignment="1">
      <alignment horizontal="center" vertical="center"/>
    </xf>
    <xf numFmtId="0" fontId="7" fillId="0" borderId="0" xfId="0" applyFont="1" applyFill="1" applyBorder="1" applyAlignment="1">
      <alignment vertical="center" wrapText="1"/>
    </xf>
    <xf numFmtId="0" fontId="4" fillId="0" borderId="0" xfId="0" applyFont="1" applyAlignment="1">
      <alignment horizontal="right" vertical="center"/>
    </xf>
    <xf numFmtId="0" fontId="7" fillId="0" borderId="0" xfId="0" applyFont="1" applyAlignment="1">
      <alignment horizontal="right"/>
    </xf>
    <xf numFmtId="0" fontId="7" fillId="0" borderId="0" xfId="0" applyFont="1" applyFill="1" applyAlignment="1">
      <alignment horizontal="left" vertical="center" wrapText="1"/>
    </xf>
    <xf numFmtId="9" fontId="7" fillId="0" borderId="0" xfId="0" applyNumberFormat="1" applyFont="1" applyFill="1" applyAlignment="1">
      <alignment horizontal="center" vertical="center"/>
    </xf>
    <xf numFmtId="0" fontId="11" fillId="0" borderId="0" xfId="0" applyFont="1" applyFill="1" applyAlignment="1">
      <alignment vertical="center"/>
    </xf>
    <xf numFmtId="194" fontId="10" fillId="0" borderId="0" xfId="0" applyNumberFormat="1" applyFont="1" applyFill="1" applyAlignment="1">
      <alignment horizontal="center" vertical="center" wrapText="1"/>
    </xf>
    <xf numFmtId="0" fontId="11" fillId="0" borderId="3" xfId="0" applyFont="1" applyFill="1" applyBorder="1" applyAlignment="1">
      <alignment vertical="center"/>
    </xf>
    <xf numFmtId="194" fontId="10" fillId="0" borderId="3" xfId="0" applyNumberFormat="1" applyFont="1" applyFill="1" applyBorder="1" applyAlignment="1">
      <alignment horizontal="center" vertical="center" wrapText="1"/>
    </xf>
    <xf numFmtId="49" fontId="4" fillId="0" borderId="0" xfId="0" applyNumberFormat="1" applyFont="1" applyFill="1" applyAlignment="1">
      <alignment horizontal="left" vertical="center" wrapText="1"/>
    </xf>
    <xf numFmtId="9" fontId="16" fillId="0" borderId="0" xfId="1" applyFont="1" applyFill="1" applyBorder="1" applyAlignment="1" applyProtection="1">
      <alignment horizontal="center" vertical="center" wrapText="1"/>
    </xf>
    <xf numFmtId="9" fontId="0" fillId="0" borderId="0" xfId="0" applyNumberFormat="1" applyFill="1" applyAlignment="1">
      <alignment horizontal="center"/>
    </xf>
    <xf numFmtId="2" fontId="4" fillId="0" borderId="0" xfId="0" applyNumberFormat="1" applyFont="1" applyFill="1" applyAlignment="1">
      <alignment horizontal="left" vertical="center"/>
    </xf>
    <xf numFmtId="9" fontId="0" fillId="0" borderId="0" xfId="0" applyNumberFormat="1" applyAlignment="1">
      <alignment horizontal="center"/>
    </xf>
    <xf numFmtId="194" fontId="10" fillId="0" borderId="0" xfId="0" applyNumberFormat="1" applyFont="1" applyFill="1" applyBorder="1" applyAlignment="1">
      <alignment horizontal="center" vertical="center" wrapText="1"/>
    </xf>
    <xf numFmtId="194" fontId="10" fillId="0" borderId="0" xfId="0" applyNumberFormat="1" applyFont="1" applyAlignment="1">
      <alignment horizontal="center" vertical="center"/>
    </xf>
    <xf numFmtId="194" fontId="10" fillId="0" borderId="0" xfId="0" applyNumberFormat="1" applyFont="1" applyAlignment="1">
      <alignment horizontal="center"/>
    </xf>
    <xf numFmtId="194" fontId="10" fillId="0" borderId="3" xfId="0" applyNumberFormat="1" applyFont="1" applyBorder="1" applyAlignment="1">
      <alignment horizontal="center"/>
    </xf>
    <xf numFmtId="170" fontId="10" fillId="0" borderId="0" xfId="1" applyNumberFormat="1" applyFont="1" applyBorder="1" applyAlignment="1">
      <alignment horizontal="center" vertical="center"/>
    </xf>
    <xf numFmtId="9" fontId="11" fillId="0" borderId="0" xfId="0" applyNumberFormat="1" applyFont="1" applyAlignment="1">
      <alignment horizontal="center" vertical="center"/>
    </xf>
    <xf numFmtId="9" fontId="11" fillId="0" borderId="0" xfId="0" applyNumberFormat="1" applyFont="1" applyAlignment="1">
      <alignment horizontal="center"/>
    </xf>
    <xf numFmtId="194" fontId="10" fillId="0" borderId="0" xfId="0" applyNumberFormat="1" applyFont="1" applyBorder="1" applyAlignment="1">
      <alignment horizontal="center"/>
    </xf>
    <xf numFmtId="194" fontId="10" fillId="0" borderId="0" xfId="0" applyNumberFormat="1" applyFont="1" applyBorder="1" applyAlignment="1">
      <alignment horizontal="center" vertical="center"/>
    </xf>
    <xf numFmtId="176" fontId="16" fillId="0" borderId="0" xfId="1" applyNumberFormat="1" applyFont="1" applyFill="1" applyBorder="1" applyAlignment="1" applyProtection="1">
      <alignment horizontal="center" vertical="center" wrapText="1"/>
    </xf>
    <xf numFmtId="194" fontId="10" fillId="0" borderId="3" xfId="0" applyNumberFormat="1" applyFont="1" applyBorder="1" applyAlignment="1">
      <alignment horizontal="center" vertical="center"/>
    </xf>
    <xf numFmtId="176" fontId="11" fillId="0" borderId="0" xfId="1" applyNumberFormat="1" applyFont="1" applyFill="1" applyBorder="1" applyAlignment="1" applyProtection="1">
      <alignment horizontal="center" vertical="center" wrapText="1"/>
    </xf>
    <xf numFmtId="194" fontId="11" fillId="0" borderId="0" xfId="0" applyNumberFormat="1" applyFont="1" applyFill="1" applyAlignment="1">
      <alignment horizontal="center" vertical="center" wrapText="1"/>
    </xf>
    <xf numFmtId="194" fontId="0" fillId="0" borderId="0" xfId="0" applyNumberFormat="1" applyFill="1" applyAlignment="1">
      <alignment horizontal="center" vertical="center" wrapText="1"/>
    </xf>
    <xf numFmtId="2" fontId="4" fillId="0" borderId="0" xfId="0" applyNumberFormat="1" applyFont="1" applyFill="1" applyBorder="1"/>
    <xf numFmtId="0" fontId="10" fillId="0" borderId="3" xfId="0" applyFont="1" applyBorder="1"/>
    <xf numFmtId="9" fontId="0" fillId="0" borderId="0" xfId="1" applyFont="1" applyAlignment="1">
      <alignment horizontal="center"/>
    </xf>
    <xf numFmtId="9" fontId="0" fillId="0" borderId="1" xfId="1" applyFont="1" applyBorder="1" applyAlignment="1">
      <alignment horizontal="center"/>
    </xf>
    <xf numFmtId="0" fontId="0" fillId="0" borderId="1" xfId="0" applyBorder="1" applyAlignment="1">
      <alignment horizontal="right"/>
    </xf>
    <xf numFmtId="49" fontId="7" fillId="0" borderId="0" xfId="0" applyNumberFormat="1" applyFont="1" applyFill="1" applyAlignment="1">
      <alignment horizontal="lef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2" borderId="0" xfId="0" applyFill="1" applyAlignment="1">
      <alignment horizontal="center" vertical="center" wrapText="1"/>
    </xf>
    <xf numFmtId="9" fontId="10" fillId="0" borderId="0" xfId="1" applyFont="1" applyAlignment="1">
      <alignment horizontal="center"/>
    </xf>
    <xf numFmtId="190" fontId="0" fillId="0" borderId="0" xfId="0" applyNumberFormat="1" applyFill="1" applyBorder="1" applyAlignment="1">
      <alignment horizontal="right"/>
    </xf>
    <xf numFmtId="170" fontId="11" fillId="0" borderId="0" xfId="0" applyNumberFormat="1" applyFont="1" applyAlignment="1">
      <alignment horizontal="center" vertical="center"/>
    </xf>
    <xf numFmtId="194" fontId="11" fillId="0" borderId="0" xfId="0" applyNumberFormat="1" applyFont="1" applyAlignment="1">
      <alignment horizontal="center" vertical="center"/>
    </xf>
    <xf numFmtId="0" fontId="11" fillId="0" borderId="0" xfId="0" applyFont="1" applyFill="1" applyBorder="1" applyAlignment="1">
      <alignment vertical="center"/>
    </xf>
    <xf numFmtId="0" fontId="0" fillId="0" borderId="0" xfId="0" applyBorder="1" applyAlignment="1">
      <alignment vertical="center"/>
    </xf>
    <xf numFmtId="0" fontId="7" fillId="0" borderId="0" xfId="0" applyFont="1" applyBorder="1" applyAlignment="1">
      <alignment horizontal="right" vertical="center"/>
    </xf>
    <xf numFmtId="0" fontId="10" fillId="7" borderId="6" xfId="0" applyFont="1" applyFill="1" applyBorder="1"/>
    <xf numFmtId="0" fontId="0" fillId="0" borderId="7" xfId="0" applyBorder="1"/>
    <xf numFmtId="0" fontId="0" fillId="0" borderId="8" xfId="0" applyBorder="1"/>
    <xf numFmtId="226" fontId="0" fillId="0" borderId="0" xfId="0" applyNumberFormat="1" applyBorder="1" applyAlignment="1">
      <alignment horizontal="center"/>
    </xf>
    <xf numFmtId="226" fontId="0" fillId="0" borderId="2" xfId="0" applyNumberFormat="1" applyBorder="1" applyAlignment="1">
      <alignment horizontal="center"/>
    </xf>
    <xf numFmtId="0" fontId="0" fillId="0" borderId="9" xfId="0" applyBorder="1"/>
    <xf numFmtId="0" fontId="10" fillId="7" borderId="9" xfId="0" applyFont="1" applyFill="1" applyBorder="1"/>
    <xf numFmtId="1" fontId="0" fillId="0" borderId="0" xfId="0" applyNumberFormat="1" applyBorder="1" applyAlignment="1">
      <alignment horizontal="center"/>
    </xf>
    <xf numFmtId="1" fontId="0" fillId="0" borderId="2" xfId="0" applyNumberFormat="1" applyBorder="1" applyAlignment="1">
      <alignment horizontal="center"/>
    </xf>
    <xf numFmtId="0" fontId="0" fillId="0" borderId="10" xfId="0" applyBorder="1" applyAlignment="1">
      <alignment horizontal="center"/>
    </xf>
    <xf numFmtId="1" fontId="10" fillId="0" borderId="0" xfId="0" applyNumberFormat="1" applyFont="1" applyBorder="1" applyAlignment="1">
      <alignment horizontal="center"/>
    </xf>
    <xf numFmtId="1" fontId="10" fillId="0" borderId="2" xfId="0" applyNumberFormat="1" applyFont="1" applyBorder="1" applyAlignment="1">
      <alignment horizontal="center"/>
    </xf>
    <xf numFmtId="0" fontId="0" fillId="0" borderId="11" xfId="0" applyBorder="1" applyAlignment="1">
      <alignment vertical="center" wrapText="1"/>
    </xf>
    <xf numFmtId="1" fontId="0" fillId="0" borderId="1" xfId="0" applyNumberFormat="1" applyBorder="1" applyAlignment="1">
      <alignment horizontal="center"/>
    </xf>
    <xf numFmtId="1" fontId="0" fillId="0" borderId="10" xfId="0" applyNumberFormat="1" applyBorder="1" applyAlignment="1">
      <alignment horizontal="center"/>
    </xf>
    <xf numFmtId="0" fontId="4" fillId="0" borderId="0" xfId="0" applyFont="1" applyFill="1" applyAlignment="1">
      <alignment vertical="center"/>
    </xf>
    <xf numFmtId="0" fontId="53" fillId="0" borderId="12" xfId="0" applyFont="1" applyFill="1" applyBorder="1"/>
    <xf numFmtId="0" fontId="53" fillId="0" borderId="5" xfId="0" applyFont="1" applyFill="1" applyBorder="1"/>
    <xf numFmtId="0" fontId="53" fillId="0" borderId="13" xfId="0" applyFont="1" applyBorder="1"/>
    <xf numFmtId="0" fontId="53" fillId="0" borderId="14" xfId="0" applyFont="1" applyFill="1" applyBorder="1" applyAlignment="1">
      <alignment horizontal="center"/>
    </xf>
    <xf numFmtId="0" fontId="53" fillId="0" borderId="15" xfId="0" applyFont="1" applyFill="1" applyBorder="1" applyAlignment="1">
      <alignment horizontal="center"/>
    </xf>
    <xf numFmtId="0" fontId="53" fillId="0" borderId="16" xfId="0" applyFont="1" applyBorder="1" applyAlignment="1">
      <alignment horizontal="right"/>
    </xf>
    <xf numFmtId="9" fontId="22" fillId="0" borderId="17" xfId="1" applyFont="1" applyFill="1" applyBorder="1" applyAlignment="1">
      <alignment horizontal="center"/>
    </xf>
    <xf numFmtId="0" fontId="53" fillId="0" borderId="18" xfId="0" applyFont="1" applyFill="1" applyBorder="1" applyAlignment="1">
      <alignment horizontal="right"/>
    </xf>
    <xf numFmtId="212" fontId="53" fillId="0" borderId="19" xfId="0" applyNumberFormat="1" applyFont="1" applyFill="1" applyBorder="1" applyAlignment="1">
      <alignment horizontal="center"/>
    </xf>
    <xf numFmtId="0" fontId="22" fillId="0" borderId="16" xfId="0" applyFont="1" applyFill="1" applyBorder="1"/>
    <xf numFmtId="0" fontId="53" fillId="0" borderId="2" xfId="0" applyFont="1" applyFill="1" applyBorder="1"/>
    <xf numFmtId="0" fontId="22" fillId="0" borderId="17" xfId="0" applyFont="1" applyFill="1" applyBorder="1"/>
    <xf numFmtId="0" fontId="53" fillId="0" borderId="17" xfId="0" applyFont="1" applyFill="1" applyBorder="1"/>
    <xf numFmtId="0" fontId="22" fillId="0" borderId="18" xfId="0" applyFont="1" applyBorder="1"/>
    <xf numFmtId="0" fontId="53" fillId="0" borderId="0" xfId="0" applyFont="1" applyFill="1" applyBorder="1"/>
    <xf numFmtId="204" fontId="1" fillId="0" borderId="0" xfId="0" applyNumberFormat="1" applyFont="1" applyFill="1" applyAlignment="1">
      <alignment horizontal="center"/>
    </xf>
    <xf numFmtId="0" fontId="11" fillId="0" borderId="0" xfId="0" applyFont="1" applyFill="1" applyAlignment="1">
      <alignment horizontal="center"/>
    </xf>
    <xf numFmtId="0" fontId="11" fillId="0" borderId="0" xfId="0" applyFont="1" applyFill="1" applyBorder="1" applyAlignment="1">
      <alignment horizontal="center"/>
    </xf>
    <xf numFmtId="0" fontId="10" fillId="0" borderId="0" xfId="0" applyFont="1" applyFill="1" applyAlignment="1">
      <alignment horizontal="right"/>
    </xf>
    <xf numFmtId="1" fontId="11" fillId="0" borderId="0" xfId="0" applyNumberFormat="1" applyFont="1" applyFill="1" applyAlignment="1">
      <alignment horizontal="center"/>
    </xf>
    <xf numFmtId="213" fontId="1" fillId="0" borderId="0" xfId="0" applyNumberFormat="1" applyFont="1" applyFill="1" applyAlignment="1">
      <alignment horizontal="center"/>
    </xf>
    <xf numFmtId="213" fontId="0" fillId="0" borderId="0" xfId="0" applyNumberFormat="1" applyFill="1" applyBorder="1" applyAlignment="1">
      <alignment horizontal="center"/>
    </xf>
    <xf numFmtId="183" fontId="10" fillId="2" borderId="0" xfId="0" applyNumberFormat="1" applyFont="1" applyFill="1" applyAlignment="1">
      <alignment horizontal="left"/>
    </xf>
    <xf numFmtId="0" fontId="11" fillId="0" borderId="0" xfId="0" applyFont="1" applyFill="1" applyAlignment="1">
      <alignment vertical="center" wrapText="1"/>
    </xf>
    <xf numFmtId="0" fontId="30" fillId="5" borderId="0" xfId="0" applyFont="1" applyFill="1" applyAlignment="1"/>
    <xf numFmtId="0" fontId="38" fillId="5" borderId="0" xfId="0" applyFont="1" applyFill="1" applyBorder="1"/>
    <xf numFmtId="0" fontId="42" fillId="5" borderId="0" xfId="0" applyFont="1" applyFill="1"/>
    <xf numFmtId="0" fontId="16" fillId="5" borderId="0" xfId="0" applyFont="1" applyFill="1"/>
    <xf numFmtId="0" fontId="31" fillId="5" borderId="0" xfId="0" applyFont="1" applyFill="1" applyBorder="1" applyAlignment="1">
      <alignment horizontal="center" vertical="center"/>
    </xf>
    <xf numFmtId="172" fontId="0" fillId="0" borderId="0" xfId="0" applyNumberFormat="1" applyFill="1" applyAlignment="1">
      <alignment horizontal="center"/>
    </xf>
    <xf numFmtId="183" fontId="11" fillId="0" borderId="0" xfId="0" applyNumberFormat="1" applyFont="1" applyFill="1" applyAlignment="1">
      <alignment horizontal="center"/>
    </xf>
    <xf numFmtId="168" fontId="0" fillId="0" borderId="1" xfId="0" applyNumberFormat="1" applyFill="1" applyBorder="1" applyAlignment="1">
      <alignment horizontal="center"/>
    </xf>
    <xf numFmtId="188" fontId="0" fillId="0" borderId="0" xfId="0" applyNumberFormat="1" applyFill="1" applyAlignment="1">
      <alignment horizontal="center"/>
    </xf>
    <xf numFmtId="0" fontId="4" fillId="6" borderId="0" xfId="0" applyFont="1" applyFill="1"/>
    <xf numFmtId="0" fontId="11" fillId="6" borderId="0" xfId="0" applyFont="1" applyFill="1"/>
    <xf numFmtId="169" fontId="11" fillId="6" borderId="0" xfId="0" applyNumberFormat="1" applyFont="1" applyFill="1" applyAlignment="1">
      <alignment horizontal="center"/>
    </xf>
    <xf numFmtId="170" fontId="4" fillId="6" borderId="20" xfId="0" applyNumberFormat="1" applyFont="1" applyFill="1" applyBorder="1" applyAlignment="1">
      <alignment horizontal="center"/>
    </xf>
    <xf numFmtId="0" fontId="0" fillId="6" borderId="0" xfId="0" applyFill="1" applyAlignment="1">
      <alignment horizontal="left"/>
    </xf>
    <xf numFmtId="0" fontId="21" fillId="6" borderId="0" xfId="0" applyFont="1" applyFill="1" applyBorder="1" applyAlignment="1">
      <alignment horizontal="center" vertical="center"/>
    </xf>
    <xf numFmtId="0" fontId="7" fillId="6" borderId="0" xfId="0" applyFont="1" applyFill="1"/>
    <xf numFmtId="168" fontId="7" fillId="6" borderId="0" xfId="0" applyNumberFormat="1" applyFont="1" applyFill="1" applyAlignment="1">
      <alignment horizontal="center"/>
    </xf>
    <xf numFmtId="169" fontId="7" fillId="6" borderId="0" xfId="0" applyNumberFormat="1" applyFont="1" applyFill="1" applyAlignment="1">
      <alignment horizontal="center"/>
    </xf>
    <xf numFmtId="9" fontId="4" fillId="6" borderId="0" xfId="1" applyFont="1" applyFill="1" applyAlignment="1">
      <alignment horizontal="center"/>
    </xf>
    <xf numFmtId="168" fontId="1" fillId="0" borderId="0" xfId="0" applyNumberFormat="1" applyFont="1" applyFill="1"/>
    <xf numFmtId="0" fontId="6" fillId="0" borderId="0" xfId="0" applyFont="1" applyFill="1"/>
    <xf numFmtId="9" fontId="16" fillId="6" borderId="0" xfId="1" applyFont="1" applyFill="1" applyAlignment="1">
      <alignment horizontal="center"/>
    </xf>
    <xf numFmtId="0" fontId="1" fillId="6" borderId="0" xfId="0" applyFont="1" applyFill="1"/>
    <xf numFmtId="0" fontId="2" fillId="6" borderId="0" xfId="0" applyFont="1" applyFill="1"/>
    <xf numFmtId="0" fontId="1" fillId="6" borderId="0" xfId="0" applyFont="1" applyFill="1" applyAlignment="1">
      <alignment horizontal="center"/>
    </xf>
    <xf numFmtId="169" fontId="1" fillId="6" borderId="0" xfId="0" applyNumberFormat="1" applyFont="1" applyFill="1" applyAlignment="1">
      <alignment horizontal="center"/>
    </xf>
    <xf numFmtId="0" fontId="39" fillId="0" borderId="0" xfId="0" applyFont="1" applyFill="1"/>
    <xf numFmtId="192" fontId="0" fillId="0" borderId="0" xfId="0" applyNumberFormat="1" applyFill="1" applyAlignment="1">
      <alignment horizontal="center"/>
    </xf>
    <xf numFmtId="208" fontId="0" fillId="0" borderId="0" xfId="0" applyNumberFormat="1" applyFill="1" applyAlignment="1">
      <alignment horizontal="center"/>
    </xf>
    <xf numFmtId="1" fontId="0" fillId="0" borderId="0" xfId="0" applyNumberFormat="1" applyFill="1" applyAlignment="1">
      <alignment horizontal="left"/>
    </xf>
    <xf numFmtId="187" fontId="0" fillId="0" borderId="0" xfId="0" applyNumberFormat="1" applyFill="1" applyAlignment="1">
      <alignment horizontal="center"/>
    </xf>
    <xf numFmtId="187" fontId="11" fillId="0" borderId="0" xfId="0" applyNumberFormat="1" applyFont="1" applyFill="1" applyAlignment="1">
      <alignment horizontal="center"/>
    </xf>
    <xf numFmtId="168" fontId="11" fillId="0" borderId="0" xfId="0" applyNumberFormat="1" applyFont="1" applyFill="1" applyAlignment="1">
      <alignment horizontal="center"/>
    </xf>
    <xf numFmtId="49" fontId="2" fillId="0" borderId="0" xfId="0" applyNumberFormat="1" applyFont="1" applyFill="1"/>
    <xf numFmtId="185" fontId="2" fillId="0" borderId="0" xfId="0" applyNumberFormat="1" applyFont="1" applyFill="1" applyAlignment="1">
      <alignment horizontal="left"/>
    </xf>
    <xf numFmtId="185" fontId="10" fillId="0" borderId="0" xfId="0" applyNumberFormat="1" applyFont="1" applyFill="1" applyAlignment="1">
      <alignment horizontal="center"/>
    </xf>
    <xf numFmtId="0" fontId="37" fillId="0" borderId="0" xfId="0" applyFont="1" applyFill="1"/>
    <xf numFmtId="0" fontId="4" fillId="0" borderId="0" xfId="0" applyFont="1" applyFill="1" applyBorder="1" applyAlignment="1">
      <alignment vertical="center"/>
    </xf>
    <xf numFmtId="0" fontId="7" fillId="0" borderId="0" xfId="0" applyFont="1" applyFill="1" applyBorder="1" applyAlignment="1">
      <alignment vertical="center"/>
    </xf>
    <xf numFmtId="0" fontId="29" fillId="0" borderId="0" xfId="0" applyFont="1" applyFill="1" applyAlignment="1">
      <alignment horizontal="right"/>
    </xf>
    <xf numFmtId="0" fontId="11" fillId="3" borderId="0" xfId="0" applyFont="1" applyFill="1" applyBorder="1"/>
    <xf numFmtId="169" fontId="0" fillId="0" borderId="1" xfId="0" applyNumberFormat="1" applyFill="1" applyBorder="1" applyAlignment="1">
      <alignment horizontal="center"/>
    </xf>
    <xf numFmtId="0" fontId="11" fillId="0" borderId="3" xfId="0" applyFont="1" applyFill="1" applyBorder="1"/>
    <xf numFmtId="0" fontId="11" fillId="6" borderId="3" xfId="0" applyFont="1" applyFill="1" applyBorder="1"/>
    <xf numFmtId="0" fontId="4" fillId="6" borderId="0" xfId="0" applyFont="1" applyFill="1" applyBorder="1"/>
    <xf numFmtId="0" fontId="11" fillId="6" borderId="0" xfId="0" applyFont="1" applyFill="1" applyBorder="1"/>
    <xf numFmtId="170" fontId="4" fillId="6" borderId="0" xfId="0" applyNumberFormat="1" applyFont="1" applyFill="1" applyBorder="1" applyAlignment="1">
      <alignment horizontal="center"/>
    </xf>
    <xf numFmtId="1" fontId="11" fillId="0" borderId="0" xfId="0" applyNumberFormat="1" applyFont="1" applyFill="1" applyAlignment="1">
      <alignment horizontal="left"/>
    </xf>
    <xf numFmtId="0" fontId="11" fillId="0" borderId="0" xfId="0" applyFont="1" applyFill="1" applyAlignment="1">
      <alignment horizontal="left"/>
    </xf>
    <xf numFmtId="180" fontId="11" fillId="0" borderId="0" xfId="0" applyNumberFormat="1" applyFont="1" applyFill="1" applyAlignment="1">
      <alignment horizontal="center"/>
    </xf>
    <xf numFmtId="49" fontId="10" fillId="0" borderId="0" xfId="0" applyNumberFormat="1" applyFont="1" applyFill="1" applyAlignment="1">
      <alignment horizontal="left" vertical="center" wrapText="1"/>
    </xf>
    <xf numFmtId="49" fontId="11" fillId="0" borderId="0" xfId="0" applyNumberFormat="1" applyFont="1" applyFill="1" applyAlignment="1">
      <alignment vertical="center" wrapText="1"/>
    </xf>
    <xf numFmtId="175" fontId="11" fillId="0" borderId="0" xfId="0" applyNumberFormat="1" applyFont="1" applyFill="1" applyAlignment="1">
      <alignment horizontal="center" vertical="center"/>
    </xf>
    <xf numFmtId="219" fontId="11" fillId="0" borderId="0" xfId="0" applyNumberFormat="1" applyFont="1" applyFill="1" applyAlignment="1">
      <alignment horizontal="left"/>
    </xf>
    <xf numFmtId="9" fontId="11" fillId="0" borderId="0" xfId="1" applyFont="1" applyFill="1" applyAlignment="1">
      <alignment horizontal="left"/>
    </xf>
    <xf numFmtId="194" fontId="11" fillId="0" borderId="0" xfId="1" applyNumberFormat="1" applyFont="1" applyFill="1" applyAlignment="1">
      <alignment horizontal="center"/>
    </xf>
    <xf numFmtId="213" fontId="0" fillId="0" borderId="0" xfId="0" applyNumberFormat="1" applyFill="1" applyAlignment="1">
      <alignment horizontal="center"/>
    </xf>
    <xf numFmtId="209" fontId="10" fillId="0" borderId="0" xfId="0" applyNumberFormat="1" applyFont="1" applyFill="1" applyAlignment="1">
      <alignment horizontal="center"/>
    </xf>
    <xf numFmtId="168" fontId="0" fillId="6" borderId="0" xfId="0" applyNumberFormat="1" applyFill="1" applyAlignment="1">
      <alignment horizontal="center"/>
    </xf>
    <xf numFmtId="169" fontId="0" fillId="6" borderId="0" xfId="0" applyNumberFormat="1" applyFill="1" applyAlignment="1">
      <alignment horizontal="center"/>
    </xf>
    <xf numFmtId="0" fontId="10" fillId="6" borderId="0" xfId="0" applyFont="1" applyFill="1" applyBorder="1"/>
    <xf numFmtId="0" fontId="11" fillId="6" borderId="0" xfId="0" applyFont="1" applyFill="1" applyAlignment="1">
      <alignment horizontal="center"/>
    </xf>
    <xf numFmtId="168" fontId="11" fillId="6" borderId="0" xfId="0" applyNumberFormat="1" applyFont="1" applyFill="1" applyAlignment="1">
      <alignment horizontal="center"/>
    </xf>
    <xf numFmtId="170" fontId="10" fillId="6" borderId="0" xfId="0" applyNumberFormat="1" applyFont="1" applyFill="1" applyBorder="1" applyAlignment="1">
      <alignment horizontal="center"/>
    </xf>
    <xf numFmtId="0" fontId="10" fillId="6" borderId="0" xfId="0" applyFont="1" applyFill="1"/>
    <xf numFmtId="170" fontId="10" fillId="6" borderId="0" xfId="0" applyNumberFormat="1" applyFont="1" applyFill="1" applyAlignment="1">
      <alignment horizontal="center"/>
    </xf>
    <xf numFmtId="0" fontId="13" fillId="6" borderId="0" xfId="0" applyFont="1" applyFill="1"/>
    <xf numFmtId="0" fontId="7" fillId="0" borderId="0" xfId="0" applyFont="1" applyFill="1" applyAlignment="1">
      <alignment horizontal="center"/>
    </xf>
    <xf numFmtId="168" fontId="7" fillId="0" borderId="0" xfId="0" applyNumberFormat="1" applyFont="1" applyFill="1" applyAlignment="1">
      <alignment horizontal="center"/>
    </xf>
    <xf numFmtId="169" fontId="7" fillId="0" borderId="0" xfId="0" applyNumberFormat="1" applyFont="1" applyFill="1" applyAlignment="1">
      <alignment horizontal="center"/>
    </xf>
    <xf numFmtId="0" fontId="57" fillId="0" borderId="0" xfId="0" applyFont="1" applyFill="1"/>
    <xf numFmtId="0" fontId="57" fillId="0" borderId="0" xfId="0" applyFont="1" applyFill="1" applyAlignment="1">
      <alignment horizontal="center"/>
    </xf>
    <xf numFmtId="168" fontId="57" fillId="0" borderId="0" xfId="0" applyNumberFormat="1" applyFont="1" applyFill="1" applyAlignment="1">
      <alignment horizontal="center"/>
    </xf>
    <xf numFmtId="169" fontId="57" fillId="0" borderId="0" xfId="0" applyNumberFormat="1" applyFont="1" applyFill="1" applyAlignment="1">
      <alignment horizontal="center"/>
    </xf>
    <xf numFmtId="170" fontId="22" fillId="0" borderId="0" xfId="0" applyNumberFormat="1" applyFont="1" applyFill="1" applyBorder="1" applyAlignment="1">
      <alignment horizontal="center"/>
    </xf>
    <xf numFmtId="9" fontId="59" fillId="0" borderId="0" xfId="1" applyFont="1" applyFill="1" applyBorder="1" applyAlignment="1">
      <alignment horizontal="center"/>
    </xf>
    <xf numFmtId="222" fontId="59" fillId="0" borderId="0" xfId="1" applyNumberFormat="1" applyFont="1" applyFill="1" applyBorder="1" applyAlignment="1">
      <alignment horizontal="center"/>
    </xf>
    <xf numFmtId="180" fontId="4" fillId="0" borderId="0" xfId="0" applyNumberFormat="1" applyFont="1" applyFill="1" applyBorder="1" applyAlignment="1">
      <alignment horizontal="center"/>
    </xf>
    <xf numFmtId="0" fontId="11" fillId="0" borderId="1" xfId="0" applyFont="1" applyFill="1" applyBorder="1" applyAlignment="1">
      <alignment horizontal="center"/>
    </xf>
    <xf numFmtId="0" fontId="4" fillId="0" borderId="1" xfId="0" applyFont="1" applyFill="1" applyBorder="1" applyAlignment="1">
      <alignment horizontal="center"/>
    </xf>
    <xf numFmtId="0" fontId="7" fillId="0" borderId="0" xfId="0" applyFont="1" applyFill="1" applyAlignment="1">
      <alignment horizontal="left"/>
    </xf>
    <xf numFmtId="0" fontId="10" fillId="0" borderId="0" xfId="0" applyFont="1" applyFill="1" applyBorder="1" applyAlignment="1"/>
    <xf numFmtId="9" fontId="11" fillId="0" borderId="0" xfId="1" applyFont="1" applyFill="1" applyBorder="1" applyAlignment="1">
      <alignment horizontal="center"/>
    </xf>
    <xf numFmtId="164" fontId="11" fillId="0" borderId="0" xfId="0" applyNumberFormat="1" applyFont="1" applyFill="1" applyBorder="1" applyAlignment="1">
      <alignment horizontal="center"/>
    </xf>
    <xf numFmtId="0" fontId="11" fillId="0" borderId="1" xfId="0" applyFont="1" applyFill="1" applyBorder="1"/>
    <xf numFmtId="0" fontId="10" fillId="0" borderId="1" xfId="0" applyFont="1" applyFill="1" applyBorder="1" applyAlignment="1"/>
    <xf numFmtId="9" fontId="11" fillId="0" borderId="1" xfId="1" applyFont="1" applyFill="1" applyBorder="1" applyAlignment="1">
      <alignment horizontal="center"/>
    </xf>
    <xf numFmtId="164" fontId="11" fillId="0" borderId="1" xfId="0" applyNumberFormat="1" applyFont="1" applyFill="1" applyBorder="1" applyAlignment="1">
      <alignment horizontal="center"/>
    </xf>
    <xf numFmtId="180" fontId="4" fillId="0" borderId="1" xfId="0" applyNumberFormat="1" applyFont="1" applyFill="1" applyBorder="1" applyAlignment="1">
      <alignment horizontal="center"/>
    </xf>
    <xf numFmtId="0" fontId="6" fillId="6" borderId="0" xfId="0" applyFont="1" applyFill="1"/>
    <xf numFmtId="170" fontId="11" fillId="6" borderId="0" xfId="1" applyNumberFormat="1" applyFont="1" applyFill="1"/>
    <xf numFmtId="9" fontId="0" fillId="0" borderId="1" xfId="0" applyNumberFormat="1" applyFill="1" applyBorder="1" applyAlignment="1">
      <alignment horizontal="center"/>
    </xf>
    <xf numFmtId="9" fontId="10" fillId="0" borderId="0" xfId="1" applyFont="1" applyFill="1" applyAlignment="1">
      <alignment horizontal="center"/>
    </xf>
    <xf numFmtId="9" fontId="10" fillId="0" borderId="1" xfId="1" applyFont="1" applyFill="1" applyBorder="1" applyAlignment="1">
      <alignment horizontal="center"/>
    </xf>
    <xf numFmtId="2" fontId="10" fillId="0" borderId="0" xfId="0" applyNumberFormat="1" applyFont="1" applyFill="1"/>
    <xf numFmtId="49" fontId="0" fillId="0" borderId="0" xfId="0" applyNumberFormat="1" applyFill="1"/>
    <xf numFmtId="2" fontId="0" fillId="0" borderId="0" xfId="0" applyNumberFormat="1" applyFill="1"/>
    <xf numFmtId="2" fontId="0" fillId="0" borderId="1" xfId="0" applyNumberFormat="1" applyFill="1" applyBorder="1"/>
    <xf numFmtId="49" fontId="0" fillId="0" borderId="0" xfId="0" applyNumberFormat="1" applyFill="1" applyAlignment="1">
      <alignment vertical="center" wrapText="1"/>
    </xf>
    <xf numFmtId="170" fontId="0" fillId="0" borderId="0" xfId="0" applyNumberFormat="1" applyFill="1" applyAlignment="1">
      <alignment horizontal="center" vertical="center"/>
    </xf>
    <xf numFmtId="194" fontId="0" fillId="0" borderId="1" xfId="0" applyNumberFormat="1" applyFill="1" applyBorder="1" applyAlignment="1">
      <alignment horizontal="center"/>
    </xf>
    <xf numFmtId="0" fontId="10" fillId="0" borderId="0" xfId="0" applyFont="1" applyFill="1" applyAlignment="1">
      <alignment vertical="center" wrapText="1"/>
    </xf>
    <xf numFmtId="191" fontId="0" fillId="0" borderId="0" xfId="0" applyNumberFormat="1" applyFill="1"/>
    <xf numFmtId="0" fontId="60" fillId="0" borderId="0" xfId="0" applyFont="1" applyFill="1"/>
    <xf numFmtId="3" fontId="9" fillId="0" borderId="0" xfId="0" applyNumberFormat="1" applyFont="1" applyFill="1" applyAlignment="1">
      <alignment horizontal="center"/>
    </xf>
    <xf numFmtId="0" fontId="11" fillId="0" borderId="0" xfId="0" applyFont="1" applyFill="1" applyAlignment="1">
      <alignment horizontal="right" vertical="center"/>
    </xf>
    <xf numFmtId="170" fontId="10" fillId="0" borderId="0" xfId="0" applyNumberFormat="1" applyFont="1" applyFill="1" applyBorder="1" applyAlignment="1">
      <alignment horizontal="left" vertical="center"/>
    </xf>
    <xf numFmtId="0" fontId="11"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wrapText="1"/>
    </xf>
    <xf numFmtId="198" fontId="10" fillId="0" borderId="0" xfId="0" applyNumberFormat="1" applyFont="1" applyFill="1" applyBorder="1" applyAlignment="1">
      <alignment horizontal="center"/>
    </xf>
    <xf numFmtId="204" fontId="10" fillId="0" borderId="0" xfId="0" applyNumberFormat="1" applyFont="1" applyFill="1" applyAlignment="1">
      <alignment horizontal="center"/>
    </xf>
    <xf numFmtId="221" fontId="10" fillId="0" borderId="0" xfId="0" applyNumberFormat="1" applyFont="1" applyFill="1" applyAlignment="1">
      <alignment horizontal="center"/>
    </xf>
    <xf numFmtId="176" fontId="10" fillId="0" borderId="0" xfId="1" applyNumberFormat="1" applyFont="1" applyFill="1" applyAlignment="1">
      <alignment horizontal="center"/>
    </xf>
    <xf numFmtId="0" fontId="4" fillId="0" borderId="21" xfId="0" applyFont="1" applyFill="1" applyBorder="1"/>
    <xf numFmtId="0" fontId="0" fillId="0" borderId="12" xfId="0" applyFill="1" applyBorder="1"/>
    <xf numFmtId="186" fontId="10" fillId="0" borderId="0" xfId="0" applyNumberFormat="1" applyFont="1" applyFill="1" applyAlignment="1">
      <alignment horizontal="center"/>
    </xf>
    <xf numFmtId="0" fontId="33" fillId="6" borderId="0" xfId="0" applyFont="1" applyFill="1"/>
    <xf numFmtId="0" fontId="34" fillId="6" borderId="0" xfId="0" applyFont="1" applyFill="1" applyAlignment="1">
      <alignment horizontal="center"/>
    </xf>
    <xf numFmtId="171" fontId="34" fillId="6" borderId="0" xfId="0" applyNumberFormat="1" applyFont="1" applyFill="1"/>
    <xf numFmtId="2" fontId="34" fillId="6" borderId="0" xfId="0" applyNumberFormat="1" applyFont="1" applyFill="1" applyBorder="1"/>
    <xf numFmtId="170" fontId="34" fillId="6" borderId="0" xfId="0" applyNumberFormat="1" applyFont="1" applyFill="1"/>
    <xf numFmtId="168" fontId="34" fillId="6" borderId="0" xfId="0" applyNumberFormat="1" applyFont="1" applyFill="1"/>
    <xf numFmtId="220" fontId="2" fillId="0" borderId="0" xfId="1" applyNumberFormat="1" applyFill="1" applyBorder="1" applyAlignment="1">
      <alignment horizontal="center"/>
    </xf>
    <xf numFmtId="169" fontId="10" fillId="6" borderId="0" xfId="0" applyNumberFormat="1" applyFont="1" applyFill="1" applyAlignment="1">
      <alignment horizontal="center"/>
    </xf>
    <xf numFmtId="3" fontId="10" fillId="6" borderId="0" xfId="0" applyNumberFormat="1" applyFont="1" applyFill="1" applyAlignment="1">
      <alignment horizontal="center"/>
    </xf>
    <xf numFmtId="177" fontId="10" fillId="6" borderId="0" xfId="0" applyNumberFormat="1" applyFont="1" applyFill="1" applyAlignment="1">
      <alignment horizontal="center"/>
    </xf>
    <xf numFmtId="0" fontId="10" fillId="2" borderId="0" xfId="0" applyFont="1" applyFill="1" applyBorder="1"/>
    <xf numFmtId="0" fontId="61" fillId="6" borderId="0" xfId="0" applyFont="1" applyFill="1" applyBorder="1"/>
    <xf numFmtId="183" fontId="62" fillId="6" borderId="0" xfId="0" applyNumberFormat="1" applyFont="1" applyFill="1" applyBorder="1" applyAlignment="1">
      <alignment horizontal="center"/>
    </xf>
    <xf numFmtId="0" fontId="62" fillId="6" borderId="0" xfId="0" applyFont="1" applyFill="1" applyBorder="1" applyAlignment="1">
      <alignment horizontal="center"/>
    </xf>
    <xf numFmtId="183" fontId="11" fillId="0" borderId="0" xfId="0" applyNumberFormat="1" applyFont="1" applyFill="1" applyBorder="1" applyAlignment="1">
      <alignment horizontal="left"/>
    </xf>
    <xf numFmtId="1" fontId="0" fillId="6" borderId="0" xfId="0" applyNumberFormat="1" applyFill="1" applyAlignment="1">
      <alignment horizontal="center"/>
    </xf>
    <xf numFmtId="0" fontId="7" fillId="6" borderId="0" xfId="0" applyFont="1" applyFill="1" applyAlignment="1">
      <alignment horizontal="center"/>
    </xf>
    <xf numFmtId="170" fontId="4" fillId="6" borderId="22" xfId="0" applyNumberFormat="1" applyFont="1" applyFill="1" applyBorder="1" applyAlignment="1">
      <alignment horizontal="center"/>
    </xf>
    <xf numFmtId="0" fontId="21" fillId="8" borderId="0" xfId="0" applyFont="1" applyFill="1" applyBorder="1" applyAlignment="1">
      <alignment horizontal="left" vertical="center"/>
    </xf>
    <xf numFmtId="0" fontId="4" fillId="0" borderId="0" xfId="0" applyFont="1"/>
    <xf numFmtId="0" fontId="11" fillId="2" borderId="0" xfId="0" applyFont="1" applyFill="1" applyAlignment="1">
      <alignment horizontal="center"/>
    </xf>
    <xf numFmtId="169" fontId="11" fillId="2" borderId="0" xfId="0" applyNumberFormat="1" applyFont="1" applyFill="1" applyAlignment="1">
      <alignment horizontal="center"/>
    </xf>
    <xf numFmtId="170" fontId="10" fillId="2" borderId="0" xfId="0" applyNumberFormat="1" applyFont="1" applyFill="1" applyAlignment="1">
      <alignment horizontal="center"/>
    </xf>
    <xf numFmtId="0" fontId="11" fillId="2" borderId="2" xfId="0" applyFont="1" applyFill="1" applyBorder="1" applyAlignment="1">
      <alignment horizontal="center"/>
    </xf>
    <xf numFmtId="2" fontId="11"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2" fontId="11" fillId="0" borderId="1" xfId="0" applyNumberFormat="1" applyFont="1" applyFill="1" applyBorder="1" applyAlignment="1">
      <alignment horizontal="center"/>
    </xf>
    <xf numFmtId="3" fontId="11" fillId="0" borderId="1" xfId="0" applyNumberFormat="1" applyFont="1" applyFill="1" applyBorder="1" applyAlignment="1">
      <alignment horizontal="center"/>
    </xf>
    <xf numFmtId="173" fontId="10" fillId="0" borderId="0" xfId="0" applyNumberFormat="1" applyFont="1" applyFill="1" applyBorder="1" applyAlignment="1">
      <alignment horizontal="center"/>
    </xf>
    <xf numFmtId="169" fontId="10" fillId="0" borderId="0" xfId="0" applyNumberFormat="1" applyFont="1" applyFill="1" applyBorder="1" applyAlignment="1">
      <alignment horizontal="center"/>
    </xf>
    <xf numFmtId="172" fontId="10" fillId="0" borderId="0" xfId="0" applyNumberFormat="1" applyFont="1" applyFill="1" applyBorder="1" applyAlignment="1">
      <alignment horizontal="center"/>
    </xf>
    <xf numFmtId="170" fontId="22" fillId="6" borderId="3" xfId="0" applyNumberFormat="1" applyFont="1" applyFill="1" applyBorder="1" applyAlignment="1">
      <alignment horizontal="center"/>
    </xf>
    <xf numFmtId="170" fontId="11" fillId="2" borderId="0" xfId="0" applyNumberFormat="1" applyFont="1" applyFill="1" applyAlignment="1">
      <alignment horizontal="center"/>
    </xf>
    <xf numFmtId="3" fontId="11" fillId="0" borderId="0" xfId="0" applyNumberFormat="1" applyFont="1" applyAlignment="1">
      <alignment horizontal="center"/>
    </xf>
    <xf numFmtId="169" fontId="11" fillId="0" borderId="0" xfId="0" applyNumberFormat="1" applyFont="1" applyAlignment="1">
      <alignment horizontal="center"/>
    </xf>
    <xf numFmtId="170" fontId="11" fillId="0" borderId="0" xfId="0" applyNumberFormat="1" applyFont="1" applyAlignment="1">
      <alignment horizontal="center"/>
    </xf>
    <xf numFmtId="9" fontId="11" fillId="0" borderId="2" xfId="1" applyFont="1" applyBorder="1" applyAlignment="1">
      <alignment horizontal="center"/>
    </xf>
    <xf numFmtId="169" fontId="11" fillId="0" borderId="0" xfId="0" applyNumberFormat="1" applyFont="1" applyFill="1" applyBorder="1" applyAlignment="1">
      <alignment horizontal="center"/>
    </xf>
    <xf numFmtId="170" fontId="11" fillId="0" borderId="0" xfId="0" applyNumberFormat="1" applyFont="1" applyBorder="1" applyAlignment="1">
      <alignment horizontal="center"/>
    </xf>
    <xf numFmtId="168" fontId="11" fillId="0" borderId="0" xfId="0" applyNumberFormat="1" applyFont="1" applyAlignment="1">
      <alignment horizontal="center"/>
    </xf>
    <xf numFmtId="180" fontId="11" fillId="0" borderId="0" xfId="0" applyNumberFormat="1" applyFont="1" applyFill="1" applyAlignment="1">
      <alignment horizontal="left"/>
    </xf>
    <xf numFmtId="219" fontId="35" fillId="0" borderId="0" xfId="0" applyNumberFormat="1" applyFont="1" applyFill="1" applyAlignment="1">
      <alignment horizontal="left"/>
    </xf>
    <xf numFmtId="0" fontId="10" fillId="6" borderId="0" xfId="0" applyFont="1" applyFill="1" applyAlignment="1">
      <alignment horizontal="center"/>
    </xf>
    <xf numFmtId="170" fontId="10" fillId="6" borderId="20" xfId="0" applyNumberFormat="1" applyFont="1" applyFill="1" applyBorder="1" applyAlignment="1">
      <alignment horizontal="center"/>
    </xf>
    <xf numFmtId="0" fontId="10" fillId="9" borderId="0" xfId="0" applyFont="1" applyFill="1"/>
    <xf numFmtId="192" fontId="11" fillId="0" borderId="0" xfId="0" applyNumberFormat="1" applyFont="1" applyFill="1" applyAlignment="1">
      <alignment horizontal="center"/>
    </xf>
    <xf numFmtId="168" fontId="11" fillId="2" borderId="1" xfId="0" applyNumberFormat="1" applyFont="1" applyFill="1" applyBorder="1" applyAlignment="1">
      <alignment horizontal="center"/>
    </xf>
    <xf numFmtId="169" fontId="11" fillId="2" borderId="1" xfId="0" applyNumberFormat="1" applyFont="1" applyFill="1" applyBorder="1"/>
    <xf numFmtId="170" fontId="11" fillId="2" borderId="1" xfId="0" applyNumberFormat="1" applyFont="1" applyFill="1" applyBorder="1" applyAlignment="1">
      <alignment horizontal="center"/>
    </xf>
    <xf numFmtId="208" fontId="11" fillId="0" borderId="0" xfId="0" applyNumberFormat="1" applyFont="1" applyFill="1" applyAlignment="1">
      <alignment horizontal="center"/>
    </xf>
    <xf numFmtId="190" fontId="11" fillId="0" borderId="0" xfId="0" applyNumberFormat="1" applyFont="1" applyFill="1" applyBorder="1" applyAlignment="1">
      <alignment horizontal="center"/>
    </xf>
    <xf numFmtId="195" fontId="11" fillId="0" borderId="0" xfId="0" applyNumberFormat="1" applyFont="1" applyFill="1" applyAlignment="1">
      <alignment horizontal="center"/>
    </xf>
    <xf numFmtId="168" fontId="11" fillId="0" borderId="0" xfId="0" applyNumberFormat="1" applyFont="1" applyFill="1" applyBorder="1" applyAlignment="1">
      <alignment horizontal="center"/>
    </xf>
    <xf numFmtId="169" fontId="11" fillId="2" borderId="1" xfId="0" applyNumberFormat="1" applyFont="1" applyFill="1" applyBorder="1" applyAlignment="1">
      <alignment horizontal="center"/>
    </xf>
    <xf numFmtId="49" fontId="11" fillId="0" borderId="0" xfId="0" applyNumberFormat="1" applyFont="1" applyFill="1"/>
    <xf numFmtId="2" fontId="11" fillId="0" borderId="0" xfId="0" applyNumberFormat="1" applyFont="1" applyFill="1"/>
    <xf numFmtId="182" fontId="11" fillId="0" borderId="0" xfId="0" applyNumberFormat="1" applyFont="1" applyFill="1" applyAlignment="1">
      <alignment horizontal="center"/>
    </xf>
    <xf numFmtId="185" fontId="11" fillId="0" borderId="0" xfId="0" applyNumberFormat="1" applyFont="1" applyFill="1" applyAlignment="1">
      <alignment horizontal="left"/>
    </xf>
    <xf numFmtId="189" fontId="11" fillId="0" borderId="0" xfId="0" applyNumberFormat="1" applyFont="1" applyFill="1" applyAlignment="1">
      <alignment horizontal="center"/>
    </xf>
    <xf numFmtId="10" fontId="11" fillId="0" borderId="0" xfId="1" applyNumberFormat="1" applyFont="1" applyFill="1" applyAlignment="1">
      <alignment horizontal="center"/>
    </xf>
    <xf numFmtId="170" fontId="39" fillId="0" borderId="0" xfId="0" applyNumberFormat="1" applyFont="1" applyFill="1" applyAlignment="1">
      <alignment horizontal="center"/>
    </xf>
    <xf numFmtId="0" fontId="4" fillId="6" borderId="0" xfId="0" applyFont="1" applyFill="1" applyAlignment="1">
      <alignment horizontal="center"/>
    </xf>
    <xf numFmtId="169" fontId="4" fillId="6" borderId="0" xfId="0" applyNumberFormat="1" applyFont="1" applyFill="1" applyAlignment="1">
      <alignment horizontal="center"/>
    </xf>
    <xf numFmtId="0" fontId="11" fillId="0" borderId="0" xfId="0" applyFont="1" applyBorder="1" applyAlignment="1">
      <alignment horizontal="center"/>
    </xf>
    <xf numFmtId="0" fontId="11" fillId="0" borderId="2" xfId="0" applyFont="1" applyBorder="1" applyAlignment="1">
      <alignment horizontal="center"/>
    </xf>
    <xf numFmtId="194" fontId="11" fillId="0" borderId="1" xfId="0" applyNumberFormat="1" applyFont="1" applyBorder="1"/>
    <xf numFmtId="194" fontId="11" fillId="0" borderId="1" xfId="0" applyNumberFormat="1" applyFont="1" applyFill="1" applyBorder="1"/>
    <xf numFmtId="194" fontId="10" fillId="0" borderId="1" xfId="0" applyNumberFormat="1" applyFont="1" applyBorder="1" applyAlignment="1">
      <alignment horizontal="center"/>
    </xf>
    <xf numFmtId="194" fontId="11" fillId="0" borderId="2" xfId="0" applyNumberFormat="1" applyFont="1" applyBorder="1" applyAlignment="1">
      <alignment horizontal="center"/>
    </xf>
    <xf numFmtId="194" fontId="11" fillId="0" borderId="0" xfId="0" applyNumberFormat="1" applyFont="1" applyBorder="1" applyAlignment="1">
      <alignment horizontal="center"/>
    </xf>
    <xf numFmtId="194" fontId="11" fillId="0" borderId="0" xfId="0" applyNumberFormat="1" applyFont="1"/>
    <xf numFmtId="170" fontId="10" fillId="0" borderId="0" xfId="0" applyNumberFormat="1" applyFont="1" applyBorder="1" applyAlignment="1">
      <alignment horizontal="center"/>
    </xf>
    <xf numFmtId="0" fontId="11" fillId="0" borderId="2" xfId="0" applyFont="1" applyBorder="1"/>
    <xf numFmtId="203" fontId="11" fillId="0" borderId="0" xfId="0" applyNumberFormat="1" applyFont="1" applyFill="1" applyBorder="1" applyAlignment="1">
      <alignment horizontal="center"/>
    </xf>
    <xf numFmtId="170" fontId="10" fillId="0" borderId="0" xfId="0" applyNumberFormat="1" applyFont="1" applyFill="1" applyBorder="1"/>
    <xf numFmtId="167" fontId="11"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1" fillId="0" borderId="0" xfId="0" applyFont="1" applyFill="1" applyBorder="1" applyAlignment="1">
      <alignment horizontal="left"/>
    </xf>
    <xf numFmtId="0" fontId="11" fillId="0" borderId="0" xfId="0" applyFont="1" applyFill="1" applyBorder="1" applyAlignment="1">
      <alignment horizontal="right"/>
    </xf>
    <xf numFmtId="202" fontId="11" fillId="0" borderId="0" xfId="0" applyNumberFormat="1" applyFont="1" applyFill="1" applyBorder="1" applyAlignment="1">
      <alignment horizontal="center"/>
    </xf>
    <xf numFmtId="1" fontId="11" fillId="0" borderId="0" xfId="0" applyNumberFormat="1" applyFont="1" applyAlignment="1">
      <alignment horizontal="center"/>
    </xf>
    <xf numFmtId="173" fontId="11" fillId="0" borderId="0" xfId="0" applyNumberFormat="1" applyFont="1" applyAlignment="1">
      <alignment horizontal="center"/>
    </xf>
    <xf numFmtId="170" fontId="4" fillId="6" borderId="23" xfId="0" applyNumberFormat="1" applyFont="1" applyFill="1" applyBorder="1" applyAlignment="1">
      <alignment horizontal="center"/>
    </xf>
    <xf numFmtId="2" fontId="2" fillId="0" borderId="0" xfId="0" applyNumberFormat="1" applyFont="1" applyFill="1" applyBorder="1" applyAlignment="1">
      <alignment horizontal="center"/>
    </xf>
    <xf numFmtId="1" fontId="2" fillId="0" borderId="0" xfId="0" applyNumberFormat="1" applyFont="1" applyFill="1" applyBorder="1" applyAlignment="1">
      <alignment horizontal="center"/>
    </xf>
    <xf numFmtId="2" fontId="2" fillId="0" borderId="1" xfId="0" applyNumberFormat="1" applyFont="1" applyFill="1" applyBorder="1" applyAlignment="1">
      <alignment horizontal="center"/>
    </xf>
    <xf numFmtId="1" fontId="2" fillId="0" borderId="1" xfId="0" applyNumberFormat="1" applyFont="1" applyFill="1" applyBorder="1" applyAlignment="1">
      <alignment horizontal="center"/>
    </xf>
    <xf numFmtId="9" fontId="22" fillId="0" borderId="0" xfId="1" applyFont="1" applyFill="1" applyBorder="1" applyAlignment="1">
      <alignment horizontal="center"/>
    </xf>
    <xf numFmtId="10" fontId="10" fillId="0" borderId="0" xfId="1" applyNumberFormat="1" applyFont="1" applyFill="1" applyAlignment="1">
      <alignment horizontal="center"/>
    </xf>
    <xf numFmtId="0" fontId="0" fillId="0" borderId="1" xfId="0" applyFill="1" applyBorder="1" applyAlignment="1">
      <alignment horizontal="right"/>
    </xf>
    <xf numFmtId="0" fontId="13" fillId="6" borderId="0" xfId="0" applyFont="1" applyFill="1" applyBorder="1"/>
    <xf numFmtId="180" fontId="4" fillId="6" borderId="0" xfId="0" applyNumberFormat="1" applyFont="1" applyFill="1" applyBorder="1" applyAlignment="1">
      <alignment horizontal="center"/>
    </xf>
    <xf numFmtId="0" fontId="10" fillId="0" borderId="0" xfId="0" applyFont="1" applyFill="1" applyBorder="1" applyAlignment="1">
      <alignment horizontal="left"/>
    </xf>
    <xf numFmtId="0" fontId="10" fillId="0" borderId="1" xfId="0" applyFont="1" applyFill="1" applyBorder="1" applyAlignment="1">
      <alignment horizontal="left"/>
    </xf>
    <xf numFmtId="176" fontId="11" fillId="0" borderId="0" xfId="1" applyNumberFormat="1" applyFont="1" applyFill="1" applyAlignment="1">
      <alignment horizontal="center" vertical="center"/>
    </xf>
    <xf numFmtId="49" fontId="4" fillId="0" borderId="0" xfId="0" applyNumberFormat="1" applyFont="1" applyFill="1" applyAlignment="1">
      <alignment horizontal="right" vertical="center"/>
    </xf>
    <xf numFmtId="49" fontId="4" fillId="0" borderId="0" xfId="0" applyNumberFormat="1" applyFont="1" applyFill="1" applyAlignment="1">
      <alignment vertical="center" wrapText="1"/>
    </xf>
    <xf numFmtId="176" fontId="11" fillId="0" borderId="3" xfId="1" applyNumberFormat="1" applyFont="1" applyFill="1" applyBorder="1" applyAlignment="1" applyProtection="1">
      <alignment horizontal="center" vertical="center" wrapText="1"/>
    </xf>
    <xf numFmtId="9" fontId="11" fillId="0" borderId="0" xfId="1" applyFont="1" applyFill="1" applyBorder="1" applyAlignment="1" applyProtection="1">
      <alignment horizontal="center" vertical="center" wrapText="1"/>
    </xf>
    <xf numFmtId="9" fontId="11" fillId="0" borderId="3" xfId="1" applyFont="1" applyFill="1" applyBorder="1" applyAlignment="1" applyProtection="1">
      <alignment horizontal="center" vertical="center" wrapText="1"/>
    </xf>
    <xf numFmtId="49" fontId="7" fillId="0" borderId="0" xfId="0" applyNumberFormat="1" applyFont="1" applyFill="1" applyBorder="1" applyAlignment="1">
      <alignment vertical="center" wrapText="1"/>
    </xf>
    <xf numFmtId="191" fontId="7" fillId="0" borderId="0" xfId="0" applyNumberFormat="1" applyFont="1" applyFill="1" applyAlignment="1">
      <alignment horizontal="center" vertical="center"/>
    </xf>
    <xf numFmtId="194" fontId="10" fillId="0" borderId="0" xfId="0" applyNumberFormat="1" applyFont="1" applyFill="1" applyAlignment="1">
      <alignment horizontal="center" vertical="center"/>
    </xf>
    <xf numFmtId="196" fontId="4" fillId="0" borderId="0" xfId="0" applyNumberFormat="1" applyFont="1" applyFill="1" applyAlignment="1">
      <alignment horizontal="center" vertical="center"/>
    </xf>
    <xf numFmtId="194" fontId="7" fillId="0" borderId="0" xfId="1" applyNumberFormat="1" applyFont="1" applyFill="1" applyAlignment="1">
      <alignment horizontal="center" vertical="center"/>
    </xf>
    <xf numFmtId="213" fontId="4" fillId="0" borderId="0" xfId="0" applyNumberFormat="1" applyFont="1" applyFill="1" applyBorder="1" applyAlignment="1">
      <alignment horizontal="center" vertical="center"/>
    </xf>
    <xf numFmtId="196" fontId="7" fillId="0" borderId="0" xfId="0" applyNumberFormat="1" applyFont="1" applyFill="1" applyAlignment="1">
      <alignment horizontal="center" vertical="center"/>
    </xf>
    <xf numFmtId="224" fontId="4" fillId="0" borderId="0" xfId="0" applyNumberFormat="1" applyFont="1" applyFill="1" applyBorder="1" applyAlignment="1">
      <alignment horizontal="center" vertical="center"/>
    </xf>
    <xf numFmtId="9" fontId="7" fillId="0" borderId="0" xfId="1" applyFont="1" applyFill="1" applyAlignment="1">
      <alignment horizontal="center" vertical="center"/>
    </xf>
    <xf numFmtId="196" fontId="7" fillId="0" borderId="0" xfId="0" applyNumberFormat="1" applyFont="1" applyFill="1" applyBorder="1" applyAlignment="1">
      <alignment horizontal="center" vertical="center"/>
    </xf>
    <xf numFmtId="0" fontId="10" fillId="0" borderId="0" xfId="0" applyFont="1" applyFill="1" applyBorder="1" applyAlignment="1">
      <alignment horizontal="center"/>
    </xf>
    <xf numFmtId="183" fontId="11" fillId="0" borderId="0" xfId="0" applyNumberFormat="1" applyFont="1" applyFill="1" applyAlignment="1">
      <alignment horizontal="left"/>
    </xf>
    <xf numFmtId="0" fontId="32" fillId="8" borderId="0" xfId="0" applyFont="1" applyFill="1" applyAlignment="1">
      <alignment horizontal="left" vertical="center"/>
    </xf>
    <xf numFmtId="0" fontId="10" fillId="6" borderId="3" xfId="0" applyFont="1" applyFill="1" applyBorder="1"/>
    <xf numFmtId="0" fontId="63" fillId="10" borderId="0" xfId="0" applyFont="1" applyFill="1" applyBorder="1"/>
    <xf numFmtId="0" fontId="11" fillId="10" borderId="0" xfId="0" applyFont="1" applyFill="1" applyBorder="1"/>
    <xf numFmtId="0" fontId="0" fillId="10" borderId="0" xfId="0" applyFill="1" applyBorder="1"/>
    <xf numFmtId="193" fontId="10" fillId="10" borderId="0" xfId="0" applyNumberFormat="1" applyFont="1" applyFill="1" applyBorder="1" applyAlignment="1">
      <alignment horizontal="left"/>
    </xf>
    <xf numFmtId="0" fontId="4" fillId="10" borderId="0" xfId="0" applyFont="1" applyFill="1" applyBorder="1"/>
    <xf numFmtId="0" fontId="4" fillId="10" borderId="0" xfId="0" applyFont="1" applyFill="1" applyBorder="1" applyAlignment="1">
      <alignment horizontal="left"/>
    </xf>
    <xf numFmtId="0" fontId="39" fillId="10" borderId="0" xfId="0" applyFont="1" applyFill="1" applyBorder="1" applyAlignment="1">
      <alignment horizontal="center"/>
    </xf>
    <xf numFmtId="0" fontId="10" fillId="10" borderId="0" xfId="0" applyFont="1" applyFill="1" applyBorder="1"/>
    <xf numFmtId="0" fontId="13" fillId="10" borderId="0" xfId="0" applyFont="1" applyFill="1" applyBorder="1" applyAlignment="1">
      <alignment horizontal="center"/>
    </xf>
    <xf numFmtId="0" fontId="0" fillId="10" borderId="0" xfId="0" applyFill="1" applyAlignment="1">
      <alignment vertical="center"/>
    </xf>
    <xf numFmtId="0" fontId="41" fillId="10" borderId="0" xfId="0" applyFont="1" applyFill="1" applyAlignment="1">
      <alignment horizontal="left"/>
    </xf>
    <xf numFmtId="0" fontId="16" fillId="6" borderId="0" xfId="0" applyFont="1" applyFill="1" applyBorder="1"/>
    <xf numFmtId="0" fontId="63" fillId="10" borderId="0" xfId="0" applyFont="1" applyFill="1" applyBorder="1" applyAlignment="1">
      <alignment horizontal="center"/>
    </xf>
    <xf numFmtId="199" fontId="4" fillId="10" borderId="0" xfId="0" applyNumberFormat="1" applyFont="1" applyFill="1" applyAlignment="1">
      <alignment horizontal="left" vertical="center"/>
    </xf>
    <xf numFmtId="0" fontId="7" fillId="10" borderId="0" xfId="0" applyFont="1" applyFill="1" applyAlignment="1">
      <alignment vertical="center"/>
    </xf>
    <xf numFmtId="0" fontId="4" fillId="10" borderId="0" xfId="0" applyFont="1" applyFill="1" applyAlignment="1">
      <alignment horizontal="left" vertical="center"/>
    </xf>
    <xf numFmtId="0" fontId="63" fillId="10" borderId="0" xfId="0" applyFont="1" applyFill="1" applyAlignment="1">
      <alignment horizontal="center"/>
    </xf>
    <xf numFmtId="0" fontId="6" fillId="10" borderId="0" xfId="0" applyFont="1" applyFill="1" applyBorder="1"/>
    <xf numFmtId="0" fontId="19" fillId="10" borderId="0" xfId="0" applyFont="1" applyFill="1" applyBorder="1" applyAlignment="1">
      <alignment horizontal="right" vertical="center"/>
    </xf>
    <xf numFmtId="0" fontId="18" fillId="10" borderId="0" xfId="0" applyFont="1" applyFill="1" applyAlignment="1">
      <alignment horizontal="right" vertical="center"/>
    </xf>
    <xf numFmtId="0" fontId="19" fillId="10" borderId="0" xfId="0" applyFont="1" applyFill="1" applyAlignment="1">
      <alignment horizontal="right" vertical="center"/>
    </xf>
    <xf numFmtId="0" fontId="6" fillId="7" borderId="0" xfId="0" applyFont="1" applyFill="1" applyAlignment="1">
      <alignment vertical="center" wrapText="1"/>
    </xf>
    <xf numFmtId="49" fontId="6" fillId="7" borderId="0" xfId="0" applyNumberFormat="1" applyFont="1" applyFill="1" applyAlignment="1">
      <alignment vertical="center" wrapText="1"/>
    </xf>
    <xf numFmtId="0" fontId="4" fillId="7" borderId="0" xfId="0" applyFont="1" applyFill="1" applyAlignment="1">
      <alignment vertical="center"/>
    </xf>
    <xf numFmtId="0" fontId="4" fillId="7" borderId="0" xfId="0" applyFont="1" applyFill="1" applyBorder="1" applyAlignment="1">
      <alignment vertical="center" wrapText="1"/>
    </xf>
    <xf numFmtId="198" fontId="4" fillId="7" borderId="0" xfId="0" applyNumberFormat="1" applyFont="1" applyFill="1" applyBorder="1" applyAlignment="1">
      <alignment horizontal="center" vertical="center"/>
    </xf>
    <xf numFmtId="49" fontId="29" fillId="7" borderId="0" xfId="0" applyNumberFormat="1" applyFont="1" applyFill="1" applyAlignment="1">
      <alignment vertical="center" wrapText="1"/>
    </xf>
    <xf numFmtId="49" fontId="4" fillId="7" borderId="0" xfId="0" applyNumberFormat="1" applyFont="1" applyFill="1" applyAlignment="1">
      <alignment vertical="center" wrapText="1"/>
    </xf>
    <xf numFmtId="194" fontId="4" fillId="7" borderId="0" xfId="0" applyNumberFormat="1" applyFont="1" applyFill="1" applyAlignment="1">
      <alignment horizontal="center" vertical="center"/>
    </xf>
    <xf numFmtId="0" fontId="4" fillId="7" borderId="0" xfId="0" applyFont="1" applyFill="1" applyAlignment="1">
      <alignment horizontal="left" wrapText="1"/>
    </xf>
    <xf numFmtId="176" fontId="11" fillId="7" borderId="0" xfId="1" applyNumberFormat="1" applyFont="1" applyFill="1" applyAlignment="1">
      <alignment horizontal="center" vertical="center"/>
    </xf>
    <xf numFmtId="0" fontId="26" fillId="0" borderId="0" xfId="0" applyFont="1" applyFill="1" applyAlignment="1">
      <alignment vertical="center"/>
    </xf>
    <xf numFmtId="225" fontId="4" fillId="7" borderId="0" xfId="0" applyNumberFormat="1" applyFont="1" applyFill="1" applyBorder="1" applyAlignment="1">
      <alignment horizontal="center" vertical="center"/>
    </xf>
    <xf numFmtId="176" fontId="7" fillId="7" borderId="0" xfId="1" applyNumberFormat="1" applyFont="1" applyFill="1" applyBorder="1" applyAlignment="1" applyProtection="1">
      <alignment horizontal="center" vertical="center"/>
    </xf>
    <xf numFmtId="183" fontId="4" fillId="7" borderId="0" xfId="0" applyNumberFormat="1" applyFont="1" applyFill="1" applyAlignment="1">
      <alignment horizontal="center" vertical="center"/>
    </xf>
    <xf numFmtId="49" fontId="63" fillId="7" borderId="0" xfId="0" applyNumberFormat="1" applyFont="1" applyFill="1" applyAlignment="1">
      <alignment vertical="center" wrapText="1"/>
    </xf>
    <xf numFmtId="0" fontId="63" fillId="7" borderId="0" xfId="0" applyFont="1" applyFill="1" applyAlignment="1">
      <alignment vertical="center" wrapText="1"/>
    </xf>
    <xf numFmtId="0" fontId="63" fillId="0" borderId="0" xfId="0" applyFont="1" applyFill="1" applyBorder="1" applyAlignment="1">
      <alignment vertical="center" wrapText="1"/>
    </xf>
    <xf numFmtId="0" fontId="66" fillId="6" borderId="0" xfId="0" applyFont="1" applyFill="1"/>
    <xf numFmtId="0" fontId="0" fillId="0" borderId="9" xfId="0" applyFill="1" applyBorder="1" applyAlignment="1">
      <alignment horizontal="right"/>
    </xf>
    <xf numFmtId="0" fontId="37" fillId="0" borderId="0" xfId="0" applyFont="1" applyFill="1" applyAlignment="1">
      <alignment horizontal="left"/>
    </xf>
    <xf numFmtId="0" fontId="32" fillId="0" borderId="0" xfId="0" applyFont="1" applyFill="1" applyBorder="1" applyAlignment="1">
      <alignment horizontal="left" vertical="center"/>
    </xf>
    <xf numFmtId="0" fontId="69" fillId="6" borderId="0" xfId="0" applyFont="1" applyFill="1"/>
    <xf numFmtId="0" fontId="70" fillId="6" borderId="0" xfId="0" applyFont="1" applyFill="1"/>
    <xf numFmtId="0" fontId="10" fillId="10" borderId="0" xfId="0" applyFont="1" applyFill="1" applyAlignment="1">
      <alignment horizontal="left"/>
    </xf>
    <xf numFmtId="0" fontId="6" fillId="10" borderId="0" xfId="0" applyFont="1" applyFill="1" applyAlignment="1">
      <alignment horizontal="left"/>
    </xf>
    <xf numFmtId="0" fontId="4" fillId="10" borderId="0" xfId="0" applyFont="1" applyFill="1" applyAlignment="1">
      <alignment horizontal="left"/>
    </xf>
    <xf numFmtId="0" fontId="15" fillId="10" borderId="0" xfId="0" applyFont="1" applyFill="1" applyAlignment="1">
      <alignment horizontal="left"/>
    </xf>
    <xf numFmtId="0" fontId="0" fillId="10" borderId="0" xfId="0" applyFill="1" applyAlignment="1">
      <alignment horizontal="left"/>
    </xf>
    <xf numFmtId="0" fontId="0" fillId="10" borderId="0" xfId="0" applyFill="1"/>
    <xf numFmtId="0" fontId="37" fillId="10" borderId="0" xfId="0" applyFont="1" applyFill="1" applyAlignment="1">
      <alignment horizontal="left"/>
    </xf>
    <xf numFmtId="214" fontId="4" fillId="10" borderId="0" xfId="0" applyNumberFormat="1" applyFont="1" applyFill="1" applyAlignment="1">
      <alignment horizontal="left"/>
    </xf>
    <xf numFmtId="0" fontId="6" fillId="10" borderId="0" xfId="0" applyFont="1" applyFill="1" applyAlignment="1">
      <alignment horizontal="center"/>
    </xf>
    <xf numFmtId="0" fontId="10" fillId="10" borderId="0" xfId="0" applyFont="1" applyFill="1"/>
    <xf numFmtId="0" fontId="4" fillId="10" borderId="0" xfId="0" applyFont="1" applyFill="1"/>
    <xf numFmtId="214" fontId="4" fillId="10" borderId="0" xfId="0" applyNumberFormat="1" applyFont="1" applyFill="1" applyAlignment="1">
      <alignment horizontal="center"/>
    </xf>
    <xf numFmtId="0" fontId="37" fillId="10" borderId="0" xfId="0" applyFont="1" applyFill="1"/>
    <xf numFmtId="0" fontId="15" fillId="10" borderId="0" xfId="0" applyFont="1" applyFill="1" applyAlignment="1">
      <alignment horizontal="center"/>
    </xf>
    <xf numFmtId="0" fontId="13" fillId="10" borderId="0" xfId="0" applyFont="1" applyFill="1"/>
    <xf numFmtId="0" fontId="11" fillId="10" borderId="0" xfId="0" applyFont="1" applyFill="1"/>
    <xf numFmtId="0" fontId="41" fillId="10" borderId="0" xfId="0" applyFont="1" applyFill="1" applyAlignment="1">
      <alignment horizontal="center"/>
    </xf>
    <xf numFmtId="0" fontId="51" fillId="10" borderId="0" xfId="0" applyFont="1" applyFill="1"/>
    <xf numFmtId="0" fontId="41" fillId="10" borderId="0" xfId="0" applyFont="1" applyFill="1" applyAlignment="1">
      <alignment horizontal="left" wrapText="1"/>
    </xf>
    <xf numFmtId="0" fontId="13" fillId="10" borderId="0" xfId="0" applyFont="1" applyFill="1" applyAlignment="1">
      <alignment horizontal="center"/>
    </xf>
    <xf numFmtId="0" fontId="4" fillId="10" borderId="0" xfId="0" applyFont="1" applyFill="1" applyAlignment="1">
      <alignment horizontal="center"/>
    </xf>
    <xf numFmtId="0" fontId="11" fillId="10" borderId="0" xfId="0" applyFont="1" applyFill="1" applyAlignment="1">
      <alignment horizontal="center"/>
    </xf>
    <xf numFmtId="169" fontId="11" fillId="10" borderId="0" xfId="0" applyNumberFormat="1" applyFont="1" applyFill="1" applyAlignment="1">
      <alignment horizontal="center"/>
    </xf>
    <xf numFmtId="170" fontId="11" fillId="10" borderId="0" xfId="0" applyNumberFormat="1" applyFont="1" applyFill="1" applyAlignment="1">
      <alignment horizontal="center"/>
    </xf>
    <xf numFmtId="0" fontId="43" fillId="10" borderId="0" xfId="0" applyFont="1" applyFill="1"/>
    <xf numFmtId="193" fontId="4" fillId="10" borderId="0" xfId="0" applyNumberFormat="1" applyFont="1" applyFill="1" applyAlignment="1">
      <alignment horizontal="center"/>
    </xf>
    <xf numFmtId="0" fontId="7" fillId="10" borderId="0" xfId="0" applyFont="1" applyFill="1"/>
    <xf numFmtId="168" fontId="11" fillId="10" borderId="0" xfId="0" applyNumberFormat="1" applyFont="1" applyFill="1" applyAlignment="1">
      <alignment horizontal="center"/>
    </xf>
    <xf numFmtId="193" fontId="37" fillId="10" borderId="0" xfId="0" applyNumberFormat="1" applyFont="1" applyFill="1" applyAlignment="1">
      <alignment horizontal="center"/>
    </xf>
    <xf numFmtId="0" fontId="40" fillId="10" borderId="0" xfId="0" applyFont="1" applyFill="1" applyAlignment="1">
      <alignment horizontal="left"/>
    </xf>
    <xf numFmtId="0" fontId="4" fillId="10" borderId="0" xfId="0" applyFont="1" applyFill="1" applyAlignment="1">
      <alignment vertical="center"/>
    </xf>
    <xf numFmtId="0" fontId="57" fillId="0" borderId="0" xfId="0" applyFont="1"/>
    <xf numFmtId="0" fontId="57" fillId="10" borderId="0" xfId="0" applyFont="1" applyFill="1"/>
    <xf numFmtId="0" fontId="57" fillId="10" borderId="0" xfId="0" applyFont="1" applyFill="1" applyAlignment="1">
      <alignment horizontal="center"/>
    </xf>
    <xf numFmtId="193" fontId="22" fillId="10" borderId="0" xfId="0" applyNumberFormat="1" applyFont="1" applyFill="1" applyAlignment="1">
      <alignment horizontal="center"/>
    </xf>
    <xf numFmtId="193" fontId="37" fillId="10" borderId="0" xfId="0" applyNumberFormat="1" applyFont="1" applyFill="1" applyAlignment="1">
      <alignment horizontal="left"/>
    </xf>
    <xf numFmtId="0" fontId="21" fillId="10" borderId="0" xfId="0" applyFont="1" applyFill="1" applyBorder="1" applyAlignment="1">
      <alignment horizontal="left" vertical="center"/>
    </xf>
    <xf numFmtId="178" fontId="30" fillId="8" borderId="0" xfId="0" applyNumberFormat="1" applyFont="1" applyFill="1" applyAlignment="1">
      <alignment horizontal="left"/>
    </xf>
    <xf numFmtId="0" fontId="31" fillId="8" borderId="0" xfId="0" applyFont="1" applyFill="1"/>
    <xf numFmtId="0" fontId="16" fillId="8" borderId="0" xfId="0" applyFont="1" applyFill="1"/>
    <xf numFmtId="0" fontId="71" fillId="8" borderId="0" xfId="0" applyFont="1" applyFill="1" applyAlignment="1">
      <alignment horizontal="right"/>
    </xf>
    <xf numFmtId="0" fontId="71" fillId="8" borderId="0" xfId="0" applyFont="1" applyFill="1"/>
    <xf numFmtId="0" fontId="32" fillId="8" borderId="0" xfId="0" applyFont="1" applyFill="1" applyBorder="1" applyAlignment="1">
      <alignment horizontal="left" vertical="center"/>
    </xf>
    <xf numFmtId="0" fontId="15" fillId="10" borderId="0" xfId="0" applyFont="1" applyFill="1"/>
    <xf numFmtId="0" fontId="72" fillId="0" borderId="0" xfId="0" applyFont="1"/>
    <xf numFmtId="0" fontId="72" fillId="0" borderId="0" xfId="0" applyFont="1" applyFill="1"/>
    <xf numFmtId="170" fontId="2" fillId="0" borderId="3" xfId="0" applyNumberFormat="1" applyFont="1" applyFill="1" applyBorder="1" applyAlignment="1">
      <alignment horizontal="center"/>
    </xf>
    <xf numFmtId="170" fontId="0" fillId="2" borderId="0" xfId="0" applyNumberFormat="1" applyFill="1" applyBorder="1" applyAlignment="1">
      <alignment horizontal="center"/>
    </xf>
    <xf numFmtId="169" fontId="11" fillId="0" borderId="1" xfId="0" applyNumberFormat="1" applyFont="1" applyFill="1" applyBorder="1" applyAlignment="1">
      <alignment horizontal="center"/>
    </xf>
    <xf numFmtId="9" fontId="10" fillId="0" borderId="2" xfId="1" applyFont="1" applyBorder="1" applyAlignment="1">
      <alignment horizontal="center"/>
    </xf>
    <xf numFmtId="170" fontId="11" fillId="0" borderId="3" xfId="0" applyNumberFormat="1" applyFont="1" applyBorder="1" applyAlignment="1">
      <alignment horizontal="center"/>
    </xf>
    <xf numFmtId="0" fontId="11" fillId="0" borderId="3" xfId="0" applyFont="1" applyBorder="1" applyAlignment="1">
      <alignment horizontal="center"/>
    </xf>
    <xf numFmtId="170" fontId="11" fillId="0" borderId="3" xfId="0" applyNumberFormat="1" applyFont="1" applyFill="1" applyBorder="1" applyAlignment="1">
      <alignment horizontal="center"/>
    </xf>
    <xf numFmtId="168" fontId="11" fillId="0" borderId="3" xfId="0" applyNumberFormat="1" applyFont="1" applyFill="1" applyBorder="1" applyAlignment="1">
      <alignment horizontal="center"/>
    </xf>
    <xf numFmtId="9" fontId="10" fillId="0" borderId="2" xfId="1" applyFont="1" applyFill="1" applyBorder="1" applyAlignment="1">
      <alignment horizontal="center"/>
    </xf>
    <xf numFmtId="0" fontId="10" fillId="0" borderId="11" xfId="0" applyFont="1" applyFill="1" applyBorder="1"/>
    <xf numFmtId="1" fontId="0" fillId="0" borderId="0" xfId="0" applyNumberFormat="1" applyFill="1" applyBorder="1"/>
    <xf numFmtId="183" fontId="11" fillId="0" borderId="0" xfId="0" applyNumberFormat="1" applyFont="1" applyFill="1" applyBorder="1" applyAlignment="1">
      <alignment horizontal="center"/>
    </xf>
    <xf numFmtId="1" fontId="11" fillId="3" borderId="0" xfId="0" applyNumberFormat="1" applyFont="1" applyFill="1" applyBorder="1" applyAlignment="1">
      <alignment horizontal="center"/>
    </xf>
    <xf numFmtId="218" fontId="11" fillId="3" borderId="0" xfId="0" applyNumberFormat="1" applyFont="1" applyFill="1" applyBorder="1" applyAlignment="1">
      <alignment horizontal="center"/>
    </xf>
    <xf numFmtId="169" fontId="11" fillId="3" borderId="0" xfId="0" applyNumberFormat="1" applyFont="1" applyFill="1" applyBorder="1" applyAlignment="1">
      <alignment horizontal="center"/>
    </xf>
    <xf numFmtId="168" fontId="11" fillId="3" borderId="0" xfId="0" applyNumberFormat="1" applyFont="1" applyFill="1" applyBorder="1" applyAlignment="1">
      <alignment horizontal="center"/>
    </xf>
    <xf numFmtId="1" fontId="0" fillId="3" borderId="0" xfId="0" applyNumberFormat="1" applyFill="1" applyBorder="1" applyAlignment="1">
      <alignment horizontal="center"/>
    </xf>
    <xf numFmtId="183" fontId="0" fillId="3" borderId="0" xfId="0" applyNumberFormat="1" applyFill="1" applyBorder="1" applyAlignment="1">
      <alignment horizontal="center"/>
    </xf>
    <xf numFmtId="49" fontId="2" fillId="0" borderId="0" xfId="0" applyNumberFormat="1" applyFont="1" applyFill="1" applyBorder="1"/>
    <xf numFmtId="9" fontId="11" fillId="0" borderId="2" xfId="1" applyFont="1" applyFill="1" applyBorder="1" applyAlignment="1">
      <alignment horizontal="center"/>
    </xf>
    <xf numFmtId="168" fontId="11" fillId="3" borderId="0" xfId="0" applyNumberFormat="1" applyFont="1" applyFill="1" applyAlignment="1">
      <alignment horizontal="center"/>
    </xf>
    <xf numFmtId="168" fontId="72" fillId="0" borderId="0" xfId="0" applyNumberFormat="1" applyFont="1" applyFill="1"/>
    <xf numFmtId="0" fontId="26" fillId="0" borderId="0" xfId="0" applyFont="1" applyFill="1"/>
    <xf numFmtId="0" fontId="26" fillId="0" borderId="0" xfId="0" applyFont="1" applyFill="1" applyAlignment="1">
      <alignment horizontal="left"/>
    </xf>
    <xf numFmtId="0" fontId="26" fillId="0" borderId="0" xfId="0" applyFont="1" applyAlignment="1">
      <alignment horizontal="center"/>
    </xf>
    <xf numFmtId="0" fontId="53" fillId="0" borderId="17" xfId="0" applyFont="1" applyFill="1" applyBorder="1" applyAlignment="1">
      <alignment horizontal="center"/>
    </xf>
    <xf numFmtId="216" fontId="22" fillId="0" borderId="24" xfId="0" applyNumberFormat="1" applyFont="1" applyFill="1" applyBorder="1" applyAlignment="1">
      <alignment horizontal="center"/>
    </xf>
    <xf numFmtId="0" fontId="53" fillId="0" borderId="19" xfId="0" applyFont="1" applyFill="1" applyBorder="1"/>
    <xf numFmtId="0" fontId="55" fillId="0" borderId="0" xfId="0" applyFont="1" applyFill="1" applyBorder="1"/>
    <xf numFmtId="183" fontId="55" fillId="0" borderId="0" xfId="0" applyNumberFormat="1" applyFont="1" applyFill="1" applyBorder="1"/>
    <xf numFmtId="0" fontId="0" fillId="0" borderId="0" xfId="0" applyBorder="1" applyAlignment="1">
      <alignment horizontal="left" wrapText="1"/>
    </xf>
    <xf numFmtId="4" fontId="0" fillId="0" borderId="0" xfId="0" applyNumberFormat="1" applyFill="1" applyBorder="1" applyAlignment="1">
      <alignment horizontal="center"/>
    </xf>
    <xf numFmtId="168" fontId="0" fillId="0" borderId="0" xfId="0" applyNumberFormat="1" applyBorder="1" applyAlignment="1">
      <alignment horizontal="center"/>
    </xf>
    <xf numFmtId="210" fontId="0" fillId="0" borderId="0" xfId="0" applyNumberFormat="1" applyFill="1" applyBorder="1" applyAlignment="1">
      <alignment horizontal="center"/>
    </xf>
    <xf numFmtId="218" fontId="11" fillId="0" borderId="0" xfId="0" applyNumberFormat="1" applyFont="1" applyFill="1" applyBorder="1" applyAlignment="1">
      <alignment horizontal="center"/>
    </xf>
    <xf numFmtId="49" fontId="0" fillId="0" borderId="0" xfId="0" applyNumberFormat="1" applyFill="1" applyAlignment="1">
      <alignment wrapText="1"/>
    </xf>
    <xf numFmtId="0" fontId="11" fillId="10" borderId="0" xfId="0" applyFont="1" applyFill="1" applyBorder="1" applyAlignment="1">
      <alignment horizontal="left" vertical="center" wrapText="1"/>
    </xf>
    <xf numFmtId="0" fontId="11" fillId="10" borderId="0" xfId="0" applyFont="1" applyFill="1" applyAlignment="1">
      <alignment vertical="center" wrapText="1"/>
    </xf>
    <xf numFmtId="0" fontId="53" fillId="3" borderId="0" xfId="0" applyFont="1" applyFill="1" applyAlignment="1">
      <alignment horizontal="left"/>
    </xf>
    <xf numFmtId="3" fontId="53" fillId="3" borderId="0" xfId="0" applyNumberFormat="1" applyFont="1" applyFill="1" applyAlignment="1">
      <alignment horizontal="left"/>
    </xf>
    <xf numFmtId="217" fontId="7" fillId="3" borderId="0" xfId="0" applyNumberFormat="1" applyFont="1" applyFill="1" applyAlignment="1">
      <alignment horizontal="left"/>
    </xf>
    <xf numFmtId="0" fontId="53" fillId="3" borderId="0" xfId="0" applyFont="1" applyFill="1"/>
    <xf numFmtId="183" fontId="53" fillId="3" borderId="0" xfId="0" applyNumberFormat="1" applyFont="1" applyFill="1" applyAlignment="1">
      <alignment horizontal="center"/>
    </xf>
    <xf numFmtId="3" fontId="4" fillId="3" borderId="0" xfId="0" applyNumberFormat="1" applyFont="1" applyFill="1" applyAlignment="1">
      <alignment horizontal="center"/>
    </xf>
    <xf numFmtId="0" fontId="0" fillId="3" borderId="0" xfId="0" applyFill="1" applyBorder="1"/>
    <xf numFmtId="0" fontId="0" fillId="3" borderId="0" xfId="0" applyFill="1" applyBorder="1" applyAlignment="1">
      <alignment horizontal="right"/>
    </xf>
    <xf numFmtId="0" fontId="7" fillId="3" borderId="0" xfId="0" applyFont="1" applyFill="1" applyBorder="1" applyAlignment="1">
      <alignment horizontal="right"/>
    </xf>
    <xf numFmtId="9" fontId="7" fillId="3" borderId="0" xfId="1" applyFont="1" applyFill="1" applyAlignment="1">
      <alignment horizontal="center"/>
    </xf>
    <xf numFmtId="0" fontId="7" fillId="3" borderId="0" xfId="0" applyFont="1" applyFill="1" applyBorder="1" applyAlignment="1">
      <alignment horizontal="center"/>
    </xf>
    <xf numFmtId="9" fontId="0" fillId="3" borderId="0" xfId="1" applyFont="1" applyFill="1"/>
    <xf numFmtId="0" fontId="1" fillId="3" borderId="0" xfId="0" applyFont="1" applyFill="1" applyBorder="1"/>
    <xf numFmtId="169" fontId="0" fillId="3" borderId="0" xfId="0" applyNumberFormat="1" applyFill="1" applyBorder="1" applyAlignment="1">
      <alignment horizontal="center"/>
    </xf>
    <xf numFmtId="9" fontId="0" fillId="3" borderId="0" xfId="1" applyFont="1" applyFill="1" applyBorder="1" applyAlignment="1">
      <alignment horizontal="center"/>
    </xf>
    <xf numFmtId="213" fontId="0" fillId="3" borderId="0" xfId="0" applyNumberFormat="1" applyFill="1" applyBorder="1" applyAlignment="1">
      <alignment horizontal="center"/>
    </xf>
    <xf numFmtId="3" fontId="0" fillId="3" borderId="0" xfId="0" applyNumberFormat="1" applyFill="1" applyAlignment="1">
      <alignment horizontal="center"/>
    </xf>
    <xf numFmtId="188" fontId="53" fillId="3" borderId="2" xfId="0" applyNumberFormat="1" applyFont="1" applyFill="1" applyBorder="1" applyAlignment="1">
      <alignment horizontal="center"/>
    </xf>
    <xf numFmtId="188" fontId="53" fillId="3" borderId="25" xfId="0" applyNumberFormat="1" applyFont="1" applyFill="1" applyBorder="1" applyAlignment="1">
      <alignment horizontal="center"/>
    </xf>
    <xf numFmtId="212" fontId="22" fillId="0" borderId="24" xfId="0" applyNumberFormat="1" applyFont="1" applyFill="1" applyBorder="1" applyAlignment="1">
      <alignment horizontal="center"/>
    </xf>
    <xf numFmtId="212" fontId="22" fillId="0" borderId="26" xfId="0" applyNumberFormat="1" applyFont="1" applyFill="1" applyBorder="1" applyAlignment="1">
      <alignment horizontal="center"/>
    </xf>
    <xf numFmtId="1" fontId="22" fillId="0" borderId="25" xfId="0" applyNumberFormat="1" applyFont="1" applyFill="1" applyBorder="1" applyAlignment="1">
      <alignment horizontal="center"/>
    </xf>
    <xf numFmtId="3" fontId="22" fillId="0" borderId="26" xfId="0" applyNumberFormat="1" applyFont="1" applyFill="1" applyBorder="1" applyAlignment="1">
      <alignment horizontal="center"/>
    </xf>
    <xf numFmtId="200" fontId="22" fillId="3" borderId="25" xfId="0" applyNumberFormat="1" applyFont="1" applyFill="1" applyBorder="1" applyAlignment="1">
      <alignment horizontal="center"/>
    </xf>
    <xf numFmtId="0" fontId="54" fillId="0" borderId="0" xfId="0" applyFont="1" applyFill="1" applyBorder="1"/>
    <xf numFmtId="176" fontId="54" fillId="3" borderId="0" xfId="1" applyNumberFormat="1" applyFont="1" applyFill="1" applyBorder="1" applyAlignment="1">
      <alignment horizontal="center"/>
    </xf>
    <xf numFmtId="2" fontId="55" fillId="3" borderId="0" xfId="0" applyNumberFormat="1" applyFont="1" applyFill="1" applyBorder="1" applyAlignment="1">
      <alignment horizontal="center"/>
    </xf>
    <xf numFmtId="0" fontId="55" fillId="0" borderId="0" xfId="0" applyFont="1" applyBorder="1"/>
    <xf numFmtId="215" fontId="54" fillId="3" borderId="0" xfId="0" applyNumberFormat="1" applyFont="1" applyFill="1" applyBorder="1" applyAlignment="1">
      <alignment horizontal="center"/>
    </xf>
    <xf numFmtId="168" fontId="0" fillId="3" borderId="0" xfId="0" applyNumberFormat="1" applyFill="1" applyBorder="1" applyAlignment="1">
      <alignment horizontal="center"/>
    </xf>
    <xf numFmtId="206" fontId="35" fillId="3" borderId="0" xfId="0" applyNumberFormat="1" applyFont="1" applyFill="1" applyBorder="1" applyAlignment="1">
      <alignment horizontal="center"/>
    </xf>
    <xf numFmtId="1" fontId="0" fillId="3" borderId="0" xfId="0" applyNumberFormat="1" applyFill="1" applyAlignment="1">
      <alignment horizontal="center"/>
    </xf>
    <xf numFmtId="1" fontId="0" fillId="3" borderId="1" xfId="0" applyNumberFormat="1" applyFill="1" applyBorder="1" applyAlignment="1">
      <alignment horizontal="center"/>
    </xf>
    <xf numFmtId="0" fontId="0" fillId="3" borderId="0" xfId="0" applyFill="1" applyAlignment="1">
      <alignment horizontal="center"/>
    </xf>
    <xf numFmtId="218" fontId="0" fillId="3" borderId="0" xfId="0" applyNumberFormat="1" applyFill="1" applyAlignment="1">
      <alignment horizontal="center"/>
    </xf>
    <xf numFmtId="0" fontId="21" fillId="0" borderId="0" xfId="0" applyFont="1" applyFill="1" applyBorder="1" applyAlignment="1">
      <alignment horizontal="left" vertical="center"/>
    </xf>
    <xf numFmtId="180" fontId="10" fillId="3" borderId="0" xfId="0" applyNumberFormat="1" applyFont="1" applyFill="1" applyBorder="1" applyAlignment="1">
      <alignment horizontal="center"/>
    </xf>
    <xf numFmtId="180" fontId="0" fillId="3" borderId="0" xfId="0" applyNumberFormat="1" applyFill="1" applyBorder="1" applyAlignment="1">
      <alignment horizontal="center"/>
    </xf>
    <xf numFmtId="181" fontId="0" fillId="3" borderId="0" xfId="0" applyNumberFormat="1" applyFill="1" applyBorder="1" applyAlignment="1">
      <alignment horizontal="center"/>
    </xf>
    <xf numFmtId="1" fontId="10" fillId="3" borderId="0" xfId="0" applyNumberFormat="1" applyFont="1" applyFill="1" applyAlignment="1">
      <alignment horizontal="center"/>
    </xf>
    <xf numFmtId="3" fontId="10" fillId="3" borderId="0" xfId="0" applyNumberFormat="1" applyFont="1" applyFill="1" applyAlignment="1">
      <alignment horizontal="center"/>
    </xf>
    <xf numFmtId="0" fontId="10" fillId="3" borderId="0" xfId="0" applyFont="1" applyFill="1" applyAlignment="1">
      <alignment horizontal="center"/>
    </xf>
    <xf numFmtId="1" fontId="1" fillId="3" borderId="0" xfId="0" applyNumberFormat="1" applyFont="1" applyFill="1" applyAlignment="1">
      <alignment horizontal="center"/>
    </xf>
    <xf numFmtId="183" fontId="22" fillId="0" borderId="0" xfId="0" applyNumberFormat="1" applyFont="1" applyFill="1" applyBorder="1" applyAlignment="1">
      <alignment horizontal="center"/>
    </xf>
    <xf numFmtId="0" fontId="53" fillId="0" borderId="0" xfId="0" applyFont="1" applyFill="1" applyBorder="1" applyAlignment="1">
      <alignment horizontal="center"/>
    </xf>
    <xf numFmtId="199" fontId="53" fillId="3" borderId="0" xfId="0" applyNumberFormat="1" applyFont="1" applyFill="1" applyBorder="1" applyAlignment="1">
      <alignment horizontal="center"/>
    </xf>
    <xf numFmtId="199" fontId="53" fillId="0" borderId="0" xfId="0" applyNumberFormat="1" applyFont="1" applyFill="1" applyBorder="1" applyAlignment="1">
      <alignment horizontal="center"/>
    </xf>
    <xf numFmtId="0" fontId="22" fillId="0" borderId="0" xfId="0" applyFont="1" applyFill="1" applyBorder="1"/>
    <xf numFmtId="199" fontId="22" fillId="0" borderId="0" xfId="0" applyNumberFormat="1" applyFont="1" applyFill="1" applyBorder="1" applyAlignment="1">
      <alignment horizontal="center"/>
    </xf>
    <xf numFmtId="166" fontId="54" fillId="3" borderId="0" xfId="0" applyNumberFormat="1" applyFont="1" applyFill="1" applyBorder="1" applyAlignment="1">
      <alignment horizontal="center"/>
    </xf>
    <xf numFmtId="183" fontId="54" fillId="3" borderId="0" xfId="0" applyNumberFormat="1" applyFont="1" applyFill="1" applyBorder="1" applyAlignment="1">
      <alignment horizontal="center"/>
    </xf>
    <xf numFmtId="0" fontId="55" fillId="0" borderId="0" xfId="0" applyFont="1" applyFill="1" applyBorder="1" applyAlignment="1">
      <alignment horizontal="left"/>
    </xf>
    <xf numFmtId="9" fontId="54" fillId="3" borderId="0" xfId="1" applyFont="1" applyFill="1" applyBorder="1" applyAlignment="1">
      <alignment horizontal="center"/>
    </xf>
    <xf numFmtId="9" fontId="54" fillId="0" borderId="0" xfId="1" applyFont="1" applyFill="1" applyBorder="1" applyAlignment="1">
      <alignment horizontal="left"/>
    </xf>
    <xf numFmtId="0" fontId="55" fillId="0" borderId="0" xfId="0" applyFont="1" applyFill="1" applyBorder="1" applyAlignment="1">
      <alignment horizontal="center"/>
    </xf>
    <xf numFmtId="0" fontId="72" fillId="0" borderId="0" xfId="0" applyFont="1" applyFill="1" applyBorder="1"/>
    <xf numFmtId="211" fontId="55" fillId="3" borderId="0" xfId="0" applyNumberFormat="1" applyFont="1" applyFill="1" applyBorder="1" applyAlignment="1">
      <alignment horizontal="center"/>
    </xf>
    <xf numFmtId="194" fontId="10" fillId="3" borderId="0" xfId="0" applyNumberFormat="1" applyFont="1" applyFill="1" applyBorder="1" applyAlignment="1">
      <alignment horizontal="center"/>
    </xf>
    <xf numFmtId="0" fontId="55" fillId="0" borderId="0" xfId="0" applyFont="1" applyBorder="1" applyAlignment="1">
      <alignment horizontal="center"/>
    </xf>
    <xf numFmtId="0" fontId="54" fillId="0" borderId="0" xfId="0" applyFont="1" applyBorder="1"/>
    <xf numFmtId="186" fontId="54" fillId="0" borderId="0" xfId="0" applyNumberFormat="1" applyFont="1" applyFill="1" applyBorder="1" applyAlignment="1">
      <alignment horizontal="center"/>
    </xf>
    <xf numFmtId="183" fontId="54" fillId="3" borderId="3" xfId="0" applyNumberFormat="1" applyFont="1" applyFill="1" applyBorder="1" applyAlignment="1">
      <alignment horizontal="center"/>
    </xf>
    <xf numFmtId="0" fontId="0" fillId="0" borderId="0" xfId="0" applyFill="1" applyBorder="1" applyAlignment="1">
      <alignment horizontal="left"/>
    </xf>
    <xf numFmtId="9" fontId="10" fillId="0" borderId="0" xfId="1" applyFont="1" applyFill="1" applyBorder="1" applyAlignment="1">
      <alignment horizontal="center"/>
    </xf>
    <xf numFmtId="9" fontId="10" fillId="0" borderId="0" xfId="1" applyFont="1" applyFill="1" applyBorder="1" applyAlignment="1">
      <alignment horizontal="left"/>
    </xf>
    <xf numFmtId="0" fontId="10" fillId="0" borderId="0" xfId="0" applyFont="1" applyFill="1" applyBorder="1" applyAlignment="1">
      <alignment horizontal="right"/>
    </xf>
    <xf numFmtId="183" fontId="10" fillId="2" borderId="0" xfId="0" applyNumberFormat="1" applyFont="1" applyFill="1" applyBorder="1" applyAlignment="1">
      <alignment horizontal="left"/>
    </xf>
    <xf numFmtId="0" fontId="0" fillId="0" borderId="0" xfId="0" applyBorder="1" applyAlignment="1">
      <alignment horizontal="right"/>
    </xf>
    <xf numFmtId="0" fontId="10" fillId="0" borderId="0" xfId="0" applyFont="1" applyBorder="1" applyAlignment="1">
      <alignment horizontal="right"/>
    </xf>
    <xf numFmtId="213" fontId="1" fillId="0" borderId="0" xfId="0" applyNumberFormat="1" applyFont="1" applyFill="1" applyBorder="1" applyAlignment="1">
      <alignment horizontal="center"/>
    </xf>
    <xf numFmtId="177" fontId="1" fillId="0" borderId="0" xfId="0" applyNumberFormat="1" applyFont="1" applyFill="1" applyBorder="1" applyAlignment="1">
      <alignment horizontal="center"/>
    </xf>
    <xf numFmtId="0" fontId="10" fillId="0" borderId="1" xfId="0" applyFont="1" applyBorder="1"/>
    <xf numFmtId="0" fontId="10" fillId="0" borderId="1" xfId="0" applyFont="1" applyBorder="1" applyAlignment="1">
      <alignment horizontal="left"/>
    </xf>
    <xf numFmtId="0" fontId="2" fillId="0" borderId="0" xfId="0" applyFont="1" applyFill="1" applyBorder="1"/>
    <xf numFmtId="169" fontId="1" fillId="0" borderId="0" xfId="0" applyNumberFormat="1" applyFont="1" applyFill="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right"/>
    </xf>
    <xf numFmtId="3" fontId="10" fillId="3" borderId="0" xfId="0" applyNumberFormat="1" applyFont="1" applyFill="1" applyBorder="1" applyAlignment="1">
      <alignment horizontal="center"/>
    </xf>
    <xf numFmtId="0" fontId="10" fillId="3" borderId="0" xfId="0" applyFont="1" applyFill="1" applyBorder="1" applyAlignment="1">
      <alignment horizontal="center"/>
    </xf>
    <xf numFmtId="0" fontId="2" fillId="2" borderId="0" xfId="0" applyFont="1" applyFill="1" applyBorder="1"/>
    <xf numFmtId="199" fontId="53" fillId="3" borderId="3" xfId="0" applyNumberFormat="1" applyFont="1" applyFill="1" applyBorder="1" applyAlignment="1">
      <alignment horizontal="center"/>
    </xf>
    <xf numFmtId="0" fontId="2" fillId="2" borderId="0" xfId="0" applyFont="1" applyFill="1" applyBorder="1" applyAlignment="1">
      <alignment horizontal="center"/>
    </xf>
    <xf numFmtId="0" fontId="0" fillId="0" borderId="0" xfId="0" applyBorder="1" applyAlignment="1">
      <alignment horizontal="left"/>
    </xf>
    <xf numFmtId="0" fontId="4" fillId="0" borderId="0" xfId="0" applyFont="1" applyFill="1" applyBorder="1" applyAlignment="1">
      <alignment horizontal="right"/>
    </xf>
    <xf numFmtId="0" fontId="2" fillId="0" borderId="0" xfId="0" applyFont="1" applyBorder="1"/>
    <xf numFmtId="0" fontId="18" fillId="0" borderId="0" xfId="0" applyFont="1" applyFill="1" applyBorder="1"/>
    <xf numFmtId="207" fontId="0" fillId="3" borderId="0" xfId="0" applyNumberFormat="1" applyFill="1" applyBorder="1" applyAlignment="1">
      <alignment horizontal="center"/>
    </xf>
    <xf numFmtId="0" fontId="1" fillId="2" borderId="0" xfId="0" applyFont="1" applyFill="1" applyBorder="1" applyAlignment="1">
      <alignment horizontal="center"/>
    </xf>
    <xf numFmtId="169" fontId="0" fillId="2" borderId="0" xfId="0" applyNumberFormat="1" applyFill="1" applyBorder="1" applyAlignment="1">
      <alignment horizontal="center"/>
    </xf>
    <xf numFmtId="168" fontId="10" fillId="2" borderId="0" xfId="0" applyNumberFormat="1" applyFont="1" applyFill="1" applyBorder="1" applyAlignment="1">
      <alignment horizontal="center"/>
    </xf>
    <xf numFmtId="169" fontId="11" fillId="0" borderId="3" xfId="0" applyNumberFormat="1" applyFont="1" applyFill="1" applyBorder="1" applyAlignment="1">
      <alignment horizontal="center"/>
    </xf>
    <xf numFmtId="9" fontId="2" fillId="0" borderId="0" xfId="1" applyFont="1" applyFill="1" applyBorder="1" applyAlignment="1">
      <alignment horizontal="center"/>
    </xf>
    <xf numFmtId="170" fontId="4" fillId="6" borderId="27" xfId="0" applyNumberFormat="1" applyFont="1" applyFill="1" applyBorder="1" applyAlignment="1">
      <alignment horizontal="center"/>
    </xf>
    <xf numFmtId="9" fontId="2" fillId="0" borderId="0" xfId="1" applyBorder="1" applyAlignment="1">
      <alignment horizontal="center"/>
    </xf>
    <xf numFmtId="170" fontId="1" fillId="6" borderId="27" xfId="0" applyNumberFormat="1" applyFont="1" applyFill="1" applyBorder="1" applyAlignment="1">
      <alignment horizontal="center"/>
    </xf>
    <xf numFmtId="170" fontId="4" fillId="0" borderId="23" xfId="0" applyNumberFormat="1" applyFont="1" applyFill="1" applyBorder="1" applyAlignment="1">
      <alignment horizontal="center"/>
    </xf>
    <xf numFmtId="197" fontId="6" fillId="6" borderId="23" xfId="0" applyNumberFormat="1" applyFont="1" applyFill="1" applyBorder="1" applyAlignment="1">
      <alignment horizontal="center"/>
    </xf>
    <xf numFmtId="197" fontId="4" fillId="6" borderId="21" xfId="0" applyNumberFormat="1" applyFont="1" applyFill="1" applyBorder="1" applyAlignment="1">
      <alignment horizontal="center"/>
    </xf>
    <xf numFmtId="9" fontId="7" fillId="0" borderId="0" xfId="1" applyFont="1" applyBorder="1" applyAlignment="1">
      <alignment horizontal="center"/>
    </xf>
    <xf numFmtId="49" fontId="35" fillId="0" borderId="0" xfId="0" applyNumberFormat="1" applyFont="1" applyBorder="1" applyAlignment="1">
      <alignment wrapText="1"/>
    </xf>
    <xf numFmtId="0" fontId="0" fillId="8" borderId="0" xfId="0" applyFill="1"/>
    <xf numFmtId="3" fontId="7" fillId="3" borderId="0" xfId="0" applyNumberFormat="1" applyFont="1" applyFill="1" applyAlignment="1">
      <alignment horizontal="center"/>
    </xf>
    <xf numFmtId="0" fontId="11" fillId="3" borderId="0" xfId="0" applyFont="1" applyFill="1"/>
    <xf numFmtId="3" fontId="53" fillId="0" borderId="0" xfId="0" applyNumberFormat="1" applyFont="1" applyFill="1" applyAlignment="1">
      <alignment horizontal="left"/>
    </xf>
    <xf numFmtId="0" fontId="53" fillId="0" borderId="0" xfId="0" applyFont="1" applyFill="1" applyAlignment="1">
      <alignment horizontal="left"/>
    </xf>
    <xf numFmtId="3" fontId="7" fillId="0" borderId="0" xfId="0" applyNumberFormat="1" applyFont="1" applyFill="1" applyAlignment="1">
      <alignment horizontal="center"/>
    </xf>
    <xf numFmtId="176" fontId="54" fillId="0" borderId="0" xfId="1" applyNumberFormat="1" applyFont="1" applyFill="1" applyBorder="1" applyAlignment="1">
      <alignment horizontal="center"/>
    </xf>
    <xf numFmtId="169" fontId="10" fillId="2" borderId="0" xfId="0" applyNumberFormat="1" applyFont="1" applyFill="1" applyBorder="1" applyAlignment="1">
      <alignment horizontal="center" vertical="center"/>
    </xf>
    <xf numFmtId="177" fontId="10" fillId="2" borderId="0" xfId="0" applyNumberFormat="1" applyFont="1" applyFill="1" applyBorder="1" applyAlignment="1">
      <alignment horizontal="center" vertical="center"/>
    </xf>
    <xf numFmtId="0" fontId="10" fillId="2" borderId="0" xfId="0" applyFont="1" applyFill="1" applyBorder="1" applyAlignment="1">
      <alignment horizontal="center" vertical="center" wrapText="1"/>
    </xf>
    <xf numFmtId="2" fontId="10" fillId="2"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xf>
    <xf numFmtId="170" fontId="0" fillId="0" borderId="3" xfId="0" applyNumberFormat="1" applyBorder="1" applyAlignment="1">
      <alignment horizontal="center"/>
    </xf>
    <xf numFmtId="0" fontId="53" fillId="3" borderId="0" xfId="0" applyFont="1" applyFill="1" applyBorder="1"/>
    <xf numFmtId="166" fontId="54" fillId="0" borderId="0" xfId="0" applyNumberFormat="1" applyFont="1" applyFill="1" applyBorder="1" applyAlignment="1">
      <alignment horizontal="center"/>
    </xf>
    <xf numFmtId="183" fontId="54" fillId="0" borderId="0" xfId="0" applyNumberFormat="1" applyFont="1" applyFill="1" applyBorder="1" applyAlignment="1">
      <alignment horizontal="center"/>
    </xf>
    <xf numFmtId="183" fontId="54" fillId="0" borderId="3" xfId="0" applyNumberFormat="1" applyFont="1" applyFill="1" applyBorder="1" applyAlignment="1">
      <alignment horizontal="center"/>
    </xf>
    <xf numFmtId="0" fontId="11" fillId="0" borderId="3" xfId="0" applyFont="1" applyFill="1" applyBorder="1" applyAlignment="1">
      <alignment horizontal="center"/>
    </xf>
    <xf numFmtId="0" fontId="32" fillId="10" borderId="0" xfId="0" applyFont="1" applyFill="1" applyBorder="1" applyAlignment="1">
      <alignment horizontal="left" vertical="center"/>
    </xf>
    <xf numFmtId="9" fontId="2" fillId="6" borderId="0" xfId="1" applyFill="1" applyBorder="1" applyAlignment="1">
      <alignment horizontal="center"/>
    </xf>
    <xf numFmtId="191" fontId="0" fillId="0" borderId="0" xfId="0" applyNumberFormat="1" applyFill="1" applyBorder="1"/>
    <xf numFmtId="3" fontId="20" fillId="0" borderId="0" xfId="0" applyNumberFormat="1" applyFont="1" applyFill="1" applyBorder="1"/>
    <xf numFmtId="3" fontId="18" fillId="0" borderId="0" xfId="0" applyNumberFormat="1" applyFont="1" applyFill="1" applyBorder="1"/>
    <xf numFmtId="0" fontId="18" fillId="0" borderId="0" xfId="0" applyFont="1" applyBorder="1"/>
    <xf numFmtId="49" fontId="11" fillId="0" borderId="0" xfId="0" applyNumberFormat="1" applyFont="1" applyBorder="1" applyAlignment="1">
      <alignment wrapText="1"/>
    </xf>
    <xf numFmtId="0" fontId="12" fillId="0" borderId="0" xfId="0" applyFont="1" applyBorder="1"/>
    <xf numFmtId="170" fontId="0" fillId="0" borderId="0" xfId="0" applyNumberFormat="1" applyBorder="1"/>
    <xf numFmtId="170" fontId="54" fillId="0" borderId="0" xfId="0" applyNumberFormat="1" applyFont="1" applyAlignment="1">
      <alignment horizontal="center"/>
    </xf>
    <xf numFmtId="170" fontId="22" fillId="0" borderId="0" xfId="0" applyNumberFormat="1" applyFont="1" applyFill="1" applyAlignment="1">
      <alignment horizontal="center"/>
    </xf>
    <xf numFmtId="170" fontId="22" fillId="0" borderId="0" xfId="0" applyNumberFormat="1" applyFont="1" applyFill="1" applyAlignment="1">
      <alignment horizontal="center" vertical="center"/>
    </xf>
    <xf numFmtId="9" fontId="10" fillId="0" borderId="0" xfId="1" applyFont="1" applyBorder="1" applyAlignment="1">
      <alignment horizontal="center"/>
    </xf>
    <xf numFmtId="9" fontId="10" fillId="0" borderId="0" xfId="1" applyFont="1" applyBorder="1" applyAlignment="1">
      <alignment horizontal="center" vertical="center"/>
    </xf>
    <xf numFmtId="0" fontId="2" fillId="0" borderId="3" xfId="0" applyFont="1" applyBorder="1" applyAlignment="1">
      <alignment horizontal="center"/>
    </xf>
    <xf numFmtId="0" fontId="0" fillId="10" borderId="6" xfId="0" applyFill="1" applyBorder="1"/>
    <xf numFmtId="0" fontId="0" fillId="10" borderId="7" xfId="0" applyFill="1" applyBorder="1"/>
    <xf numFmtId="0" fontId="4" fillId="11" borderId="28" xfId="0" applyFont="1" applyFill="1" applyBorder="1" applyAlignment="1">
      <alignment horizontal="center" wrapText="1"/>
    </xf>
    <xf numFmtId="0" fontId="0" fillId="10" borderId="8" xfId="0" applyFill="1" applyBorder="1"/>
    <xf numFmtId="0" fontId="0" fillId="10" borderId="11" xfId="0" applyFill="1" applyBorder="1" applyAlignment="1">
      <alignment horizontal="center"/>
    </xf>
    <xf numFmtId="0" fontId="0" fillId="10" borderId="1" xfId="0" applyFill="1" applyBorder="1"/>
    <xf numFmtId="0" fontId="22" fillId="11" borderId="29" xfId="0" applyFont="1" applyFill="1" applyBorder="1" applyAlignment="1">
      <alignment horizontal="center"/>
    </xf>
    <xf numFmtId="0" fontId="22" fillId="10" borderId="1" xfId="0" applyFont="1" applyFill="1" applyBorder="1" applyAlignment="1">
      <alignment horizontal="center"/>
    </xf>
    <xf numFmtId="0" fontId="22" fillId="10" borderId="10" xfId="0" applyFont="1" applyFill="1" applyBorder="1" applyAlignment="1">
      <alignment horizontal="center"/>
    </xf>
    <xf numFmtId="0" fontId="55" fillId="0" borderId="25" xfId="0" applyFont="1" applyBorder="1" applyAlignment="1">
      <alignment horizontal="center"/>
    </xf>
    <xf numFmtId="170" fontId="22" fillId="11" borderId="25" xfId="0" applyNumberFormat="1" applyFont="1" applyFill="1" applyBorder="1" applyAlignment="1">
      <alignment horizontal="center"/>
    </xf>
    <xf numFmtId="170" fontId="55" fillId="0" borderId="0" xfId="0" applyNumberFormat="1" applyFont="1" applyFill="1" applyBorder="1" applyAlignment="1">
      <alignment horizontal="center"/>
    </xf>
    <xf numFmtId="9" fontId="55" fillId="0" borderId="0" xfId="1" applyFont="1" applyFill="1" applyBorder="1" applyAlignment="1">
      <alignment horizontal="center"/>
    </xf>
    <xf numFmtId="170" fontId="55" fillId="0" borderId="2" xfId="0" applyNumberFormat="1" applyFont="1" applyFill="1" applyBorder="1" applyAlignment="1">
      <alignment horizontal="center"/>
    </xf>
    <xf numFmtId="172" fontId="55" fillId="0" borderId="0" xfId="0" applyNumberFormat="1" applyFont="1" applyFill="1" applyBorder="1" applyAlignment="1">
      <alignment horizontal="center"/>
    </xf>
    <xf numFmtId="173" fontId="55" fillId="0" borderId="0" xfId="0" applyNumberFormat="1" applyFont="1" applyFill="1" applyBorder="1" applyAlignment="1">
      <alignment horizontal="center"/>
    </xf>
    <xf numFmtId="164" fontId="55" fillId="0" borderId="2" xfId="0" applyNumberFormat="1" applyFont="1" applyFill="1" applyBorder="1" applyAlignment="1">
      <alignment horizontal="center"/>
    </xf>
    <xf numFmtId="0" fontId="53" fillId="0" borderId="0" xfId="0" applyFont="1" applyBorder="1" applyAlignment="1">
      <alignment horizontal="center"/>
    </xf>
    <xf numFmtId="0" fontId="53" fillId="0" borderId="25" xfId="0" applyFont="1" applyBorder="1" applyAlignment="1">
      <alignment horizontal="center"/>
    </xf>
    <xf numFmtId="170" fontId="53" fillId="0" borderId="0" xfId="0" applyNumberFormat="1" applyFont="1" applyFill="1" applyBorder="1" applyAlignment="1">
      <alignment horizontal="center"/>
    </xf>
    <xf numFmtId="9" fontId="53" fillId="0" borderId="0" xfId="1" applyFont="1" applyFill="1" applyBorder="1" applyAlignment="1">
      <alignment horizontal="center"/>
    </xf>
    <xf numFmtId="172" fontId="53" fillId="0" borderId="0" xfId="0" applyNumberFormat="1" applyFont="1" applyFill="1" applyBorder="1" applyAlignment="1">
      <alignment horizontal="center"/>
    </xf>
    <xf numFmtId="173" fontId="53" fillId="0" borderId="0" xfId="0" applyNumberFormat="1" applyFont="1" applyFill="1" applyBorder="1" applyAlignment="1">
      <alignment horizontal="center"/>
    </xf>
    <xf numFmtId="164" fontId="53" fillId="0" borderId="2" xfId="0" applyNumberFormat="1" applyFont="1" applyFill="1" applyBorder="1" applyAlignment="1">
      <alignment horizontal="center"/>
    </xf>
    <xf numFmtId="0" fontId="55" fillId="0" borderId="29" xfId="0" applyFont="1" applyBorder="1" applyAlignment="1">
      <alignment horizontal="center"/>
    </xf>
    <xf numFmtId="0" fontId="55" fillId="0" borderId="1" xfId="0" applyFont="1" applyBorder="1" applyAlignment="1">
      <alignment horizontal="center"/>
    </xf>
    <xf numFmtId="170" fontId="22" fillId="11" borderId="29" xfId="0" applyNumberFormat="1" applyFont="1" applyFill="1" applyBorder="1" applyAlignment="1">
      <alignment horizontal="center"/>
    </xf>
    <xf numFmtId="170" fontId="55" fillId="0" borderId="1" xfId="0" applyNumberFormat="1" applyFont="1" applyFill="1" applyBorder="1" applyAlignment="1">
      <alignment horizontal="center"/>
    </xf>
    <xf numFmtId="9" fontId="55" fillId="0" borderId="1" xfId="1" applyFont="1" applyFill="1" applyBorder="1" applyAlignment="1">
      <alignment horizontal="center"/>
    </xf>
    <xf numFmtId="173" fontId="55" fillId="0" borderId="1" xfId="0" applyNumberFormat="1" applyFont="1" applyFill="1" applyBorder="1" applyAlignment="1">
      <alignment horizontal="center"/>
    </xf>
    <xf numFmtId="170" fontId="55" fillId="0" borderId="10" xfId="0" applyNumberFormat="1" applyFont="1" applyFill="1" applyBorder="1" applyAlignment="1">
      <alignment horizontal="center"/>
    </xf>
    <xf numFmtId="170" fontId="7" fillId="0" borderId="0" xfId="0" applyNumberFormat="1" applyFont="1" applyFill="1" applyAlignment="1">
      <alignment horizontal="center"/>
    </xf>
    <xf numFmtId="170" fontId="7" fillId="0" borderId="0" xfId="0" applyNumberFormat="1" applyFont="1" applyFill="1"/>
    <xf numFmtId="0" fontId="17" fillId="5" borderId="0" xfId="0" applyFont="1" applyFill="1"/>
    <xf numFmtId="170" fontId="31" fillId="5" borderId="0" xfId="0" applyNumberFormat="1" applyFont="1" applyFill="1" applyAlignment="1">
      <alignment horizontal="center"/>
    </xf>
    <xf numFmtId="0" fontId="52" fillId="5" borderId="0" xfId="0" applyFont="1" applyFill="1"/>
    <xf numFmtId="0" fontId="0" fillId="5" borderId="0" xfId="0" applyFill="1"/>
    <xf numFmtId="170" fontId="21" fillId="5" borderId="0" xfId="0" applyNumberFormat="1" applyFont="1" applyFill="1" applyAlignment="1">
      <alignment horizontal="center"/>
    </xf>
    <xf numFmtId="169" fontId="21" fillId="5" borderId="0" xfId="0" applyNumberFormat="1" applyFont="1" applyFill="1" applyAlignment="1">
      <alignment horizontal="center"/>
    </xf>
    <xf numFmtId="168" fontId="11" fillId="0" borderId="0" xfId="0" applyNumberFormat="1" applyFont="1" applyAlignment="1">
      <alignment horizontal="left"/>
    </xf>
    <xf numFmtId="0" fontId="52" fillId="8" borderId="0" xfId="0" applyFont="1" applyFill="1"/>
    <xf numFmtId="169" fontId="21" fillId="8" borderId="0" xfId="0" applyNumberFormat="1" applyFont="1" applyFill="1" applyAlignment="1">
      <alignment horizontal="center"/>
    </xf>
    <xf numFmtId="0" fontId="74" fillId="8" borderId="0" xfId="0" applyFont="1" applyFill="1"/>
    <xf numFmtId="0" fontId="21" fillId="8" borderId="0" xfId="0" applyFont="1" applyFill="1"/>
    <xf numFmtId="0" fontId="17" fillId="8" borderId="0" xfId="0" applyFont="1" applyFill="1"/>
    <xf numFmtId="170" fontId="31" fillId="8" borderId="0" xfId="0" applyNumberFormat="1" applyFont="1" applyFill="1" applyAlignment="1">
      <alignment horizontal="center"/>
    </xf>
    <xf numFmtId="170" fontId="0" fillId="8" borderId="0" xfId="0" applyNumberFormat="1" applyFill="1"/>
    <xf numFmtId="170" fontId="1" fillId="8" borderId="0" xfId="0" applyNumberFormat="1" applyFont="1" applyFill="1"/>
    <xf numFmtId="170" fontId="4" fillId="8" borderId="0" xfId="0" applyNumberFormat="1" applyFont="1" applyFill="1" applyAlignment="1">
      <alignment horizontal="center"/>
    </xf>
    <xf numFmtId="170" fontId="21" fillId="8" borderId="0" xfId="0" applyNumberFormat="1" applyFont="1" applyFill="1" applyAlignment="1">
      <alignment horizontal="center"/>
    </xf>
    <xf numFmtId="0" fontId="15" fillId="0" borderId="0" xfId="0" applyFont="1" applyFill="1" applyBorder="1"/>
    <xf numFmtId="0" fontId="15" fillId="0" borderId="0" xfId="0" applyFont="1" applyBorder="1"/>
    <xf numFmtId="170" fontId="0" fillId="5" borderId="0" xfId="0" applyNumberFormat="1" applyFill="1"/>
    <xf numFmtId="170" fontId="1" fillId="5" borderId="0" xfId="0" applyNumberFormat="1" applyFont="1" applyFill="1"/>
    <xf numFmtId="170" fontId="4" fillId="5" borderId="0" xfId="0" applyNumberFormat="1" applyFont="1" applyFill="1" applyAlignment="1">
      <alignment horizontal="center"/>
    </xf>
    <xf numFmtId="170" fontId="11" fillId="0" borderId="1" xfId="0" applyNumberFormat="1" applyFont="1" applyBorder="1" applyAlignment="1">
      <alignment horizontal="center"/>
    </xf>
    <xf numFmtId="1" fontId="10" fillId="3" borderId="0" xfId="0" applyNumberFormat="1" applyFont="1" applyFill="1" applyBorder="1" applyAlignment="1">
      <alignment horizontal="center"/>
    </xf>
    <xf numFmtId="169" fontId="2" fillId="3" borderId="0" xfId="0" applyNumberFormat="1" applyFont="1" applyFill="1" applyBorder="1" applyAlignment="1">
      <alignment horizontal="center"/>
    </xf>
    <xf numFmtId="0" fontId="2" fillId="3" borderId="0" xfId="0" applyFont="1" applyFill="1" applyBorder="1" applyAlignment="1">
      <alignment horizontal="center"/>
    </xf>
    <xf numFmtId="181" fontId="2" fillId="3" borderId="0" xfId="0" applyNumberFormat="1" applyFont="1" applyFill="1" applyBorder="1" applyAlignment="1">
      <alignment horizontal="center"/>
    </xf>
    <xf numFmtId="4" fontId="2" fillId="3" borderId="0" xfId="0" applyNumberFormat="1" applyFont="1" applyFill="1" applyBorder="1" applyAlignment="1">
      <alignment horizontal="center"/>
    </xf>
    <xf numFmtId="4" fontId="2" fillId="0" borderId="0" xfId="0" applyNumberFormat="1" applyFont="1" applyBorder="1" applyAlignment="1">
      <alignment horizontal="center"/>
    </xf>
    <xf numFmtId="183" fontId="2" fillId="3" borderId="0" xfId="0" applyNumberFormat="1" applyFont="1" applyFill="1" applyBorder="1" applyAlignment="1">
      <alignment horizontal="center"/>
    </xf>
    <xf numFmtId="183" fontId="2" fillId="0" borderId="0" xfId="0" applyNumberFormat="1" applyFont="1" applyFill="1" applyBorder="1" applyAlignment="1">
      <alignment horizontal="center"/>
    </xf>
    <xf numFmtId="0" fontId="11" fillId="0" borderId="0" xfId="0" applyFont="1" applyFill="1" applyBorder="1" applyAlignment="1">
      <alignment wrapText="1"/>
    </xf>
    <xf numFmtId="174" fontId="11" fillId="0" borderId="0" xfId="0" applyNumberFormat="1" applyFont="1" applyAlignment="1">
      <alignment horizontal="center"/>
    </xf>
    <xf numFmtId="3" fontId="11" fillId="0" borderId="0" xfId="0" applyNumberFormat="1" applyFont="1" applyBorder="1" applyAlignment="1">
      <alignment horizontal="center"/>
    </xf>
    <xf numFmtId="0" fontId="10" fillId="0" borderId="0" xfId="0" applyNumberFormat="1" applyFont="1" applyAlignment="1">
      <alignment horizontal="center"/>
    </xf>
    <xf numFmtId="0" fontId="2" fillId="0" borderId="0" xfId="0" applyFont="1" applyBorder="1" applyAlignment="1">
      <alignment horizontal="center"/>
    </xf>
    <xf numFmtId="170" fontId="54" fillId="3" borderId="0" xfId="0" applyNumberFormat="1" applyFont="1" applyFill="1" applyBorder="1" applyAlignment="1">
      <alignment horizontal="center"/>
    </xf>
    <xf numFmtId="0" fontId="11" fillId="0" borderId="1" xfId="0" applyFont="1" applyBorder="1" applyAlignment="1">
      <alignment horizontal="center"/>
    </xf>
    <xf numFmtId="0" fontId="10" fillId="0" borderId="9" xfId="0" applyFont="1" applyFill="1" applyBorder="1"/>
    <xf numFmtId="170" fontId="10" fillId="0" borderId="3" xfId="0" applyNumberFormat="1" applyFont="1" applyBorder="1" applyAlignment="1">
      <alignment horizontal="center"/>
    </xf>
    <xf numFmtId="9" fontId="2" fillId="0" borderId="0" xfId="1" applyNumberFormat="1" applyFont="1" applyFill="1" applyBorder="1" applyAlignment="1">
      <alignment horizontal="center"/>
    </xf>
    <xf numFmtId="9" fontId="2" fillId="0" borderId="1" xfId="1" applyNumberFormat="1" applyFont="1" applyFill="1" applyBorder="1" applyAlignment="1">
      <alignment horizontal="center"/>
    </xf>
    <xf numFmtId="9" fontId="1" fillId="0" borderId="0" xfId="1" applyNumberFormat="1" applyFont="1" applyFill="1" applyBorder="1" applyAlignment="1">
      <alignment horizontal="center"/>
    </xf>
    <xf numFmtId="213" fontId="2" fillId="0" borderId="0" xfId="0" applyNumberFormat="1" applyFont="1" applyFill="1" applyBorder="1" applyAlignment="1">
      <alignment horizontal="center"/>
    </xf>
    <xf numFmtId="3" fontId="2" fillId="3" borderId="0" xfId="0" applyNumberFormat="1" applyFont="1" applyFill="1" applyAlignment="1">
      <alignment horizontal="center"/>
    </xf>
    <xf numFmtId="0" fontId="10" fillId="0" borderId="0" xfId="0" applyFont="1" applyFill="1" applyAlignment="1">
      <alignment horizontal="center" vertical="center" wrapText="1"/>
    </xf>
    <xf numFmtId="188" fontId="0" fillId="0" borderId="0" xfId="0" applyNumberFormat="1" applyFill="1" applyBorder="1" applyAlignment="1">
      <alignment horizontal="center"/>
    </xf>
    <xf numFmtId="0" fontId="72" fillId="0" borderId="0" xfId="0" applyFont="1" applyFill="1" applyAlignment="1">
      <alignment horizontal="center"/>
    </xf>
    <xf numFmtId="227" fontId="0" fillId="0" borderId="0" xfId="0" applyNumberFormat="1" applyFill="1" applyBorder="1" applyAlignment="1">
      <alignment horizontal="center"/>
    </xf>
    <xf numFmtId="172" fontId="0" fillId="3" borderId="0" xfId="0" applyNumberFormat="1" applyFill="1" applyBorder="1" applyAlignment="1">
      <alignment horizontal="center"/>
    </xf>
    <xf numFmtId="9" fontId="2" fillId="3" borderId="0" xfId="1" applyFill="1" applyBorder="1" applyAlignment="1">
      <alignment horizontal="center"/>
    </xf>
    <xf numFmtId="170" fontId="11" fillId="3" borderId="0" xfId="0" applyNumberFormat="1" applyFont="1" applyFill="1" applyBorder="1" applyAlignment="1">
      <alignment horizontal="center"/>
    </xf>
    <xf numFmtId="168" fontId="10" fillId="0" borderId="0" xfId="0" applyNumberFormat="1" applyFont="1" applyFill="1" applyBorder="1" applyAlignment="1">
      <alignment horizontal="center" vertical="center"/>
    </xf>
    <xf numFmtId="228" fontId="0" fillId="3" borderId="0" xfId="0" applyNumberFormat="1" applyFill="1" applyAlignment="1">
      <alignment horizontal="center"/>
    </xf>
    <xf numFmtId="229" fontId="0" fillId="3" borderId="0" xfId="0" applyNumberFormat="1" applyFill="1" applyAlignment="1">
      <alignment horizontal="center"/>
    </xf>
    <xf numFmtId="1" fontId="0" fillId="3" borderId="3" xfId="0" applyNumberFormat="1" applyFill="1" applyBorder="1" applyAlignment="1">
      <alignment horizontal="center"/>
    </xf>
    <xf numFmtId="0" fontId="10" fillId="0" borderId="0" xfId="0" applyFont="1" applyFill="1" applyAlignment="1">
      <alignment horizontal="left" vertical="center" wrapText="1"/>
    </xf>
    <xf numFmtId="0" fontId="16" fillId="10" borderId="0" xfId="0" applyFont="1" applyFill="1"/>
    <xf numFmtId="218" fontId="11" fillId="0" borderId="0" xfId="0" applyNumberFormat="1" applyFont="1" applyBorder="1" applyAlignment="1">
      <alignment horizontal="center"/>
    </xf>
    <xf numFmtId="2" fontId="11" fillId="3" borderId="0" xfId="0" applyNumberFormat="1" applyFont="1" applyFill="1" applyBorder="1"/>
    <xf numFmtId="168" fontId="10" fillId="2" borderId="0" xfId="0" applyNumberFormat="1" applyFont="1" applyFill="1" applyBorder="1" applyAlignment="1">
      <alignment horizontal="center" vertical="center"/>
    </xf>
    <xf numFmtId="169" fontId="10" fillId="2" borderId="0" xfId="0" applyNumberFormat="1" applyFont="1" applyFill="1" applyBorder="1" applyAlignment="1">
      <alignment horizontal="center"/>
    </xf>
    <xf numFmtId="3" fontId="10" fillId="0" borderId="0" xfId="0" applyNumberFormat="1" applyFont="1" applyFill="1" applyAlignment="1">
      <alignment horizontal="center"/>
    </xf>
    <xf numFmtId="0" fontId="10" fillId="10" borderId="0" xfId="0" applyFont="1" applyFill="1" applyAlignment="1">
      <alignment vertical="center"/>
    </xf>
    <xf numFmtId="0" fontId="5" fillId="10" borderId="0" xfId="0" applyFont="1" applyFill="1"/>
    <xf numFmtId="0" fontId="77" fillId="10" borderId="0" xfId="0" applyFont="1" applyFill="1"/>
    <xf numFmtId="214" fontId="77" fillId="10" borderId="0" xfId="0" applyNumberFormat="1" applyFont="1" applyFill="1" applyAlignment="1">
      <alignment horizontal="center"/>
    </xf>
    <xf numFmtId="0" fontId="79" fillId="0" borderId="0" xfId="0" applyFont="1" applyFill="1"/>
    <xf numFmtId="0" fontId="23" fillId="0" borderId="0" xfId="0" applyFont="1"/>
    <xf numFmtId="0" fontId="80" fillId="5" borderId="0" xfId="0" applyFont="1" applyFill="1" applyAlignment="1">
      <alignment horizontal="left" vertical="center"/>
    </xf>
    <xf numFmtId="0" fontId="78" fillId="10" borderId="0" xfId="0" applyFont="1" applyFill="1" applyAlignment="1">
      <alignment horizontal="center" vertical="center"/>
    </xf>
    <xf numFmtId="0" fontId="77" fillId="10" borderId="0" xfId="0" applyFont="1" applyFill="1" applyAlignment="1">
      <alignment vertical="center"/>
    </xf>
    <xf numFmtId="0" fontId="5" fillId="0" borderId="0" xfId="0" applyFont="1" applyFill="1" applyBorder="1" applyAlignment="1">
      <alignment horizontal="left" vertical="center" wrapText="1"/>
    </xf>
    <xf numFmtId="0" fontId="77" fillId="2" borderId="0" xfId="0" applyFont="1" applyFill="1" applyBorder="1" applyAlignment="1">
      <alignment horizontal="center"/>
    </xf>
    <xf numFmtId="0" fontId="23" fillId="2" borderId="0" xfId="0" applyFont="1" applyFill="1" applyAlignment="1">
      <alignment horizontal="center"/>
    </xf>
    <xf numFmtId="233" fontId="77" fillId="2" borderId="0" xfId="0" applyNumberFormat="1" applyFont="1" applyFill="1" applyBorder="1" applyAlignment="1">
      <alignment horizontal="center"/>
    </xf>
    <xf numFmtId="204" fontId="23" fillId="0" borderId="0" xfId="0" applyNumberFormat="1" applyFont="1" applyFill="1" applyBorder="1" applyAlignment="1">
      <alignment horizontal="left"/>
    </xf>
    <xf numFmtId="232" fontId="23" fillId="0" borderId="0" xfId="0" applyNumberFormat="1" applyFont="1" applyFill="1" applyBorder="1" applyAlignment="1">
      <alignment horizontal="left"/>
    </xf>
    <xf numFmtId="188" fontId="23" fillId="0" borderId="0" xfId="0" applyNumberFormat="1" applyFont="1" applyFill="1" applyBorder="1" applyAlignment="1">
      <alignment horizontal="left"/>
    </xf>
    <xf numFmtId="231" fontId="77" fillId="0" borderId="0" xfId="0" applyNumberFormat="1" applyFont="1" applyFill="1" applyBorder="1" applyAlignment="1">
      <alignment horizontal="center"/>
    </xf>
    <xf numFmtId="233" fontId="77" fillId="0" borderId="0" xfId="0" applyNumberFormat="1" applyFont="1" applyFill="1" applyBorder="1" applyAlignment="1">
      <alignment horizontal="center"/>
    </xf>
    <xf numFmtId="234" fontId="77" fillId="0" borderId="0" xfId="0" applyNumberFormat="1" applyFont="1" applyFill="1" applyBorder="1" applyAlignment="1">
      <alignment horizontal="left"/>
    </xf>
    <xf numFmtId="0" fontId="77" fillId="0" borderId="0" xfId="0" applyFont="1" applyBorder="1"/>
    <xf numFmtId="0" fontId="23" fillId="0" borderId="0" xfId="0" applyFont="1" applyBorder="1"/>
    <xf numFmtId="2" fontId="23" fillId="0" borderId="0" xfId="0" applyNumberFormat="1" applyFont="1" applyBorder="1"/>
    <xf numFmtId="204" fontId="23" fillId="0" borderId="0" xfId="0" applyNumberFormat="1" applyFont="1" applyBorder="1"/>
    <xf numFmtId="203" fontId="82" fillId="0" borderId="0" xfId="0" applyNumberFormat="1" applyFont="1" applyBorder="1"/>
    <xf numFmtId="0" fontId="83" fillId="0" borderId="0" xfId="0" applyFont="1" applyBorder="1"/>
    <xf numFmtId="235" fontId="23" fillId="0" borderId="0" xfId="0" applyNumberFormat="1" applyFont="1" applyBorder="1"/>
    <xf numFmtId="203" fontId="23" fillId="0" borderId="0" xfId="0" applyNumberFormat="1" applyFont="1" applyBorder="1"/>
    <xf numFmtId="0" fontId="5" fillId="0" borderId="0" xfId="0" applyFont="1" applyBorder="1"/>
    <xf numFmtId="0" fontId="5" fillId="0" borderId="0" xfId="0" applyFont="1" applyFill="1" applyBorder="1"/>
    <xf numFmtId="0" fontId="84" fillId="0" borderId="0" xfId="0" applyFont="1" applyBorder="1"/>
    <xf numFmtId="0" fontId="85" fillId="0" borderId="0" xfId="0" applyFont="1" applyBorder="1"/>
    <xf numFmtId="236" fontId="23" fillId="0" borderId="0" xfId="0" applyNumberFormat="1" applyFont="1" applyFill="1" applyBorder="1"/>
    <xf numFmtId="237" fontId="23" fillId="3" borderId="0" xfId="0" applyNumberFormat="1" applyFont="1" applyFill="1" applyBorder="1"/>
    <xf numFmtId="204" fontId="23" fillId="3" borderId="0" xfId="0" applyNumberFormat="1" applyFont="1" applyFill="1" applyBorder="1"/>
    <xf numFmtId="0" fontId="23" fillId="0" borderId="0" xfId="0" applyFont="1" applyFill="1" applyBorder="1"/>
    <xf numFmtId="235" fontId="77" fillId="0" borderId="0" xfId="0" applyNumberFormat="1" applyFont="1" applyFill="1" applyBorder="1"/>
    <xf numFmtId="2" fontId="77" fillId="3" borderId="0" xfId="0" applyNumberFormat="1" applyFont="1" applyFill="1" applyBorder="1"/>
    <xf numFmtId="204" fontId="77" fillId="3" borderId="0" xfId="0" applyNumberFormat="1" applyFont="1" applyFill="1" applyBorder="1"/>
    <xf numFmtId="204" fontId="77" fillId="0" borderId="0" xfId="0" applyNumberFormat="1" applyFont="1" applyBorder="1"/>
    <xf numFmtId="203" fontId="77" fillId="0" borderId="12" xfId="0" applyNumberFormat="1" applyFont="1" applyBorder="1"/>
    <xf numFmtId="235" fontId="23" fillId="3" borderId="0" xfId="0" applyNumberFormat="1" applyFont="1" applyFill="1" applyBorder="1"/>
    <xf numFmtId="236" fontId="23" fillId="3" borderId="0" xfId="0" applyNumberFormat="1" applyFont="1" applyFill="1" applyBorder="1"/>
    <xf numFmtId="238" fontId="23" fillId="3" borderId="0" xfId="0" applyNumberFormat="1" applyFont="1" applyFill="1" applyBorder="1"/>
    <xf numFmtId="0" fontId="23" fillId="3" borderId="0" xfId="0" applyFont="1" applyFill="1" applyBorder="1"/>
    <xf numFmtId="203" fontId="23" fillId="0" borderId="3" xfId="0" applyNumberFormat="1" applyFont="1" applyBorder="1"/>
    <xf numFmtId="0" fontId="77" fillId="0" borderId="0" xfId="0" applyFont="1" applyFill="1" applyBorder="1"/>
    <xf numFmtId="236" fontId="77" fillId="3" borderId="0" xfId="0" applyNumberFormat="1" applyFont="1" applyFill="1" applyBorder="1"/>
    <xf numFmtId="237" fontId="77" fillId="3" borderId="0" xfId="0" applyNumberFormat="1" applyFont="1" applyFill="1" applyBorder="1"/>
    <xf numFmtId="203" fontId="77" fillId="0" borderId="0" xfId="0" applyNumberFormat="1" applyFont="1" applyBorder="1"/>
    <xf numFmtId="236" fontId="5" fillId="3" borderId="0" xfId="0" applyNumberFormat="1" applyFont="1" applyFill="1" applyBorder="1"/>
    <xf numFmtId="238" fontId="5" fillId="3" borderId="0" xfId="0" applyNumberFormat="1" applyFont="1" applyFill="1" applyBorder="1"/>
    <xf numFmtId="204" fontId="5" fillId="3" borderId="0" xfId="0" applyNumberFormat="1" applyFont="1" applyFill="1" applyBorder="1"/>
    <xf numFmtId="204" fontId="5" fillId="0" borderId="0" xfId="0" applyNumberFormat="1" applyFont="1" applyBorder="1"/>
    <xf numFmtId="203" fontId="5" fillId="0" borderId="0" xfId="0" applyNumberFormat="1" applyFont="1" applyBorder="1"/>
    <xf numFmtId="236" fontId="77" fillId="0" borderId="0" xfId="0" applyNumberFormat="1" applyFont="1" applyBorder="1"/>
    <xf numFmtId="237" fontId="77" fillId="0" borderId="0" xfId="0" applyNumberFormat="1" applyFont="1" applyBorder="1"/>
    <xf numFmtId="236" fontId="23" fillId="0" borderId="0" xfId="0" applyNumberFormat="1" applyFont="1" applyBorder="1"/>
    <xf numFmtId="237" fontId="23" fillId="0" borderId="0" xfId="0" applyNumberFormat="1" applyFont="1" applyBorder="1"/>
    <xf numFmtId="0" fontId="23" fillId="2" borderId="0" xfId="0" applyFont="1" applyFill="1" applyBorder="1"/>
    <xf numFmtId="204" fontId="23" fillId="2" borderId="0" xfId="0" applyNumberFormat="1" applyFont="1" applyFill="1" applyBorder="1" applyAlignment="1">
      <alignment horizontal="center"/>
    </xf>
    <xf numFmtId="203" fontId="23" fillId="2" borderId="0" xfId="0" applyNumberFormat="1" applyFont="1" applyFill="1" applyBorder="1" applyAlignment="1">
      <alignment horizontal="center"/>
    </xf>
    <xf numFmtId="0" fontId="82" fillId="0" borderId="0" xfId="0" applyFont="1" applyBorder="1"/>
    <xf numFmtId="239" fontId="23" fillId="3" borderId="0" xfId="0" applyNumberFormat="1" applyFont="1" applyFill="1" applyBorder="1" applyAlignment="1"/>
    <xf numFmtId="235" fontId="23" fillId="0" borderId="0" xfId="0" applyNumberFormat="1" applyFont="1" applyFill="1" applyBorder="1" applyAlignment="1">
      <alignment horizontal="right"/>
    </xf>
    <xf numFmtId="168" fontId="23" fillId="3" borderId="0" xfId="0" applyNumberFormat="1" applyFont="1" applyFill="1" applyBorder="1"/>
    <xf numFmtId="168" fontId="23" fillId="0" borderId="0" xfId="0" applyNumberFormat="1" applyFont="1" applyBorder="1" applyAlignment="1">
      <alignment horizontal="center"/>
    </xf>
    <xf numFmtId="240" fontId="23" fillId="3" borderId="0" xfId="0" applyNumberFormat="1" applyFont="1" applyFill="1" applyBorder="1" applyAlignment="1">
      <alignment horizontal="center"/>
    </xf>
    <xf numFmtId="241" fontId="23" fillId="3" borderId="0" xfId="0" applyNumberFormat="1" applyFont="1" applyFill="1" applyBorder="1" applyAlignment="1">
      <alignment horizontal="right"/>
    </xf>
    <xf numFmtId="0" fontId="23" fillId="3" borderId="0" xfId="0" applyFont="1" applyFill="1" applyBorder="1" applyAlignment="1"/>
    <xf numFmtId="0" fontId="23" fillId="3" borderId="0" xfId="0" applyFont="1" applyFill="1" applyBorder="1" applyAlignment="1">
      <alignment horizontal="right"/>
    </xf>
    <xf numFmtId="205" fontId="23" fillId="3" borderId="0" xfId="0" applyNumberFormat="1" applyFont="1" applyFill="1" applyBorder="1"/>
    <xf numFmtId="242" fontId="23" fillId="3" borderId="0" xfId="0" applyNumberFormat="1" applyFont="1" applyFill="1" applyBorder="1"/>
    <xf numFmtId="9" fontId="23" fillId="0" borderId="0" xfId="0" applyNumberFormat="1" applyFont="1" applyBorder="1"/>
    <xf numFmtId="0" fontId="23" fillId="0" borderId="0" xfId="0" applyFont="1" applyBorder="1" applyAlignment="1"/>
    <xf numFmtId="168" fontId="23" fillId="3" borderId="3" xfId="0" applyNumberFormat="1" applyFont="1" applyFill="1" applyBorder="1"/>
    <xf numFmtId="168" fontId="23" fillId="0" borderId="0" xfId="0" applyNumberFormat="1" applyFont="1" applyBorder="1"/>
    <xf numFmtId="238" fontId="77" fillId="0" borderId="0" xfId="0" applyNumberFormat="1" applyFont="1" applyBorder="1"/>
    <xf numFmtId="238" fontId="23" fillId="0" borderId="0" xfId="0" applyNumberFormat="1" applyFont="1" applyBorder="1"/>
    <xf numFmtId="201" fontId="23" fillId="0" borderId="0" xfId="0" applyNumberFormat="1" applyFont="1" applyBorder="1" applyAlignment="1">
      <alignment horizontal="left"/>
    </xf>
    <xf numFmtId="243" fontId="23" fillId="3" borderId="0" xfId="0" applyNumberFormat="1" applyFont="1" applyFill="1" applyBorder="1"/>
    <xf numFmtId="242" fontId="23" fillId="3" borderId="0" xfId="0" applyNumberFormat="1" applyFont="1" applyFill="1" applyBorder="1" applyAlignment="1">
      <alignment horizontal="center"/>
    </xf>
    <xf numFmtId="169" fontId="23" fillId="0" borderId="0" xfId="0" applyNumberFormat="1" applyFont="1" applyBorder="1"/>
    <xf numFmtId="169" fontId="23" fillId="3" borderId="0" xfId="0" applyNumberFormat="1" applyFont="1" applyFill="1" applyBorder="1"/>
    <xf numFmtId="244" fontId="23" fillId="0" borderId="0" xfId="0" applyNumberFormat="1" applyFont="1" applyFill="1" applyBorder="1"/>
    <xf numFmtId="204" fontId="23" fillId="0" borderId="0" xfId="0" applyNumberFormat="1" applyFont="1" applyFill="1" applyBorder="1"/>
    <xf numFmtId="243" fontId="23" fillId="0" borderId="0" xfId="0" applyNumberFormat="1" applyFont="1" applyBorder="1"/>
    <xf numFmtId="242" fontId="23" fillId="0" borderId="0" xfId="0" applyNumberFormat="1" applyFont="1" applyBorder="1" applyAlignment="1">
      <alignment horizontal="center"/>
    </xf>
    <xf numFmtId="235" fontId="23" fillId="0" borderId="0" xfId="0" applyNumberFormat="1" applyFont="1" applyFill="1" applyBorder="1"/>
    <xf numFmtId="2" fontId="23" fillId="3" borderId="0" xfId="0" applyNumberFormat="1" applyFont="1" applyFill="1" applyBorder="1" applyAlignment="1">
      <alignment horizontal="center"/>
    </xf>
    <xf numFmtId="203" fontId="23" fillId="0" borderId="0" xfId="0" applyNumberFormat="1" applyFont="1" applyFill="1" applyBorder="1"/>
    <xf numFmtId="0" fontId="83" fillId="0" borderId="0" xfId="0" applyFont="1" applyFill="1" applyBorder="1"/>
    <xf numFmtId="0" fontId="84" fillId="0" borderId="0" xfId="0" applyFont="1" applyFill="1" applyBorder="1"/>
    <xf numFmtId="0" fontId="85" fillId="0" borderId="0" xfId="0" applyFont="1" applyFill="1" applyBorder="1"/>
    <xf numFmtId="203" fontId="23" fillId="0" borderId="3" xfId="0" applyNumberFormat="1" applyFont="1" applyFill="1" applyBorder="1"/>
    <xf numFmtId="0" fontId="77" fillId="3" borderId="0" xfId="0" applyFont="1" applyFill="1" applyBorder="1"/>
    <xf numFmtId="2" fontId="77" fillId="0" borderId="0" xfId="0" applyNumberFormat="1" applyFont="1" applyFill="1" applyBorder="1"/>
    <xf numFmtId="203" fontId="77" fillId="0" borderId="0" xfId="0" applyNumberFormat="1" applyFont="1" applyFill="1" applyBorder="1"/>
    <xf numFmtId="0" fontId="86" fillId="0" borderId="0" xfId="0" applyFont="1" applyFill="1" applyBorder="1"/>
    <xf numFmtId="236" fontId="86" fillId="3" borderId="0" xfId="0" applyNumberFormat="1" applyFont="1" applyFill="1" applyBorder="1"/>
    <xf numFmtId="238" fontId="86" fillId="3" borderId="0" xfId="0" applyNumberFormat="1" applyFont="1" applyFill="1" applyBorder="1"/>
    <xf numFmtId="204" fontId="86" fillId="3" borderId="0" xfId="0" applyNumberFormat="1" applyFont="1" applyFill="1" applyBorder="1"/>
    <xf numFmtId="204" fontId="86" fillId="0" borderId="0" xfId="0" applyNumberFormat="1" applyFont="1" applyFill="1" applyBorder="1"/>
    <xf numFmtId="203" fontId="82" fillId="0" borderId="0" xfId="0" applyNumberFormat="1" applyFont="1" applyFill="1" applyBorder="1"/>
    <xf numFmtId="203" fontId="83" fillId="0" borderId="0" xfId="0" applyNumberFormat="1" applyFont="1" applyFill="1" applyBorder="1"/>
    <xf numFmtId="203" fontId="5" fillId="0" borderId="0" xfId="0" applyNumberFormat="1" applyFont="1" applyFill="1" applyBorder="1"/>
    <xf numFmtId="0" fontId="82" fillId="0" borderId="0" xfId="0" applyFont="1" applyFill="1" applyBorder="1"/>
    <xf numFmtId="0" fontId="82" fillId="0" borderId="0" xfId="0" applyFont="1" applyFill="1" applyBorder="1" applyAlignment="1">
      <alignment horizontal="center"/>
    </xf>
    <xf numFmtId="0" fontId="82" fillId="0" borderId="0" xfId="0" applyFont="1" applyFill="1" applyBorder="1" applyAlignment="1">
      <alignment horizontal="left"/>
    </xf>
    <xf numFmtId="245" fontId="82" fillId="0" borderId="0" xfId="0" applyNumberFormat="1" applyFont="1" applyFill="1" applyBorder="1" applyAlignment="1">
      <alignment horizontal="left"/>
    </xf>
    <xf numFmtId="205" fontId="82" fillId="0" borderId="0" xfId="0" applyNumberFormat="1" applyFont="1" applyFill="1" applyBorder="1" applyAlignment="1">
      <alignment horizontal="center"/>
    </xf>
    <xf numFmtId="245" fontId="82" fillId="0" borderId="0" xfId="0" applyNumberFormat="1" applyFont="1" applyFill="1" applyBorder="1" applyAlignment="1">
      <alignment horizontal="center"/>
    </xf>
    <xf numFmtId="0" fontId="23" fillId="0" borderId="0" xfId="0" applyFont="1" applyFill="1" applyBorder="1" applyAlignment="1"/>
    <xf numFmtId="201" fontId="23" fillId="3" borderId="0" xfId="0" applyNumberFormat="1" applyFont="1" applyFill="1" applyBorder="1" applyAlignment="1">
      <alignment horizontal="right"/>
    </xf>
    <xf numFmtId="168" fontId="23" fillId="3" borderId="0" xfId="0" applyNumberFormat="1" applyFont="1" applyFill="1" applyBorder="1" applyAlignment="1">
      <alignment horizontal="center"/>
    </xf>
    <xf numFmtId="239" fontId="23" fillId="0" borderId="0" xfId="0" applyNumberFormat="1" applyFont="1" applyFill="1" applyBorder="1" applyAlignment="1"/>
    <xf numFmtId="235" fontId="23" fillId="3" borderId="0" xfId="0" applyNumberFormat="1" applyFont="1" applyFill="1" applyBorder="1" applyAlignment="1">
      <alignment horizontal="right"/>
    </xf>
    <xf numFmtId="240" fontId="23" fillId="0" borderId="0" xfId="0" applyNumberFormat="1" applyFont="1" applyFill="1" applyBorder="1" applyAlignment="1">
      <alignment horizontal="center"/>
    </xf>
    <xf numFmtId="205" fontId="23" fillId="0" borderId="0" xfId="0" applyNumberFormat="1" applyFont="1" applyFill="1" applyBorder="1"/>
    <xf numFmtId="9" fontId="23" fillId="0" borderId="0" xfId="0" applyNumberFormat="1" applyFont="1" applyFill="1" applyBorder="1"/>
    <xf numFmtId="0" fontId="5" fillId="0" borderId="0" xfId="0" applyFont="1" applyFill="1" applyBorder="1" applyAlignment="1"/>
    <xf numFmtId="0" fontId="5" fillId="3" borderId="0" xfId="0" applyFont="1" applyFill="1" applyBorder="1"/>
    <xf numFmtId="168" fontId="82" fillId="3" borderId="0" xfId="0" applyNumberFormat="1" applyFont="1" applyFill="1" applyBorder="1"/>
    <xf numFmtId="240" fontId="5" fillId="0" borderId="0" xfId="0" applyNumberFormat="1" applyFont="1" applyFill="1" applyBorder="1" applyAlignment="1">
      <alignment horizontal="center"/>
    </xf>
    <xf numFmtId="203" fontId="5" fillId="0" borderId="0" xfId="0" applyNumberFormat="1" applyFont="1" applyFill="1" applyBorder="1" applyAlignment="1">
      <alignment horizontal="center"/>
    </xf>
    <xf numFmtId="168" fontId="23" fillId="0" borderId="0" xfId="0" applyNumberFormat="1" applyFont="1" applyFill="1" applyBorder="1"/>
    <xf numFmtId="0" fontId="23" fillId="0" borderId="0" xfId="0" applyFont="1" applyFill="1" applyBorder="1" applyAlignment="1">
      <alignment horizontal="center"/>
    </xf>
    <xf numFmtId="0" fontId="23" fillId="3" borderId="0" xfId="0" applyFont="1" applyFill="1" applyBorder="1" applyAlignment="1">
      <alignment horizontal="center"/>
    </xf>
    <xf numFmtId="246" fontId="23" fillId="0" borderId="0" xfId="0" applyNumberFormat="1" applyFont="1" applyFill="1" applyBorder="1" applyAlignment="1">
      <alignment horizontal="center"/>
    </xf>
    <xf numFmtId="246" fontId="23" fillId="3" borderId="0" xfId="0" applyNumberFormat="1" applyFont="1" applyFill="1" applyBorder="1" applyAlignment="1">
      <alignment horizontal="left"/>
    </xf>
    <xf numFmtId="247" fontId="23" fillId="0" borderId="0" xfId="0" applyNumberFormat="1" applyFont="1" applyFill="1" applyBorder="1" applyAlignment="1">
      <alignment horizontal="left"/>
    </xf>
    <xf numFmtId="169" fontId="23" fillId="0" borderId="0" xfId="0" applyNumberFormat="1" applyFont="1" applyFill="1" applyBorder="1" applyAlignment="1">
      <alignment horizontal="center"/>
    </xf>
    <xf numFmtId="201" fontId="5" fillId="0" borderId="0" xfId="0" applyNumberFormat="1" applyFont="1" applyFill="1" applyBorder="1" applyAlignment="1">
      <alignment horizontal="left"/>
    </xf>
    <xf numFmtId="244" fontId="5" fillId="0" borderId="0" xfId="0" applyNumberFormat="1" applyFont="1" applyFill="1" applyBorder="1"/>
    <xf numFmtId="242" fontId="23" fillId="0" borderId="0" xfId="0" applyNumberFormat="1" applyFont="1" applyFill="1" applyBorder="1" applyAlignment="1">
      <alignment horizontal="left"/>
    </xf>
    <xf numFmtId="169" fontId="23" fillId="0" borderId="0" xfId="0" applyNumberFormat="1" applyFont="1" applyFill="1" applyBorder="1"/>
    <xf numFmtId="201" fontId="23" fillId="0" borderId="0" xfId="0" applyNumberFormat="1" applyFont="1" applyFill="1" applyBorder="1" applyAlignment="1">
      <alignment horizontal="left"/>
    </xf>
    <xf numFmtId="242" fontId="23" fillId="0" borderId="0" xfId="0" applyNumberFormat="1" applyFont="1" applyFill="1" applyBorder="1" applyAlignment="1">
      <alignment horizontal="center"/>
    </xf>
    <xf numFmtId="229" fontId="23" fillId="0" borderId="0" xfId="0" applyNumberFormat="1" applyFont="1" applyFill="1" applyBorder="1" applyAlignment="1">
      <alignment horizontal="center"/>
    </xf>
    <xf numFmtId="228" fontId="23" fillId="0" borderId="0" xfId="0" applyNumberFormat="1" applyFont="1" applyFill="1" applyBorder="1"/>
    <xf numFmtId="0" fontId="79" fillId="10" borderId="0" xfId="0" applyFont="1" applyFill="1"/>
    <xf numFmtId="0" fontId="23" fillId="10" borderId="0" xfId="0" applyFont="1" applyFill="1"/>
    <xf numFmtId="0" fontId="77" fillId="10" borderId="0" xfId="0" applyFont="1" applyFill="1" applyAlignment="1">
      <alignment horizontal="center"/>
    </xf>
    <xf numFmtId="0" fontId="77" fillId="0" borderId="0" xfId="0" applyFont="1" applyFill="1"/>
    <xf numFmtId="168" fontId="77" fillId="2" borderId="0" xfId="0" applyNumberFormat="1" applyFont="1" applyFill="1" applyBorder="1" applyAlignment="1">
      <alignment horizontal="center"/>
    </xf>
    <xf numFmtId="168" fontId="77" fillId="0" borderId="0" xfId="0" applyNumberFormat="1" applyFont="1" applyFill="1" applyBorder="1" applyAlignment="1">
      <alignment horizontal="center"/>
    </xf>
    <xf numFmtId="0" fontId="77" fillId="0" borderId="0" xfId="0" applyFont="1" applyFill="1" applyBorder="1" applyAlignment="1">
      <alignment horizontal="center"/>
    </xf>
    <xf numFmtId="183" fontId="23" fillId="0" borderId="0" xfId="0" applyNumberFormat="1" applyFont="1" applyFill="1" applyBorder="1" applyAlignment="1">
      <alignment horizontal="center"/>
    </xf>
    <xf numFmtId="0" fontId="23" fillId="0" borderId="0" xfId="0" applyFont="1" applyFill="1" applyAlignment="1">
      <alignment horizontal="center"/>
    </xf>
    <xf numFmtId="3" fontId="23" fillId="3" borderId="0" xfId="0" applyNumberFormat="1" applyFont="1" applyFill="1" applyBorder="1" applyAlignment="1">
      <alignment horizontal="center"/>
    </xf>
    <xf numFmtId="169" fontId="23" fillId="3" borderId="0" xfId="0" applyNumberFormat="1" applyFont="1" applyFill="1" applyBorder="1" applyAlignment="1">
      <alignment horizontal="center"/>
    </xf>
    <xf numFmtId="0" fontId="87" fillId="0" borderId="0" xfId="0" applyFont="1" applyFill="1" applyAlignment="1">
      <alignment horizontal="center"/>
    </xf>
    <xf numFmtId="230" fontId="23" fillId="3" borderId="0" xfId="0" applyNumberFormat="1" applyFont="1" applyFill="1" applyBorder="1" applyAlignment="1">
      <alignment horizontal="center"/>
    </xf>
    <xf numFmtId="172" fontId="23" fillId="3" borderId="0" xfId="0" applyNumberFormat="1" applyFont="1" applyFill="1" applyBorder="1" applyAlignment="1">
      <alignment horizontal="center"/>
    </xf>
    <xf numFmtId="3" fontId="23" fillId="0" borderId="0" xfId="0" applyNumberFormat="1" applyFont="1" applyFill="1" applyBorder="1" applyAlignment="1">
      <alignment horizontal="center"/>
    </xf>
    <xf numFmtId="1" fontId="5" fillId="3" borderId="0" xfId="0" applyNumberFormat="1" applyFont="1" applyFill="1" applyBorder="1" applyAlignment="1">
      <alignment horizontal="center"/>
    </xf>
    <xf numFmtId="218" fontId="5" fillId="3" borderId="0" xfId="0" applyNumberFormat="1" applyFont="1" applyFill="1" applyBorder="1" applyAlignment="1">
      <alignment horizontal="center"/>
    </xf>
    <xf numFmtId="169" fontId="5" fillId="0" borderId="0" xfId="0" applyNumberFormat="1" applyFont="1" applyFill="1" applyBorder="1" applyAlignment="1">
      <alignment horizontal="center"/>
    </xf>
    <xf numFmtId="1" fontId="5" fillId="0" borderId="0" xfId="0" applyNumberFormat="1" applyFont="1" applyFill="1" applyBorder="1" applyAlignment="1">
      <alignment horizontal="center"/>
    </xf>
    <xf numFmtId="218" fontId="5" fillId="0" borderId="0" xfId="0" applyNumberFormat="1" applyFont="1" applyFill="1" applyBorder="1" applyAlignment="1">
      <alignment horizontal="center"/>
    </xf>
    <xf numFmtId="169" fontId="5" fillId="3" borderId="0" xfId="0" applyNumberFormat="1" applyFont="1" applyFill="1" applyBorder="1" applyAlignment="1">
      <alignment horizontal="center"/>
    </xf>
    <xf numFmtId="218" fontId="5" fillId="0" borderId="0" xfId="0" applyNumberFormat="1" applyFont="1" applyBorder="1" applyAlignment="1">
      <alignment horizontal="center"/>
    </xf>
    <xf numFmtId="169" fontId="5" fillId="0" borderId="3" xfId="0" applyNumberFormat="1" applyFont="1" applyFill="1" applyBorder="1" applyAlignment="1">
      <alignment horizontal="center"/>
    </xf>
    <xf numFmtId="1" fontId="23" fillId="0" borderId="0" xfId="0" applyNumberFormat="1" applyFont="1" applyFill="1" applyBorder="1"/>
    <xf numFmtId="169" fontId="77" fillId="0" borderId="0" xfId="0" applyNumberFormat="1" applyFont="1" applyFill="1" applyBorder="1" applyAlignment="1">
      <alignment horizontal="center"/>
    </xf>
    <xf numFmtId="0" fontId="5" fillId="0" borderId="0" xfId="0" applyFont="1" applyFill="1" applyBorder="1" applyAlignment="1">
      <alignment wrapText="1"/>
    </xf>
    <xf numFmtId="2" fontId="5" fillId="3" borderId="0" xfId="0" applyNumberFormat="1" applyFont="1" applyFill="1" applyBorder="1"/>
    <xf numFmtId="168" fontId="77" fillId="2" borderId="0" xfId="0" applyNumberFormat="1" applyFont="1" applyFill="1" applyBorder="1" applyAlignment="1">
      <alignment horizontal="center" vertical="center"/>
    </xf>
    <xf numFmtId="169" fontId="77" fillId="2" borderId="0" xfId="0" applyNumberFormat="1" applyFont="1" applyFill="1" applyBorder="1" applyAlignment="1">
      <alignment horizontal="center"/>
    </xf>
    <xf numFmtId="0" fontId="77" fillId="2" borderId="0" xfId="0" applyFont="1" applyFill="1" applyAlignment="1">
      <alignment horizontal="center"/>
    </xf>
    <xf numFmtId="168" fontId="23" fillId="0" borderId="0" xfId="0" applyNumberFormat="1" applyFont="1" applyFill="1" applyBorder="1" applyAlignment="1">
      <alignment horizontal="center"/>
    </xf>
    <xf numFmtId="168" fontId="5" fillId="3" borderId="0" xfId="0" applyNumberFormat="1" applyFont="1" applyFill="1" applyBorder="1" applyAlignment="1">
      <alignment horizontal="center"/>
    </xf>
    <xf numFmtId="168" fontId="5" fillId="0" borderId="0" xfId="0" applyNumberFormat="1" applyFont="1" applyFill="1" applyBorder="1" applyAlignment="1">
      <alignment horizontal="center"/>
    </xf>
    <xf numFmtId="1" fontId="23" fillId="3" borderId="0" xfId="0" applyNumberFormat="1" applyFont="1" applyFill="1" applyBorder="1" applyAlignment="1">
      <alignment horizontal="center"/>
    </xf>
    <xf numFmtId="1" fontId="23" fillId="0" borderId="0" xfId="0" applyNumberFormat="1" applyFont="1" applyFill="1" applyBorder="1" applyAlignment="1">
      <alignment horizontal="center"/>
    </xf>
    <xf numFmtId="183" fontId="5" fillId="0" borderId="0" xfId="0" applyNumberFormat="1" applyFont="1" applyFill="1" applyBorder="1" applyAlignment="1">
      <alignment horizontal="center"/>
    </xf>
    <xf numFmtId="0" fontId="5" fillId="0" borderId="0" xfId="0" applyFont="1" applyFill="1" applyBorder="1" applyAlignment="1">
      <alignment horizontal="center"/>
    </xf>
    <xf numFmtId="0" fontId="23" fillId="0" borderId="0" xfId="0" applyFont="1" applyAlignment="1">
      <alignment horizontal="center"/>
    </xf>
    <xf numFmtId="9" fontId="23" fillId="3" borderId="0" xfId="0" applyNumberFormat="1" applyFont="1" applyFill="1"/>
    <xf numFmtId="3" fontId="23" fillId="0" borderId="0" xfId="0" applyNumberFormat="1" applyFont="1" applyAlignment="1">
      <alignment horizontal="center"/>
    </xf>
    <xf numFmtId="0" fontId="23" fillId="3" borderId="0" xfId="0" applyFont="1" applyFill="1" applyAlignment="1">
      <alignment horizontal="center"/>
    </xf>
    <xf numFmtId="9" fontId="23" fillId="0" borderId="0" xfId="0" applyNumberFormat="1" applyFont="1"/>
    <xf numFmtId="9" fontId="23" fillId="0" borderId="0" xfId="0" applyNumberFormat="1" applyFont="1" applyAlignment="1">
      <alignment horizontal="center"/>
    </xf>
    <xf numFmtId="3" fontId="77" fillId="0" borderId="0" xfId="0" applyNumberFormat="1" applyFont="1" applyFill="1" applyAlignment="1">
      <alignment horizontal="center"/>
    </xf>
    <xf numFmtId="0" fontId="7" fillId="0" borderId="0" xfId="0" applyFont="1" applyFill="1" applyBorder="1" applyAlignment="1">
      <alignment horizontal="right"/>
    </xf>
    <xf numFmtId="3" fontId="4" fillId="0" borderId="0" xfId="0" applyNumberFormat="1" applyFont="1" applyFill="1" applyAlignment="1">
      <alignment horizontal="left"/>
    </xf>
    <xf numFmtId="168" fontId="5" fillId="2" borderId="0" xfId="0" applyNumberFormat="1" applyFont="1" applyFill="1" applyAlignment="1">
      <alignment horizontal="center" wrapText="1"/>
    </xf>
    <xf numFmtId="0" fontId="1" fillId="0" borderId="0" xfId="0" applyFont="1" applyFill="1" applyBorder="1" applyAlignment="1">
      <alignment horizontal="center"/>
    </xf>
    <xf numFmtId="9" fontId="77" fillId="0" borderId="0" xfId="1" applyFont="1" applyFill="1" applyBorder="1" applyAlignment="1">
      <alignment horizontal="center"/>
    </xf>
    <xf numFmtId="9" fontId="5" fillId="0" borderId="0" xfId="1" applyFont="1" applyFill="1" applyBorder="1" applyAlignment="1">
      <alignment horizontal="center"/>
    </xf>
    <xf numFmtId="194" fontId="1" fillId="0" borderId="0" xfId="0" applyNumberFormat="1" applyFont="1" applyFill="1" applyBorder="1" applyAlignment="1">
      <alignment horizontal="center"/>
    </xf>
    <xf numFmtId="169" fontId="0" fillId="0" borderId="0" xfId="0" applyNumberFormat="1" applyBorder="1" applyAlignment="1">
      <alignment horizontal="center"/>
    </xf>
    <xf numFmtId="194" fontId="11" fillId="0" borderId="0" xfId="0" applyNumberFormat="1" applyFont="1" applyFill="1" applyBorder="1" applyAlignment="1">
      <alignment horizontal="center"/>
    </xf>
    <xf numFmtId="194" fontId="11" fillId="0" borderId="3" xfId="0" applyNumberFormat="1" applyFont="1" applyFill="1" applyBorder="1" applyAlignment="1">
      <alignment horizontal="center"/>
    </xf>
    <xf numFmtId="194" fontId="10" fillId="0" borderId="0" xfId="0" applyNumberFormat="1" applyFont="1" applyFill="1" applyAlignment="1">
      <alignment horizontal="center"/>
    </xf>
    <xf numFmtId="172" fontId="0" fillId="0" borderId="0" xfId="0" applyNumberFormat="1" applyFill="1" applyBorder="1" applyAlignment="1">
      <alignment horizontal="center"/>
    </xf>
    <xf numFmtId="169" fontId="0" fillId="0" borderId="3" xfId="0" applyNumberFormat="1" applyFill="1" applyBorder="1" applyAlignment="1">
      <alignment horizontal="center"/>
    </xf>
    <xf numFmtId="170" fontId="10" fillId="2" borderId="0" xfId="0" applyNumberFormat="1" applyFont="1" applyFill="1" applyBorder="1" applyAlignment="1">
      <alignment horizontal="center"/>
    </xf>
    <xf numFmtId="9" fontId="2" fillId="2" borderId="0" xfId="1" applyFill="1" applyAlignment="1">
      <alignment horizontal="center"/>
    </xf>
    <xf numFmtId="9" fontId="23" fillId="0" borderId="0" xfId="1" applyFont="1" applyFill="1" applyBorder="1" applyAlignment="1">
      <alignment horizontal="center"/>
    </xf>
    <xf numFmtId="201" fontId="0" fillId="0" borderId="0" xfId="0" applyNumberFormat="1" applyFill="1" applyBorder="1" applyAlignment="1">
      <alignment horizontal="right"/>
    </xf>
    <xf numFmtId="168" fontId="0" fillId="0" borderId="3" xfId="0" applyNumberFormat="1" applyFill="1" applyBorder="1" applyAlignment="1">
      <alignment horizontal="center"/>
    </xf>
    <xf numFmtId="168" fontId="10" fillId="0" borderId="0" xfId="0" applyNumberFormat="1" applyFont="1" applyFill="1" applyBorder="1" applyAlignment="1">
      <alignment horizontal="center"/>
    </xf>
    <xf numFmtId="9" fontId="2" fillId="2" borderId="0" xfId="1" applyFill="1" applyBorder="1" applyAlignment="1">
      <alignment horizontal="center"/>
    </xf>
    <xf numFmtId="0" fontId="5" fillId="0" borderId="0" xfId="0" applyFont="1" applyFill="1" applyBorder="1" applyAlignment="1">
      <alignment horizontal="right"/>
    </xf>
    <xf numFmtId="1" fontId="10" fillId="0" borderId="0" xfId="0" applyNumberFormat="1" applyFont="1" applyFill="1" applyBorder="1" applyAlignment="1">
      <alignment horizontal="center"/>
    </xf>
    <xf numFmtId="9" fontId="82" fillId="0" borderId="0" xfId="1" applyFont="1" applyFill="1" applyBorder="1" applyAlignment="1">
      <alignment horizontal="center"/>
    </xf>
    <xf numFmtId="9" fontId="23" fillId="0" borderId="0" xfId="1" applyFont="1" applyFill="1" applyAlignment="1">
      <alignment horizontal="center"/>
    </xf>
    <xf numFmtId="227" fontId="0" fillId="0" borderId="0" xfId="0" applyNumberFormat="1" applyFill="1" applyAlignment="1">
      <alignment horizontal="center"/>
    </xf>
    <xf numFmtId="9" fontId="77" fillId="0" borderId="0" xfId="1" applyFont="1" applyFill="1" applyAlignment="1">
      <alignment horizontal="center"/>
    </xf>
    <xf numFmtId="9" fontId="23" fillId="2" borderId="0" xfId="1" applyFont="1" applyFill="1" applyAlignment="1">
      <alignment horizontal="center"/>
    </xf>
    <xf numFmtId="168" fontId="10" fillId="0" borderId="0" xfId="0" applyNumberFormat="1" applyFont="1" applyFill="1" applyAlignment="1">
      <alignment horizontal="center"/>
    </xf>
    <xf numFmtId="0" fontId="89" fillId="0" borderId="0" xfId="0" applyFont="1" applyFill="1"/>
    <xf numFmtId="168" fontId="89" fillId="0" borderId="0" xfId="0" applyNumberFormat="1" applyFont="1" applyFill="1" applyAlignment="1">
      <alignment horizontal="center"/>
    </xf>
    <xf numFmtId="169" fontId="89" fillId="0" borderId="0" xfId="0" applyNumberFormat="1" applyFont="1" applyFill="1" applyAlignment="1">
      <alignment horizontal="center"/>
    </xf>
    <xf numFmtId="170" fontId="32" fillId="0" borderId="0" xfId="0" applyNumberFormat="1" applyFont="1" applyFill="1" applyBorder="1" applyAlignment="1">
      <alignment horizontal="center"/>
    </xf>
    <xf numFmtId="170" fontId="6" fillId="0" borderId="0" xfId="0" applyNumberFormat="1" applyFont="1" applyFill="1" applyBorder="1" applyAlignment="1">
      <alignment horizontal="center"/>
    </xf>
    <xf numFmtId="170" fontId="10" fillId="0" borderId="7" xfId="0" applyNumberFormat="1" applyFont="1" applyFill="1" applyBorder="1" applyAlignment="1">
      <alignment horizontal="center"/>
    </xf>
    <xf numFmtId="0" fontId="12" fillId="0" borderId="0" xfId="0" applyFont="1" applyFill="1"/>
    <xf numFmtId="0" fontId="25" fillId="0" borderId="0" xfId="0" applyFont="1" applyFill="1" applyBorder="1"/>
    <xf numFmtId="0" fontId="25" fillId="0" borderId="0" xfId="0" applyFont="1" applyFill="1"/>
    <xf numFmtId="0" fontId="89" fillId="0" borderId="0" xfId="0" applyFont="1" applyFill="1" applyBorder="1"/>
    <xf numFmtId="0" fontId="16" fillId="0" borderId="0" xfId="0" applyFont="1" applyFill="1" applyBorder="1"/>
    <xf numFmtId="0" fontId="80" fillId="6" borderId="0" xfId="0" applyFont="1" applyFill="1"/>
    <xf numFmtId="0" fontId="88" fillId="6" borderId="0" xfId="0" applyFont="1" applyFill="1"/>
    <xf numFmtId="183" fontId="88" fillId="6" borderId="0" xfId="0" applyNumberFormat="1" applyFont="1" applyFill="1" applyAlignment="1">
      <alignment horizontal="center"/>
    </xf>
    <xf numFmtId="0" fontId="88" fillId="6" borderId="0" xfId="0" applyFont="1" applyFill="1" applyAlignment="1">
      <alignment horizontal="center"/>
    </xf>
    <xf numFmtId="0" fontId="12" fillId="6" borderId="0" xfId="0" applyFont="1" applyFill="1"/>
    <xf numFmtId="0" fontId="21" fillId="6" borderId="0" xfId="0" applyFont="1" applyFill="1"/>
    <xf numFmtId="0" fontId="89" fillId="6" borderId="0" xfId="0" applyFont="1" applyFill="1"/>
    <xf numFmtId="1" fontId="89" fillId="6" borderId="0" xfId="0" applyNumberFormat="1" applyFont="1" applyFill="1"/>
    <xf numFmtId="169" fontId="89" fillId="6" borderId="0" xfId="0" applyNumberFormat="1" applyFont="1" applyFill="1" applyAlignment="1">
      <alignment horizontal="center"/>
    </xf>
    <xf numFmtId="170" fontId="21" fillId="6" borderId="0" xfId="0" applyNumberFormat="1" applyFont="1" applyFill="1" applyBorder="1" applyAlignment="1">
      <alignment horizontal="center"/>
    </xf>
    <xf numFmtId="9" fontId="12" fillId="6" borderId="0" xfId="1" applyFont="1" applyFill="1" applyAlignment="1">
      <alignment horizontal="center"/>
    </xf>
    <xf numFmtId="0" fontId="25" fillId="6" borderId="0" xfId="0" applyFont="1" applyFill="1"/>
    <xf numFmtId="168" fontId="25" fillId="6" borderId="0" xfId="0" applyNumberFormat="1" applyFont="1" applyFill="1" applyAlignment="1">
      <alignment horizontal="center"/>
    </xf>
    <xf numFmtId="169" fontId="25" fillId="6" borderId="0" xfId="0" applyNumberFormat="1" applyFont="1" applyFill="1" applyAlignment="1">
      <alignment horizontal="center"/>
    </xf>
    <xf numFmtId="0" fontId="31" fillId="6" borderId="0" xfId="0" applyFont="1" applyFill="1"/>
    <xf numFmtId="170" fontId="31" fillId="6" borderId="0" xfId="0" applyNumberFormat="1" applyFont="1" applyFill="1" applyBorder="1" applyAlignment="1">
      <alignment horizontal="center"/>
    </xf>
    <xf numFmtId="9" fontId="21" fillId="6" borderId="0" xfId="1" applyFont="1" applyFill="1" applyAlignment="1">
      <alignment horizontal="center"/>
    </xf>
    <xf numFmtId="170" fontId="91" fillId="6" borderId="0" xfId="0" applyNumberFormat="1" applyFont="1" applyFill="1" applyAlignment="1">
      <alignment horizontal="center"/>
    </xf>
    <xf numFmtId="9" fontId="74" fillId="6" borderId="0" xfId="1" applyFont="1" applyFill="1" applyAlignment="1">
      <alignment horizontal="center"/>
    </xf>
    <xf numFmtId="168" fontId="89" fillId="6" borderId="0" xfId="0" applyNumberFormat="1" applyFont="1" applyFill="1" applyAlignment="1">
      <alignment horizontal="center"/>
    </xf>
    <xf numFmtId="0" fontId="32" fillId="6" borderId="0" xfId="0" applyFont="1" applyFill="1"/>
    <xf numFmtId="0" fontId="32" fillId="6" borderId="0" xfId="0" applyNumberFormat="1" applyFont="1" applyFill="1" applyBorder="1" applyAlignment="1">
      <alignment horizontal="center"/>
    </xf>
    <xf numFmtId="170" fontId="32" fillId="6" borderId="0" xfId="0" applyNumberFormat="1" applyFont="1" applyFill="1" applyBorder="1" applyAlignment="1">
      <alignment horizontal="center"/>
    </xf>
    <xf numFmtId="1" fontId="32" fillId="6" borderId="0" xfId="0" applyNumberFormat="1" applyFont="1" applyFill="1" applyBorder="1" applyAlignment="1">
      <alignment horizontal="center"/>
    </xf>
    <xf numFmtId="0" fontId="16" fillId="6" borderId="0" xfId="0" applyFont="1" applyFill="1"/>
    <xf numFmtId="0" fontId="76" fillId="6" borderId="0" xfId="0" applyFont="1" applyFill="1" applyAlignment="1"/>
    <xf numFmtId="0" fontId="12" fillId="6" borderId="0" xfId="0" applyFont="1" applyFill="1" applyAlignment="1">
      <alignment horizontal="center"/>
    </xf>
    <xf numFmtId="3" fontId="12" fillId="6" borderId="0" xfId="0" applyNumberFormat="1" applyFont="1" applyFill="1" applyAlignment="1">
      <alignment horizontal="center"/>
    </xf>
    <xf numFmtId="9" fontId="12" fillId="6" borderId="0" xfId="0" applyNumberFormat="1" applyFont="1" applyFill="1" applyAlignment="1">
      <alignment horizontal="center"/>
    </xf>
    <xf numFmtId="3" fontId="11" fillId="3" borderId="0" xfId="0" applyNumberFormat="1" applyFont="1" applyFill="1" applyBorder="1" applyAlignment="1">
      <alignment horizontal="center"/>
    </xf>
    <xf numFmtId="230" fontId="11" fillId="3" borderId="0" xfId="0" applyNumberFormat="1" applyFont="1" applyFill="1" applyBorder="1" applyAlignment="1">
      <alignment horizontal="center"/>
    </xf>
    <xf numFmtId="172" fontId="11" fillId="3" borderId="0" xfId="0" applyNumberFormat="1" applyFont="1" applyFill="1" applyBorder="1" applyAlignment="1">
      <alignment horizontal="center"/>
    </xf>
    <xf numFmtId="1" fontId="11" fillId="0" borderId="0" xfId="0" applyNumberFormat="1" applyFont="1" applyFill="1" applyBorder="1"/>
    <xf numFmtId="183" fontId="16" fillId="6" borderId="0" xfId="0" applyNumberFormat="1" applyFont="1" applyFill="1" applyAlignment="1">
      <alignment horizontal="center"/>
    </xf>
    <xf numFmtId="0" fontId="16" fillId="6" borderId="0" xfId="0" applyFont="1" applyFill="1" applyAlignment="1">
      <alignment horizontal="center"/>
    </xf>
    <xf numFmtId="9" fontId="11" fillId="3" borderId="0" xfId="0" applyNumberFormat="1" applyFont="1" applyFill="1"/>
    <xf numFmtId="9" fontId="11" fillId="0" borderId="0" xfId="0" applyNumberFormat="1" applyFont="1"/>
    <xf numFmtId="0" fontId="80" fillId="8" borderId="0" xfId="0" applyFont="1" applyFill="1" applyAlignment="1">
      <alignment horizontal="left" vertical="center"/>
    </xf>
    <xf numFmtId="0" fontId="32" fillId="8" borderId="0" xfId="0" applyFont="1" applyFill="1" applyBorder="1"/>
    <xf numFmtId="0" fontId="30" fillId="6" borderId="0" xfId="0" applyFont="1" applyFill="1" applyBorder="1"/>
    <xf numFmtId="0" fontId="38" fillId="6" borderId="0" xfId="0" applyFont="1" applyFill="1" applyBorder="1"/>
    <xf numFmtId="0" fontId="30" fillId="6" borderId="0" xfId="0" applyFont="1" applyFill="1" applyAlignment="1"/>
    <xf numFmtId="0" fontId="42" fillId="6" borderId="0" xfId="0" applyFont="1" applyFill="1"/>
    <xf numFmtId="0" fontId="31" fillId="6" borderId="0" xfId="0" applyFont="1" applyFill="1" applyBorder="1" applyAlignment="1">
      <alignment horizontal="center" vertical="center"/>
    </xf>
    <xf numFmtId="9" fontId="11" fillId="0" borderId="0" xfId="1" applyFont="1" applyFill="1" applyAlignment="1">
      <alignment horizontal="center"/>
    </xf>
    <xf numFmtId="3" fontId="11" fillId="0" borderId="0" xfId="0" applyNumberFormat="1" applyFont="1" applyFill="1" applyAlignment="1">
      <alignment horizontal="center"/>
    </xf>
    <xf numFmtId="3" fontId="80" fillId="6" borderId="0" xfId="0" applyNumberFormat="1" applyFont="1" applyFill="1"/>
    <xf numFmtId="9" fontId="80" fillId="6" borderId="0" xfId="0" applyNumberFormat="1" applyFont="1" applyFill="1"/>
    <xf numFmtId="0" fontId="11" fillId="3" borderId="0" xfId="0" applyNumberFormat="1" applyFont="1" applyFill="1" applyAlignment="1">
      <alignment horizontal="center"/>
    </xf>
    <xf numFmtId="0" fontId="0" fillId="3" borderId="0" xfId="0" applyNumberFormat="1" applyFill="1" applyAlignment="1">
      <alignment horizontal="center"/>
    </xf>
    <xf numFmtId="248" fontId="0" fillId="3" borderId="0" xfId="0" applyNumberFormat="1" applyFill="1" applyAlignment="1">
      <alignment horizontal="center"/>
    </xf>
    <xf numFmtId="178" fontId="30" fillId="6" borderId="0" xfId="0" applyNumberFormat="1" applyFont="1" applyFill="1" applyAlignment="1">
      <alignment horizontal="left"/>
    </xf>
    <xf numFmtId="0" fontId="71" fillId="6" borderId="0" xfId="0" applyFont="1" applyFill="1" applyAlignment="1">
      <alignment horizontal="right"/>
    </xf>
    <xf numFmtId="0" fontId="71" fillId="6" borderId="0" xfId="0" applyFont="1" applyFill="1"/>
    <xf numFmtId="249" fontId="2" fillId="0" borderId="1" xfId="0" applyNumberFormat="1" applyFont="1" applyFill="1" applyBorder="1" applyAlignment="1">
      <alignment horizontal="center"/>
    </xf>
    <xf numFmtId="249" fontId="0" fillId="0" borderId="1" xfId="0" applyNumberFormat="1" applyFill="1" applyBorder="1" applyAlignment="1">
      <alignment horizontal="center"/>
    </xf>
    <xf numFmtId="210" fontId="2" fillId="0" borderId="0" xfId="0" applyNumberFormat="1" applyFont="1" applyFill="1" applyBorder="1" applyAlignment="1">
      <alignment horizontal="center"/>
    </xf>
    <xf numFmtId="4" fontId="2" fillId="0" borderId="0" xfId="0" applyNumberFormat="1" applyFont="1" applyFill="1" applyBorder="1" applyAlignment="1">
      <alignment horizontal="center"/>
    </xf>
    <xf numFmtId="183" fontId="2" fillId="0" borderId="0" xfId="0" applyNumberFormat="1" applyFont="1" applyFill="1" applyAlignment="1">
      <alignment horizontal="center"/>
    </xf>
    <xf numFmtId="4" fontId="2" fillId="0" borderId="0" xfId="0" applyNumberFormat="1" applyFont="1" applyFill="1" applyAlignment="1">
      <alignment horizontal="center"/>
    </xf>
    <xf numFmtId="170" fontId="4" fillId="4" borderId="0" xfId="0" applyNumberFormat="1" applyFont="1" applyFill="1" applyAlignment="1">
      <alignment horizontal="center"/>
    </xf>
    <xf numFmtId="9" fontId="2" fillId="3" borderId="0" xfId="1" applyFont="1" applyFill="1" applyBorder="1" applyAlignment="1">
      <alignment horizontal="center"/>
    </xf>
    <xf numFmtId="213" fontId="2" fillId="3" borderId="0" xfId="0" applyNumberFormat="1" applyFont="1" applyFill="1" applyBorder="1" applyAlignment="1">
      <alignment horizontal="center"/>
    </xf>
    <xf numFmtId="0" fontId="1" fillId="0" borderId="0" xfId="0" applyFont="1" applyFill="1" applyBorder="1" applyAlignment="1">
      <alignment horizontal="center" vertical="center"/>
    </xf>
    <xf numFmtId="250" fontId="11" fillId="0" borderId="0" xfId="0" applyNumberFormat="1" applyFont="1" applyFill="1" applyBorder="1" applyAlignment="1">
      <alignment horizontal="center"/>
    </xf>
    <xf numFmtId="250" fontId="11" fillId="0" borderId="3" xfId="0" applyNumberFormat="1" applyFont="1" applyFill="1" applyBorder="1" applyAlignment="1">
      <alignment horizontal="center"/>
    </xf>
    <xf numFmtId="194" fontId="0" fillId="0" borderId="0" xfId="0" applyNumberFormat="1" applyFill="1"/>
    <xf numFmtId="170" fontId="31" fillId="6" borderId="0" xfId="0" applyNumberFormat="1" applyFont="1" applyFill="1" applyAlignment="1">
      <alignment horizontal="center"/>
    </xf>
    <xf numFmtId="9" fontId="90" fillId="0" borderId="0" xfId="1" applyFont="1" applyFill="1" applyAlignment="1">
      <alignment horizontal="center"/>
    </xf>
    <xf numFmtId="0" fontId="89" fillId="6" borderId="0" xfId="0" applyFont="1" applyFill="1" applyBorder="1"/>
    <xf numFmtId="168" fontId="4" fillId="0" borderId="0" xfId="0" applyNumberFormat="1" applyFont="1" applyFill="1" applyBorder="1" applyAlignment="1">
      <alignment vertical="center"/>
    </xf>
    <xf numFmtId="251" fontId="0" fillId="0" borderId="0" xfId="0" applyNumberFormat="1" applyFill="1" applyAlignment="1">
      <alignment horizontal="center"/>
    </xf>
    <xf numFmtId="2" fontId="92" fillId="0" borderId="0" xfId="0" applyNumberFormat="1" applyFont="1" applyFill="1"/>
    <xf numFmtId="0" fontId="92" fillId="0" borderId="0" xfId="0" applyFont="1" applyFill="1"/>
    <xf numFmtId="183" fontId="0" fillId="6" borderId="0" xfId="0" applyNumberFormat="1" applyFill="1" applyAlignment="1">
      <alignment horizontal="right"/>
    </xf>
    <xf numFmtId="0" fontId="93" fillId="2" borderId="0" xfId="0" applyFont="1" applyFill="1" applyAlignment="1">
      <alignment horizontal="center"/>
    </xf>
    <xf numFmtId="3" fontId="94" fillId="0" borderId="0" xfId="0" applyNumberFormat="1" applyFont="1" applyFill="1" applyAlignment="1">
      <alignment horizontal="center"/>
    </xf>
    <xf numFmtId="3" fontId="93" fillId="0" borderId="0" xfId="0" applyNumberFormat="1" applyFont="1" applyFill="1" applyAlignment="1">
      <alignment horizontal="center"/>
    </xf>
    <xf numFmtId="243" fontId="23" fillId="0" borderId="0" xfId="0" applyNumberFormat="1" applyFont="1" applyFill="1" applyBorder="1"/>
    <xf numFmtId="169" fontId="2" fillId="3" borderId="0" xfId="0" applyNumberFormat="1" applyFont="1" applyFill="1" applyAlignment="1">
      <alignment horizontal="center"/>
    </xf>
    <xf numFmtId="0" fontId="10" fillId="2" borderId="0" xfId="0" applyFont="1" applyFill="1" applyBorder="1" applyAlignment="1">
      <alignment horizontal="center" wrapText="1"/>
    </xf>
    <xf numFmtId="1" fontId="10" fillId="12" borderId="0" xfId="0" applyNumberFormat="1" applyFont="1" applyFill="1" applyAlignment="1">
      <alignment horizontal="center"/>
    </xf>
    <xf numFmtId="177" fontId="0" fillId="0" borderId="0" xfId="0" applyNumberFormat="1" applyFill="1" applyBorder="1" applyAlignment="1">
      <alignment horizontal="center"/>
    </xf>
    <xf numFmtId="0" fontId="2" fillId="0" borderId="0" xfId="0" applyFont="1" applyBorder="1" applyAlignment="1">
      <alignment wrapText="1"/>
    </xf>
    <xf numFmtId="0" fontId="2" fillId="0" borderId="0" xfId="0" applyFont="1" applyFill="1" applyAlignment="1">
      <alignment horizontal="center"/>
    </xf>
    <xf numFmtId="4" fontId="0" fillId="0" borderId="0" xfId="0" applyNumberFormat="1" applyFill="1" applyAlignment="1">
      <alignment horizontal="center"/>
    </xf>
    <xf numFmtId="249" fontId="0" fillId="0" borderId="0" xfId="0" applyNumberFormat="1" applyFill="1" applyBorder="1" applyAlignment="1">
      <alignment horizontal="center"/>
    </xf>
    <xf numFmtId="0" fontId="21" fillId="5" borderId="30" xfId="0" applyFont="1" applyFill="1" applyBorder="1" applyAlignment="1">
      <alignment horizontal="center" vertical="center"/>
    </xf>
    <xf numFmtId="0" fontId="21" fillId="0" borderId="31" xfId="0" applyFont="1" applyFill="1" applyBorder="1" applyAlignment="1">
      <alignment horizontal="center"/>
    </xf>
    <xf numFmtId="170" fontId="4" fillId="7" borderId="32" xfId="0" applyNumberFormat="1" applyFont="1" applyFill="1" applyBorder="1" applyAlignment="1">
      <alignment horizontal="center" vertical="center"/>
    </xf>
    <xf numFmtId="0" fontId="0" fillId="0" borderId="31" xfId="0" applyBorder="1" applyAlignment="1">
      <alignment vertical="center"/>
    </xf>
    <xf numFmtId="170" fontId="11" fillId="0" borderId="31" xfId="0" applyNumberFormat="1" applyFont="1" applyFill="1" applyBorder="1" applyAlignment="1">
      <alignment horizontal="center" vertical="center"/>
    </xf>
    <xf numFmtId="170" fontId="10" fillId="0" borderId="31" xfId="0" applyNumberFormat="1" applyFont="1" applyFill="1" applyBorder="1" applyAlignment="1">
      <alignment horizontal="center" vertical="center"/>
    </xf>
    <xf numFmtId="223" fontId="4" fillId="7" borderId="31" xfId="0" applyNumberFormat="1" applyFont="1" applyFill="1" applyBorder="1" applyAlignment="1">
      <alignment horizontal="center" vertical="center"/>
    </xf>
    <xf numFmtId="184" fontId="4" fillId="0" borderId="31" xfId="0" applyNumberFormat="1" applyFont="1" applyFill="1" applyBorder="1" applyAlignment="1">
      <alignment horizontal="center" vertical="center"/>
    </xf>
    <xf numFmtId="0" fontId="11" fillId="0" borderId="31" xfId="0" applyFont="1" applyFill="1" applyBorder="1" applyAlignment="1">
      <alignment horizontal="center" vertical="center"/>
    </xf>
    <xf numFmtId="184" fontId="4" fillId="7" borderId="31" xfId="0" applyNumberFormat="1" applyFont="1" applyFill="1" applyBorder="1" applyAlignment="1">
      <alignment horizontal="center" vertical="center"/>
    </xf>
    <xf numFmtId="184" fontId="18" fillId="0" borderId="31" xfId="0" applyNumberFormat="1" applyFont="1" applyFill="1" applyBorder="1" applyAlignment="1">
      <alignment horizontal="center" vertical="center"/>
    </xf>
    <xf numFmtId="0" fontId="0" fillId="0" borderId="31" xfId="0" applyBorder="1" applyAlignment="1">
      <alignment horizontal="center" vertical="center"/>
    </xf>
    <xf numFmtId="170" fontId="4" fillId="0" borderId="31" xfId="0" applyNumberFormat="1" applyFont="1" applyFill="1" applyBorder="1" applyAlignment="1">
      <alignment horizontal="center" vertical="center"/>
    </xf>
    <xf numFmtId="170" fontId="7" fillId="0" borderId="31" xfId="0" applyNumberFormat="1" applyFont="1" applyFill="1" applyBorder="1" applyAlignment="1">
      <alignment horizontal="center" vertical="center"/>
    </xf>
    <xf numFmtId="170" fontId="7" fillId="0" borderId="33" xfId="0" applyNumberFormat="1" applyFont="1" applyFill="1" applyBorder="1" applyAlignment="1">
      <alignment horizontal="center" vertical="center"/>
    </xf>
    <xf numFmtId="0" fontId="24" fillId="5" borderId="30" xfId="0" applyFont="1" applyFill="1" applyBorder="1" applyAlignment="1">
      <alignment horizontal="center" vertical="center"/>
    </xf>
    <xf numFmtId="169" fontId="10" fillId="0" borderId="34" xfId="0" applyNumberFormat="1" applyFont="1" applyFill="1" applyBorder="1" applyAlignment="1">
      <alignment horizontal="center" vertical="center"/>
    </xf>
    <xf numFmtId="169" fontId="11" fillId="0" borderId="31" xfId="0" applyNumberFormat="1" applyFont="1" applyFill="1" applyBorder="1" applyAlignment="1">
      <alignment horizontal="center" vertical="center"/>
    </xf>
    <xf numFmtId="9" fontId="10" fillId="0" borderId="31" xfId="1" applyFont="1" applyFill="1" applyBorder="1" applyAlignment="1">
      <alignment horizontal="center" vertical="center"/>
    </xf>
    <xf numFmtId="9" fontId="11" fillId="0" borderId="31" xfId="0" applyNumberFormat="1" applyFont="1" applyFill="1" applyBorder="1" applyAlignment="1">
      <alignment horizontal="center" vertical="center"/>
    </xf>
    <xf numFmtId="181" fontId="10" fillId="7" borderId="31" xfId="0" applyNumberFormat="1" applyFont="1" applyFill="1" applyBorder="1" applyAlignment="1">
      <alignment horizontal="center" vertical="center"/>
    </xf>
    <xf numFmtId="213" fontId="10" fillId="0" borderId="31" xfId="0" applyNumberFormat="1" applyFont="1" applyFill="1" applyBorder="1" applyAlignment="1">
      <alignment horizontal="center" vertical="center"/>
    </xf>
    <xf numFmtId="169" fontId="10" fillId="0" borderId="31" xfId="0" applyNumberFormat="1" applyFont="1" applyFill="1" applyBorder="1" applyAlignment="1">
      <alignment horizontal="center" vertical="center"/>
    </xf>
    <xf numFmtId="191" fontId="11" fillId="0" borderId="31" xfId="0" applyNumberFormat="1" applyFont="1" applyFill="1" applyBorder="1" applyAlignment="1">
      <alignment horizontal="center" vertical="center"/>
    </xf>
    <xf numFmtId="0" fontId="11" fillId="0" borderId="31" xfId="0" applyFont="1" applyFill="1" applyBorder="1" applyAlignment="1">
      <alignment horizontal="center"/>
    </xf>
    <xf numFmtId="3" fontId="11" fillId="7" borderId="31" xfId="0" applyNumberFormat="1" applyFont="1" applyFill="1" applyBorder="1" applyAlignment="1">
      <alignment horizontal="center" vertical="center"/>
    </xf>
    <xf numFmtId="169" fontId="11" fillId="7" borderId="31" xfId="0" applyNumberFormat="1" applyFont="1" applyFill="1" applyBorder="1" applyAlignment="1">
      <alignment horizontal="center" vertical="center"/>
    </xf>
    <xf numFmtId="194" fontId="11" fillId="0" borderId="31" xfId="0" applyNumberFormat="1" applyFont="1" applyFill="1" applyBorder="1" applyAlignment="1">
      <alignment horizontal="center" vertical="center"/>
    </xf>
    <xf numFmtId="176" fontId="11" fillId="0" borderId="31" xfId="1" applyNumberFormat="1" applyFont="1" applyFill="1" applyBorder="1" applyAlignment="1">
      <alignment horizontal="center" vertical="center"/>
    </xf>
    <xf numFmtId="0" fontId="0" fillId="0" borderId="31" xfId="0" applyBorder="1" applyAlignment="1">
      <alignment horizontal="center"/>
    </xf>
    <xf numFmtId="1" fontId="0" fillId="0" borderId="31" xfId="0" applyNumberFormat="1" applyBorder="1" applyAlignment="1">
      <alignment horizontal="center" vertical="center"/>
    </xf>
    <xf numFmtId="0" fontId="0" fillId="0" borderId="31" xfId="0" applyNumberFormat="1" applyBorder="1" applyAlignment="1">
      <alignment horizontal="center" vertical="center"/>
    </xf>
    <xf numFmtId="194" fontId="0" fillId="0" borderId="31" xfId="0" applyNumberFormat="1" applyBorder="1" applyAlignment="1">
      <alignment horizontal="center" vertical="center"/>
    </xf>
    <xf numFmtId="229" fontId="11" fillId="0" borderId="31" xfId="0" applyNumberFormat="1" applyFont="1" applyFill="1" applyBorder="1" applyAlignment="1">
      <alignment horizontal="center" vertical="center" wrapText="1"/>
    </xf>
    <xf numFmtId="1" fontId="11" fillId="0" borderId="33" xfId="0" applyNumberFormat="1" applyFont="1" applyFill="1" applyBorder="1" applyAlignment="1">
      <alignment horizontal="center" vertical="center" wrapText="1"/>
    </xf>
    <xf numFmtId="49" fontId="24" fillId="8" borderId="30" xfId="0" applyNumberFormat="1" applyFont="1" applyFill="1" applyBorder="1" applyAlignment="1">
      <alignment horizontal="center" vertical="center"/>
    </xf>
    <xf numFmtId="169" fontId="10" fillId="13" borderId="31" xfId="0" applyNumberFormat="1" applyFont="1" applyFill="1" applyBorder="1" applyAlignment="1">
      <alignment horizontal="center" vertical="center"/>
    </xf>
    <xf numFmtId="169" fontId="11" fillId="13" borderId="31" xfId="0" applyNumberFormat="1" applyFont="1" applyFill="1" applyBorder="1" applyAlignment="1">
      <alignment horizontal="center" vertical="center"/>
    </xf>
    <xf numFmtId="9" fontId="10" fillId="13" borderId="31" xfId="1" applyFont="1" applyFill="1" applyBorder="1" applyAlignment="1">
      <alignment horizontal="center" vertical="center"/>
    </xf>
    <xf numFmtId="9" fontId="11" fillId="13" borderId="31" xfId="0" applyNumberFormat="1" applyFont="1" applyFill="1" applyBorder="1" applyAlignment="1">
      <alignment horizontal="center" vertical="center"/>
    </xf>
    <xf numFmtId="181" fontId="10" fillId="3" borderId="31" xfId="0" applyNumberFormat="1" applyFont="1" applyFill="1" applyBorder="1" applyAlignment="1">
      <alignment horizontal="center" vertical="center"/>
    </xf>
    <xf numFmtId="0" fontId="10" fillId="3" borderId="31" xfId="0" applyFont="1" applyFill="1" applyBorder="1" applyAlignment="1">
      <alignment vertical="center"/>
    </xf>
    <xf numFmtId="213" fontId="10" fillId="3" borderId="31" xfId="0" applyNumberFormat="1" applyFont="1" applyFill="1" applyBorder="1" applyAlignment="1">
      <alignment horizontal="center" vertical="center"/>
    </xf>
    <xf numFmtId="9" fontId="11" fillId="3" borderId="31" xfId="1" applyFont="1" applyFill="1" applyBorder="1" applyAlignment="1">
      <alignment horizontal="center" vertical="center"/>
    </xf>
    <xf numFmtId="191" fontId="11" fillId="3" borderId="31" xfId="0" applyNumberFormat="1" applyFont="1" applyFill="1" applyBorder="1" applyAlignment="1">
      <alignment horizontal="center" vertical="center"/>
    </xf>
    <xf numFmtId="0" fontId="10" fillId="3" borderId="31" xfId="0" applyFont="1" applyFill="1" applyBorder="1"/>
    <xf numFmtId="3" fontId="11" fillId="3" borderId="31" xfId="0" applyNumberFormat="1" applyFont="1" applyFill="1" applyBorder="1" applyAlignment="1">
      <alignment horizontal="center" vertical="center"/>
    </xf>
    <xf numFmtId="194" fontId="11" fillId="3" borderId="31" xfId="0" applyNumberFormat="1" applyFont="1" applyFill="1" applyBorder="1" applyAlignment="1">
      <alignment horizontal="center" vertical="center"/>
    </xf>
    <xf numFmtId="176" fontId="11" fillId="3" borderId="31" xfId="1" applyNumberFormat="1" applyFont="1" applyFill="1" applyBorder="1" applyAlignment="1">
      <alignment horizontal="center" vertical="center"/>
    </xf>
    <xf numFmtId="0" fontId="11" fillId="3" borderId="31" xfId="0" applyFont="1" applyFill="1" applyBorder="1" applyAlignment="1">
      <alignment horizontal="center"/>
    </xf>
    <xf numFmtId="0" fontId="0" fillId="3" borderId="31" xfId="0" applyNumberFormat="1" applyFill="1" applyBorder="1" applyAlignment="1">
      <alignment horizontal="center" vertical="center"/>
    </xf>
    <xf numFmtId="194" fontId="0" fillId="3" borderId="31" xfId="0" applyNumberFormat="1" applyFill="1" applyBorder="1" applyAlignment="1">
      <alignment horizontal="center" vertical="center"/>
    </xf>
    <xf numFmtId="229" fontId="11" fillId="3" borderId="31" xfId="0" applyNumberFormat="1" applyFont="1" applyFill="1" applyBorder="1" applyAlignment="1">
      <alignment horizontal="center" vertical="center" wrapText="1"/>
    </xf>
    <xf numFmtId="0" fontId="11" fillId="3" borderId="33" xfId="0" applyFont="1" applyFill="1" applyBorder="1" applyAlignment="1">
      <alignment horizontal="center" vertical="center" wrapText="1"/>
    </xf>
    <xf numFmtId="49" fontId="21" fillId="8" borderId="30" xfId="0" applyNumberFormat="1" applyFont="1" applyFill="1" applyBorder="1" applyAlignment="1">
      <alignment horizontal="center" vertical="center"/>
    </xf>
    <xf numFmtId="49" fontId="21" fillId="0" borderId="31" xfId="0" applyNumberFormat="1" applyFont="1" applyFill="1" applyBorder="1" applyAlignment="1">
      <alignment horizontal="center"/>
    </xf>
    <xf numFmtId="180" fontId="4" fillId="0" borderId="31" xfId="0" applyNumberFormat="1" applyFont="1" applyFill="1" applyBorder="1" applyAlignment="1">
      <alignment horizontal="center" vertical="center"/>
    </xf>
    <xf numFmtId="180" fontId="10" fillId="0" borderId="31" xfId="0" applyNumberFormat="1" applyFont="1" applyFill="1" applyBorder="1" applyAlignment="1">
      <alignment horizontal="center" vertical="center"/>
    </xf>
    <xf numFmtId="184" fontId="11" fillId="0" borderId="31" xfId="0" applyNumberFormat="1" applyFont="1" applyFill="1" applyBorder="1" applyAlignment="1">
      <alignment horizontal="center" vertical="center"/>
    </xf>
    <xf numFmtId="0" fontId="10" fillId="0" borderId="31" xfId="0" applyFont="1" applyFill="1" applyBorder="1" applyAlignment="1">
      <alignment vertical="center"/>
    </xf>
    <xf numFmtId="0" fontId="11" fillId="0" borderId="31" xfId="0" applyFont="1" applyFill="1" applyBorder="1" applyAlignment="1">
      <alignment vertical="center"/>
    </xf>
    <xf numFmtId="194" fontId="4" fillId="0" borderId="31" xfId="0" applyNumberFormat="1" applyFont="1" applyFill="1" applyBorder="1" applyAlignment="1">
      <alignment horizontal="center" vertical="center"/>
    </xf>
    <xf numFmtId="9" fontId="4" fillId="7" borderId="31" xfId="1" applyFont="1" applyFill="1" applyBorder="1" applyAlignment="1">
      <alignment horizontal="center" vertical="center"/>
    </xf>
    <xf numFmtId="176" fontId="4" fillId="7" borderId="33" xfId="1" applyNumberFormat="1" applyFont="1" applyFill="1" applyBorder="1" applyAlignment="1">
      <alignment horizontal="center" vertical="center"/>
    </xf>
    <xf numFmtId="0" fontId="0" fillId="0" borderId="31" xfId="0" applyFill="1" applyBorder="1"/>
    <xf numFmtId="198" fontId="4" fillId="7" borderId="31" xfId="0" applyNumberFormat="1" applyFont="1" applyFill="1" applyBorder="1" applyAlignment="1">
      <alignment horizontal="center" vertical="center"/>
    </xf>
    <xf numFmtId="9" fontId="4" fillId="7" borderId="31" xfId="1" applyNumberFormat="1" applyFont="1" applyFill="1" applyBorder="1" applyAlignment="1">
      <alignment horizontal="center" vertical="center"/>
    </xf>
    <xf numFmtId="4" fontId="4" fillId="0" borderId="34" xfId="0" applyNumberFormat="1" applyFont="1" applyFill="1" applyBorder="1" applyAlignment="1">
      <alignment horizontal="center" vertical="center"/>
    </xf>
    <xf numFmtId="4" fontId="7" fillId="0" borderId="31" xfId="0" applyNumberFormat="1" applyFont="1" applyFill="1" applyBorder="1" applyAlignment="1">
      <alignment horizontal="center" vertical="center"/>
    </xf>
    <xf numFmtId="2" fontId="4" fillId="0" borderId="31" xfId="0" applyNumberFormat="1" applyFont="1" applyFill="1" applyBorder="1" applyAlignment="1">
      <alignment horizontal="center" vertical="center"/>
    </xf>
    <xf numFmtId="2" fontId="7" fillId="0" borderId="33" xfId="0" applyNumberFormat="1" applyFont="1" applyFill="1" applyBorder="1" applyAlignment="1">
      <alignment horizontal="center" vertical="center"/>
    </xf>
    <xf numFmtId="252" fontId="22" fillId="0" borderId="0" xfId="0" applyNumberFormat="1" applyFont="1" applyFill="1" applyAlignment="1">
      <alignment horizontal="center" vertical="center"/>
    </xf>
    <xf numFmtId="215" fontId="55" fillId="3" borderId="0" xfId="0" applyNumberFormat="1" applyFont="1" applyFill="1" applyBorder="1" applyAlignment="1">
      <alignment horizontal="center"/>
    </xf>
    <xf numFmtId="183" fontId="53" fillId="0" borderId="0" xfId="0" applyNumberFormat="1" applyFont="1" applyFill="1" applyBorder="1"/>
    <xf numFmtId="180" fontId="55" fillId="3" borderId="0" xfId="0" applyNumberFormat="1" applyFont="1" applyFill="1" applyBorder="1" applyAlignment="1">
      <alignment horizontal="center"/>
    </xf>
    <xf numFmtId="194" fontId="22" fillId="3" borderId="0" xfId="0" applyNumberFormat="1" applyFont="1" applyFill="1" applyBorder="1" applyAlignment="1">
      <alignment horizontal="center"/>
    </xf>
    <xf numFmtId="169" fontId="11" fillId="0" borderId="0" xfId="0" applyNumberFormat="1" applyFont="1" applyBorder="1" applyAlignment="1">
      <alignment horizontal="center"/>
    </xf>
    <xf numFmtId="0" fontId="22" fillId="0" borderId="0" xfId="0" applyFont="1" applyFill="1" applyBorder="1" applyAlignment="1">
      <alignment horizontal="left"/>
    </xf>
    <xf numFmtId="0" fontId="2" fillId="0" borderId="0" xfId="0" applyFont="1" applyAlignment="1">
      <alignment vertical="center"/>
    </xf>
    <xf numFmtId="4" fontId="0" fillId="3" borderId="31" xfId="0" applyNumberFormat="1" applyFill="1" applyBorder="1" applyAlignment="1">
      <alignment horizontal="center" vertical="center"/>
    </xf>
    <xf numFmtId="0" fontId="1" fillId="2" borderId="0" xfId="0" applyFont="1" applyFill="1" applyBorder="1" applyAlignment="1">
      <alignment horizontal="center" wrapText="1"/>
    </xf>
    <xf numFmtId="180" fontId="10" fillId="3" borderId="31" xfId="0" applyNumberFormat="1" applyFont="1" applyFill="1" applyBorder="1" applyAlignment="1">
      <alignment horizontal="center" vertical="center"/>
    </xf>
    <xf numFmtId="0" fontId="2" fillId="13" borderId="0" xfId="0" applyFont="1" applyFill="1" applyBorder="1" applyAlignment="1">
      <alignment horizontal="center"/>
    </xf>
    <xf numFmtId="170" fontId="0" fillId="0" borderId="0" xfId="0" applyNumberFormat="1" applyBorder="1" applyAlignment="1">
      <alignment horizontal="center"/>
    </xf>
    <xf numFmtId="0" fontId="2" fillId="0" borderId="1" xfId="0" applyFont="1" applyBorder="1" applyAlignment="1">
      <alignment horizontal="center"/>
    </xf>
    <xf numFmtId="4" fontId="0" fillId="0" borderId="31" xfId="0" applyNumberFormat="1" applyBorder="1" applyAlignment="1">
      <alignment horizontal="center" vertical="center"/>
    </xf>
    <xf numFmtId="168" fontId="0" fillId="3" borderId="0" xfId="0" applyNumberFormat="1" applyFill="1" applyAlignment="1">
      <alignment horizontal="center"/>
    </xf>
    <xf numFmtId="0" fontId="0" fillId="3" borderId="0" xfId="0" applyFill="1" applyAlignment="1">
      <alignment horizontal="center"/>
    </xf>
    <xf numFmtId="0" fontId="0" fillId="13" borderId="1" xfId="0" applyFill="1" applyBorder="1" applyAlignment="1">
      <alignment horizontal="center"/>
    </xf>
    <xf numFmtId="180" fontId="1" fillId="0" borderId="31" xfId="0" applyNumberFormat="1" applyFont="1" applyFill="1" applyBorder="1" applyAlignment="1">
      <alignment horizontal="center" vertical="center"/>
    </xf>
    <xf numFmtId="0" fontId="0" fillId="0" borderId="0" xfId="0" applyFill="1" applyBorder="1" applyAlignment="1">
      <alignment horizontal="left" wrapText="1"/>
    </xf>
    <xf numFmtId="0" fontId="2" fillId="0" borderId="0" xfId="0" applyFont="1" applyAlignment="1">
      <alignment horizontal="left"/>
    </xf>
    <xf numFmtId="0" fontId="2" fillId="14" borderId="0" xfId="0" applyFont="1" applyFill="1" applyAlignment="1">
      <alignment horizontal="center"/>
    </xf>
    <xf numFmtId="0" fontId="2" fillId="13" borderId="0" xfId="0" applyFont="1" applyFill="1" applyAlignment="1">
      <alignment horizontal="center"/>
    </xf>
    <xf numFmtId="170" fontId="1" fillId="0" borderId="0" xfId="0" applyNumberFormat="1" applyFont="1" applyAlignment="1">
      <alignment horizontal="center"/>
    </xf>
    <xf numFmtId="249" fontId="2" fillId="0" borderId="0" xfId="0" applyNumberFormat="1" applyFont="1" applyFill="1" applyBorder="1" applyAlignment="1">
      <alignment horizontal="center"/>
    </xf>
    <xf numFmtId="183" fontId="2" fillId="12" borderId="0" xfId="0" applyNumberFormat="1" applyFont="1" applyFill="1" applyBorder="1" applyAlignment="1">
      <alignment horizontal="center"/>
    </xf>
    <xf numFmtId="183" fontId="2" fillId="13" borderId="0" xfId="0" applyNumberFormat="1" applyFont="1" applyFill="1" applyBorder="1" applyAlignment="1">
      <alignment horizontal="center"/>
    </xf>
    <xf numFmtId="205" fontId="2" fillId="13" borderId="0" xfId="0" applyNumberFormat="1" applyFont="1" applyFill="1" applyBorder="1" applyAlignment="1">
      <alignment horizontal="center"/>
    </xf>
    <xf numFmtId="194" fontId="2" fillId="13" borderId="0" xfId="0" applyNumberFormat="1" applyFont="1" applyFill="1" applyBorder="1" applyAlignment="1">
      <alignment horizontal="center"/>
    </xf>
    <xf numFmtId="4" fontId="2" fillId="13" borderId="0" xfId="0" applyNumberFormat="1" applyFont="1" applyFill="1" applyAlignment="1">
      <alignment horizontal="center"/>
    </xf>
    <xf numFmtId="2" fontId="2" fillId="13" borderId="0" xfId="0" applyNumberFormat="1" applyFont="1" applyFill="1" applyBorder="1" applyAlignment="1">
      <alignment horizontal="center"/>
    </xf>
    <xf numFmtId="2" fontId="0" fillId="13" borderId="0" xfId="0" applyNumberFormat="1" applyFill="1" applyBorder="1" applyAlignment="1">
      <alignment horizontal="center"/>
    </xf>
    <xf numFmtId="205" fontId="0" fillId="13" borderId="0" xfId="0" applyNumberFormat="1" applyFill="1" applyBorder="1" applyAlignment="1">
      <alignment horizontal="center"/>
    </xf>
    <xf numFmtId="4" fontId="2" fillId="13" borderId="0" xfId="0" applyNumberFormat="1" applyFont="1" applyFill="1" applyBorder="1" applyAlignment="1">
      <alignment horizontal="center"/>
    </xf>
    <xf numFmtId="49" fontId="7" fillId="10" borderId="0" xfId="0" applyNumberFormat="1" applyFont="1" applyFill="1" applyAlignment="1">
      <alignment horizontal="left" vertical="center" wrapText="1"/>
    </xf>
    <xf numFmtId="168" fontId="4" fillId="0" borderId="0" xfId="0" applyNumberFormat="1" applyFont="1" applyFill="1" applyBorder="1" applyAlignment="1">
      <alignment horizontal="center"/>
    </xf>
    <xf numFmtId="9" fontId="2" fillId="13" borderId="0" xfId="0" applyNumberFormat="1" applyFont="1" applyFill="1" applyBorder="1"/>
    <xf numFmtId="218" fontId="5" fillId="13" borderId="0" xfId="0" applyNumberFormat="1" applyFont="1" applyFill="1" applyBorder="1" applyAlignment="1">
      <alignment horizontal="center"/>
    </xf>
    <xf numFmtId="0" fontId="5" fillId="0" borderId="0" xfId="0" applyFont="1"/>
    <xf numFmtId="0" fontId="99" fillId="0" borderId="0" xfId="0" applyFont="1"/>
    <xf numFmtId="0" fontId="100" fillId="0" borderId="0" xfId="0" applyFont="1" applyFill="1" applyBorder="1"/>
    <xf numFmtId="9" fontId="2" fillId="13" borderId="0" xfId="0" applyNumberFormat="1" applyFont="1" applyFill="1" applyBorder="1" applyAlignment="1">
      <alignment horizontal="center"/>
    </xf>
    <xf numFmtId="1" fontId="5" fillId="13" borderId="0" xfId="0" applyNumberFormat="1" applyFont="1" applyFill="1" applyBorder="1" applyAlignment="1">
      <alignment horizontal="center"/>
    </xf>
    <xf numFmtId="9" fontId="5" fillId="0" borderId="0" xfId="0" applyNumberFormat="1" applyFont="1" applyAlignment="1">
      <alignment horizontal="center"/>
    </xf>
    <xf numFmtId="0" fontId="5" fillId="6" borderId="0" xfId="0" applyFont="1" applyFill="1"/>
    <xf numFmtId="0" fontId="5" fillId="6" borderId="0" xfId="0" applyFont="1" applyFill="1" applyAlignment="1">
      <alignment horizontal="center"/>
    </xf>
    <xf numFmtId="2" fontId="23" fillId="13" borderId="0" xfId="0" applyNumberFormat="1" applyFont="1" applyFill="1" applyBorder="1"/>
    <xf numFmtId="204" fontId="23" fillId="13" borderId="0" xfId="0" applyNumberFormat="1" applyFont="1" applyFill="1" applyBorder="1"/>
    <xf numFmtId="9" fontId="12" fillId="6" borderId="0" xfId="0" applyNumberFormat="1" applyFont="1" applyFill="1"/>
    <xf numFmtId="49" fontId="2" fillId="10" borderId="0" xfId="0" applyNumberFormat="1" applyFont="1" applyFill="1" applyAlignment="1">
      <alignment horizontal="left" vertical="center" wrapText="1"/>
    </xf>
    <xf numFmtId="49" fontId="7" fillId="10" borderId="0" xfId="0" applyNumberFormat="1" applyFont="1" applyFill="1" applyAlignment="1">
      <alignment horizontal="left" vertical="center" wrapText="1"/>
    </xf>
    <xf numFmtId="0" fontId="66" fillId="6" borderId="0" xfId="0" applyFont="1" applyFill="1" applyBorder="1" applyAlignment="1">
      <alignment horizontal="center" vertical="center" wrapText="1"/>
    </xf>
    <xf numFmtId="0" fontId="67" fillId="6" borderId="0" xfId="0" applyFont="1" applyFill="1" applyAlignment="1">
      <alignment horizontal="center" vertical="center" wrapText="1"/>
    </xf>
    <xf numFmtId="0" fontId="2" fillId="6" borderId="0" xfId="0" applyFont="1" applyFill="1" applyAlignment="1">
      <alignment horizontal="right"/>
    </xf>
    <xf numFmtId="0" fontId="11" fillId="6" borderId="0" xfId="0" applyFont="1" applyFill="1" applyAlignment="1">
      <alignment horizontal="right"/>
    </xf>
    <xf numFmtId="0" fontId="4" fillId="0" borderId="0" xfId="0" applyFont="1" applyFill="1" applyBorder="1" applyAlignment="1">
      <alignment horizontal="center" vertical="center"/>
    </xf>
    <xf numFmtId="0" fontId="53" fillId="10" borderId="0" xfId="0" applyFont="1" applyFill="1" applyBorder="1" applyAlignment="1">
      <alignment horizontal="left" vertical="center" wrapText="1"/>
    </xf>
    <xf numFmtId="0" fontId="53" fillId="10" borderId="0" xfId="0" applyFont="1" applyFill="1" applyAlignment="1">
      <alignment vertical="center" wrapText="1"/>
    </xf>
    <xf numFmtId="0" fontId="21" fillId="8" borderId="0" xfId="0" applyFont="1" applyFill="1" applyAlignment="1">
      <alignment horizontal="left" vertical="center" wrapText="1"/>
    </xf>
    <xf numFmtId="0" fontId="30" fillId="8" borderId="0" xfId="0" applyFont="1" applyFill="1" applyBorder="1" applyAlignment="1"/>
    <xf numFmtId="0" fontId="0" fillId="8" borderId="0" xfId="0" applyFill="1"/>
    <xf numFmtId="0" fontId="10" fillId="6" borderId="0" xfId="0" applyFont="1" applyFill="1" applyAlignment="1">
      <alignment horizontal="right" wrapText="1"/>
    </xf>
    <xf numFmtId="0" fontId="2" fillId="6" borderId="0" xfId="0" applyFont="1" applyFill="1" applyAlignment="1">
      <alignment horizontal="center" wrapText="1"/>
    </xf>
    <xf numFmtId="0" fontId="11" fillId="10" borderId="0" xfId="0" applyFont="1" applyFill="1" applyBorder="1" applyAlignment="1">
      <alignment horizontal="left" vertical="center" wrapText="1"/>
    </xf>
    <xf numFmtId="0" fontId="12" fillId="8" borderId="0" xfId="0" applyFont="1" applyFill="1" applyAlignment="1">
      <alignment horizontal="left" vertical="center" wrapText="1"/>
    </xf>
    <xf numFmtId="0" fontId="12" fillId="6" borderId="0" xfId="0" applyFont="1" applyFill="1" applyBorder="1" applyAlignment="1">
      <alignment horizontal="left"/>
    </xf>
    <xf numFmtId="0" fontId="5" fillId="10" borderId="0" xfId="0" applyFont="1" applyFill="1" applyBorder="1" applyAlignment="1">
      <alignment horizontal="left" vertical="center" wrapText="1"/>
    </xf>
    <xf numFmtId="0" fontId="80" fillId="5" borderId="0" xfId="0" applyFont="1" applyFill="1" applyAlignment="1">
      <alignment horizontal="left" vertical="center" wrapText="1"/>
    </xf>
    <xf numFmtId="0" fontId="80" fillId="6" borderId="0" xfId="0" applyFont="1" applyFill="1" applyBorder="1" applyAlignment="1">
      <alignment horizontal="left"/>
    </xf>
    <xf numFmtId="0" fontId="31" fillId="6" borderId="0" xfId="0" applyFont="1" applyFill="1" applyAlignment="1">
      <alignment horizontal="left"/>
    </xf>
    <xf numFmtId="0" fontId="1"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0" fillId="0" borderId="0" xfId="0" applyFill="1" applyBorder="1" applyAlignment="1">
      <alignment wrapText="1"/>
    </xf>
    <xf numFmtId="0" fontId="6" fillId="6" borderId="0" xfId="0" applyFont="1" applyFill="1" applyAlignment="1">
      <alignment horizontal="left" wrapText="1"/>
    </xf>
    <xf numFmtId="0" fontId="21" fillId="5" borderId="0" xfId="0" applyFont="1" applyFill="1" applyAlignment="1">
      <alignment horizontal="left" vertical="center" wrapText="1"/>
    </xf>
    <xf numFmtId="0" fontId="7" fillId="5" borderId="0" xfId="0" applyFont="1" applyFill="1" applyAlignment="1">
      <alignment vertical="center" wrapText="1"/>
    </xf>
    <xf numFmtId="0" fontId="2" fillId="6" borderId="0" xfId="0" applyFont="1" applyFill="1" applyAlignment="1">
      <alignment wrapText="1"/>
    </xf>
    <xf numFmtId="0" fontId="11" fillId="6" borderId="0" xfId="0" applyFont="1" applyFill="1" applyAlignment="1"/>
    <xf numFmtId="0" fontId="30" fillId="5" borderId="0" xfId="0" applyFont="1" applyFill="1" applyBorder="1" applyAlignment="1"/>
    <xf numFmtId="0" fontId="3" fillId="5" borderId="0" xfId="0" applyFont="1" applyFill="1" applyAlignment="1"/>
    <xf numFmtId="0" fontId="10" fillId="6" borderId="0" xfId="0" applyFont="1" applyFill="1" applyAlignment="1">
      <alignment horizontal="center" wrapText="1"/>
    </xf>
    <xf numFmtId="0" fontId="10" fillId="0" borderId="0" xfId="0" applyFont="1" applyFill="1" applyAlignment="1">
      <alignment horizontal="center"/>
    </xf>
    <xf numFmtId="0" fontId="0" fillId="3" borderId="0" xfId="0" applyFill="1" applyAlignment="1">
      <alignment horizontal="center"/>
    </xf>
    <xf numFmtId="0" fontId="11" fillId="10" borderId="0" xfId="0" applyFont="1" applyFill="1" applyAlignment="1">
      <alignment vertical="center" wrapText="1"/>
    </xf>
    <xf numFmtId="0" fontId="1" fillId="0" borderId="0" xfId="0" applyFont="1" applyFill="1" applyBorder="1" applyAlignment="1">
      <alignment horizontal="center" vertical="center" wrapText="1"/>
    </xf>
  </cellXfs>
  <cellStyles count="2">
    <cellStyle name="Prozent" xfId="1"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0" i="0" u="none" strike="noStrike" baseline="0">
                <a:solidFill>
                  <a:srgbClr val="000000"/>
                </a:solidFill>
                <a:latin typeface="Arial"/>
                <a:ea typeface="Arial"/>
                <a:cs typeface="Arial"/>
              </a:defRPr>
            </a:pPr>
            <a:r>
              <a:rPr lang="de-CH" sz="1650" b="1" i="0" u="none" strike="noStrike" baseline="0">
                <a:solidFill>
                  <a:srgbClr val="000000"/>
                </a:solidFill>
                <a:latin typeface="Arial"/>
                <a:cs typeface="Arial"/>
              </a:rPr>
              <a:t>Cashflow-Kurve</a:t>
            </a:r>
          </a:p>
          <a:p>
            <a:pPr>
              <a:defRPr sz="1025" b="0" i="0" u="none" strike="noStrike" baseline="0">
                <a:solidFill>
                  <a:srgbClr val="000000"/>
                </a:solidFill>
                <a:latin typeface="Arial"/>
                <a:ea typeface="Arial"/>
                <a:cs typeface="Arial"/>
              </a:defRPr>
            </a:pPr>
            <a:r>
              <a:rPr lang="de-CH" sz="1200" b="1" i="0" u="none" strike="noStrike" baseline="0">
                <a:solidFill>
                  <a:srgbClr val="000000"/>
                </a:solidFill>
                <a:latin typeface="Arial"/>
                <a:cs typeface="Arial"/>
              </a:rPr>
              <a:t>Geldflusskurve</a:t>
            </a:r>
          </a:p>
        </c:rich>
      </c:tx>
      <c:layout>
        <c:manualLayout>
          <c:xMode val="edge"/>
          <c:yMode val="edge"/>
          <c:x val="0.38742320754574266"/>
          <c:y val="2.5380531781353421E-2"/>
        </c:manualLayout>
      </c:layout>
      <c:overlay val="0"/>
      <c:spPr>
        <a:noFill/>
        <a:ln w="25400">
          <a:noFill/>
        </a:ln>
      </c:spPr>
    </c:title>
    <c:autoTitleDeleted val="0"/>
    <c:plotArea>
      <c:layout>
        <c:manualLayout>
          <c:layoutTarget val="inner"/>
          <c:xMode val="edge"/>
          <c:yMode val="edge"/>
          <c:x val="0.23638804991895698"/>
          <c:y val="0.12406441567685396"/>
          <c:w val="0.71589073454468888"/>
          <c:h val="0.66328257191201356"/>
        </c:manualLayout>
      </c:layout>
      <c:scatterChart>
        <c:scatterStyle val="lineMarker"/>
        <c:varyColors val="0"/>
        <c:ser>
          <c:idx val="0"/>
          <c:order val="0"/>
          <c:tx>
            <c:strRef>
              <c:f>'Standard Cashflow'!$C$24</c:f>
              <c:strCache>
                <c:ptCount val="1"/>
                <c:pt idx="0">
                  <c:v>Standard</c:v>
                </c:pt>
              </c:strCache>
            </c:strRef>
          </c:tx>
          <c:spPr>
            <a:ln w="38100">
              <a:solidFill>
                <a:srgbClr val="000080"/>
              </a:solidFill>
              <a:prstDash val="solid"/>
            </a:ln>
          </c:spPr>
          <c:marker>
            <c:symbol val="diamond"/>
            <c:size val="9"/>
            <c:spPr>
              <a:solidFill>
                <a:srgbClr val="000080"/>
              </a:solidFill>
              <a:ln>
                <a:solidFill>
                  <a:srgbClr val="000080"/>
                </a:solidFill>
                <a:prstDash val="solid"/>
              </a:ln>
            </c:spPr>
          </c:marker>
          <c:xVal>
            <c:numRef>
              <c:f>'Standard Cashflow'!$B$25:$B$41</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'Standard Cashflow'!$C$25:$C$41</c:f>
              <c:numCache>
                <c:formatCode>\ #,##0\ "Fr."</c:formatCode>
                <c:ptCount val="17"/>
                <c:pt idx="0">
                  <c:v>-63543.933666666664</c:v>
                </c:pt>
                <c:pt idx="1">
                  <c:v>-71905.145969933335</c:v>
                </c:pt>
                <c:pt idx="2">
                  <c:v>-77931.559183929407</c:v>
                </c:pt>
                <c:pt idx="3">
                  <c:v>-87214.56011685144</c:v>
                </c:pt>
                <c:pt idx="4">
                  <c:v>-93729.108058169775</c:v>
                </c:pt>
                <c:pt idx="5">
                  <c:v>-97715.936930959972</c:v>
                </c:pt>
                <c:pt idx="6">
                  <c:v>-98576.647263605264</c:v>
                </c:pt>
                <c:pt idx="7">
                  <c:v>-96283.103989244381</c:v>
                </c:pt>
                <c:pt idx="8">
                  <c:v>-93968.918825414265</c:v>
                </c:pt>
                <c:pt idx="9">
                  <c:v>-91633.905995109642</c:v>
                </c:pt>
                <c:pt idx="10">
                  <c:v>-89277.878049332299</c:v>
                </c:pt>
                <c:pt idx="11">
                  <c:v>-86900.645852042959</c:v>
                </c:pt>
                <c:pt idx="12">
                  <c:v>-84502.018564978003</c:v>
                </c:pt>
                <c:pt idx="13">
                  <c:v>-82081.80363232948</c:v>
                </c:pt>
                <c:pt idx="14">
                  <c:v>-79639.80676528711</c:v>
                </c:pt>
                <c:pt idx="15">
                  <c:v>-77175.831926441359</c:v>
                </c:pt>
                <c:pt idx="16">
                  <c:v>-80689.681314046</c:v>
                </c:pt>
              </c:numCache>
            </c:numRef>
          </c:yVal>
          <c:smooth val="0"/>
          <c:extLst>
            <c:ext xmlns:c16="http://schemas.microsoft.com/office/drawing/2014/chart" uri="{C3380CC4-5D6E-409C-BE32-E72D297353CC}">
              <c16:uniqueId val="{00000000-AC4C-4442-BB02-6165D656B7A5}"/>
            </c:ext>
          </c:extLst>
        </c:ser>
        <c:ser>
          <c:idx val="1"/>
          <c:order val="1"/>
          <c:tx>
            <c:strRef>
              <c:f>'Var Cashflow'!$A$2</c:f>
              <c:strCache>
                <c:ptCount val="1"/>
                <c:pt idx="0">
                  <c:v>Variante</c:v>
                </c:pt>
              </c:strCache>
            </c:strRef>
          </c:tx>
          <c:spPr>
            <a:ln w="38100">
              <a:solidFill>
                <a:srgbClr val="008000"/>
              </a:solidFill>
              <a:prstDash val="solid"/>
            </a:ln>
          </c:spPr>
          <c:marker>
            <c:symbol val="circle"/>
            <c:size val="9"/>
            <c:spPr>
              <a:solidFill>
                <a:srgbClr val="008000"/>
              </a:solidFill>
              <a:ln>
                <a:solidFill>
                  <a:srgbClr val="008000"/>
                </a:solidFill>
                <a:prstDash val="solid"/>
              </a:ln>
            </c:spPr>
          </c:marker>
          <c:xVal>
            <c:numRef>
              <c:f>'Var Cashflow'!$B$15:$B$31</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'Var Cashflow'!$C$15:$C$31</c:f>
              <c:numCache>
                <c:formatCode>\ #,##0\ "Fr."</c:formatCode>
                <c:ptCount val="17"/>
                <c:pt idx="0">
                  <c:v>-63543.933666666664</c:v>
                </c:pt>
                <c:pt idx="1">
                  <c:v>-71905.145969933335</c:v>
                </c:pt>
                <c:pt idx="2">
                  <c:v>-77931.559183929407</c:v>
                </c:pt>
                <c:pt idx="3">
                  <c:v>-87214.56011685144</c:v>
                </c:pt>
                <c:pt idx="4">
                  <c:v>-93729.108058169775</c:v>
                </c:pt>
                <c:pt idx="5">
                  <c:v>-97715.936930959972</c:v>
                </c:pt>
                <c:pt idx="6">
                  <c:v>-98576.647263605264</c:v>
                </c:pt>
                <c:pt idx="7">
                  <c:v>-96283.103989244381</c:v>
                </c:pt>
                <c:pt idx="8">
                  <c:v>-93968.918825414265</c:v>
                </c:pt>
                <c:pt idx="9">
                  <c:v>-91633.905995109642</c:v>
                </c:pt>
                <c:pt idx="10">
                  <c:v>-89277.878049332299</c:v>
                </c:pt>
                <c:pt idx="11">
                  <c:v>-86900.645852042959</c:v>
                </c:pt>
                <c:pt idx="12">
                  <c:v>-84502.018564978003</c:v>
                </c:pt>
                <c:pt idx="13">
                  <c:v>-82081.80363232948</c:v>
                </c:pt>
                <c:pt idx="14">
                  <c:v>-79639.80676528711</c:v>
                </c:pt>
                <c:pt idx="15">
                  <c:v>-77175.831926441359</c:v>
                </c:pt>
                <c:pt idx="16">
                  <c:v>-80689.681314046</c:v>
                </c:pt>
              </c:numCache>
            </c:numRef>
          </c:yVal>
          <c:smooth val="0"/>
          <c:extLst>
            <c:ext xmlns:c16="http://schemas.microsoft.com/office/drawing/2014/chart" uri="{C3380CC4-5D6E-409C-BE32-E72D297353CC}">
              <c16:uniqueId val="{00000001-AC4C-4442-BB02-6165D656B7A5}"/>
            </c:ext>
          </c:extLst>
        </c:ser>
        <c:dLbls>
          <c:showLegendKey val="0"/>
          <c:showVal val="0"/>
          <c:showCatName val="0"/>
          <c:showSerName val="0"/>
          <c:showPercent val="0"/>
          <c:showBubbleSize val="0"/>
        </c:dLbls>
        <c:axId val="471248472"/>
        <c:axId val="1"/>
      </c:scatterChart>
      <c:valAx>
        <c:axId val="471248472"/>
        <c:scaling>
          <c:orientation val="minMax"/>
          <c:max val="17"/>
          <c:min val="0"/>
        </c:scaling>
        <c:delete val="0"/>
        <c:axPos val="b"/>
        <c:title>
          <c:tx>
            <c:rich>
              <a:bodyPr/>
              <a:lstStyle/>
              <a:p>
                <a:pPr>
                  <a:defRPr sz="1100" b="0" i="0" u="none" strike="noStrike" baseline="0">
                    <a:solidFill>
                      <a:srgbClr val="000000"/>
                    </a:solidFill>
                    <a:latin typeface="Arial"/>
                    <a:ea typeface="Arial"/>
                    <a:cs typeface="Arial"/>
                  </a:defRPr>
                </a:pPr>
                <a:r>
                  <a:rPr lang="de-CH" sz="1025" b="1" i="0" u="none" strike="noStrike" baseline="0">
                    <a:solidFill>
                      <a:srgbClr val="000000"/>
                    </a:solidFill>
                    <a:latin typeface="Arial"/>
                    <a:cs typeface="Arial"/>
                  </a:rPr>
                  <a:t>Standjahre </a:t>
                </a:r>
                <a:r>
                  <a:rPr lang="de-CH" sz="1025" b="0" i="0" u="none" strike="noStrike" baseline="0">
                    <a:solidFill>
                      <a:srgbClr val="000000"/>
                    </a:solidFill>
                    <a:latin typeface="Arial"/>
                    <a:cs typeface="Arial"/>
                  </a:rPr>
                  <a:t>(0 = Erstellung)</a:t>
                </a:r>
              </a:p>
            </c:rich>
          </c:tx>
          <c:layout>
            <c:manualLayout>
              <c:xMode val="edge"/>
              <c:yMode val="edge"/>
              <c:x val="0.43458788112581026"/>
              <c:y val="0.82571904598881662"/>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de-DE"/>
          </a:p>
        </c:txPr>
        <c:crossAx val="1"/>
        <c:crosses val="autoZero"/>
        <c:crossBetween val="midCat"/>
        <c:majorUnit val="2"/>
        <c:minorUnit val="1"/>
      </c:valAx>
      <c:valAx>
        <c:axId val="1"/>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de-CH"/>
                  <a:t>Fr. / ha</a:t>
                </a:r>
              </a:p>
            </c:rich>
          </c:tx>
          <c:layout>
            <c:manualLayout>
              <c:xMode val="edge"/>
              <c:yMode val="edge"/>
              <c:x val="4.8849001943921277E-2"/>
              <c:y val="0.4230120278443455"/>
            </c:manualLayout>
          </c:layout>
          <c:overlay val="0"/>
          <c:spPr>
            <a:noFill/>
            <a:ln w="25400">
              <a:noFill/>
            </a:ln>
          </c:spPr>
        </c:title>
        <c:numFmt formatCode="\ #,##0\ &quot;Fr.&quot;"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471248472"/>
        <c:crosses val="autoZero"/>
        <c:crossBetween val="midCat"/>
      </c:valAx>
      <c:spPr>
        <a:solidFill>
          <a:srgbClr val="FFFFFF"/>
        </a:solidFill>
        <a:ln w="12700">
          <a:solidFill>
            <a:srgbClr val="FFFFFF"/>
          </a:solidFill>
          <a:prstDash val="solid"/>
        </a:ln>
      </c:spPr>
    </c:plotArea>
    <c:legend>
      <c:legendPos val="r"/>
      <c:layout>
        <c:manualLayout>
          <c:xMode val="edge"/>
          <c:yMode val="edge"/>
          <c:x val="0.60986555431219591"/>
          <c:y val="0.91792203619598944"/>
          <c:w val="0.37219736035229606"/>
          <c:h val="3.9671742249901179E-2"/>
        </c:manualLayout>
      </c:layout>
      <c:overlay val="0"/>
      <c:spPr>
        <a:solidFill>
          <a:srgbClr val="FFFFFF"/>
        </a:solidFill>
        <a:ln w="3175">
          <a:solidFill>
            <a:srgbClr val="000000"/>
          </a:solidFill>
          <a:prstDash val="solid"/>
        </a:ln>
      </c:spPr>
      <c:txPr>
        <a:bodyPr/>
        <a:lstStyle/>
        <a:p>
          <a:pPr>
            <a:defRPr sz="66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E3E3E3"/>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CH"/>
              <a:t>Anteil der Erntekosten</a:t>
            </a:r>
          </a:p>
        </c:rich>
      </c:tx>
      <c:layout>
        <c:manualLayout>
          <c:xMode val="edge"/>
          <c:yMode val="edge"/>
          <c:x val="0.38358002529476559"/>
          <c:y val="3.0950701298084346E-2"/>
        </c:manualLayout>
      </c:layout>
      <c:overlay val="0"/>
      <c:spPr>
        <a:noFill/>
        <a:ln w="25400">
          <a:noFill/>
        </a:ln>
      </c:spPr>
    </c:title>
    <c:autoTitleDeleted val="0"/>
    <c:plotArea>
      <c:layout>
        <c:manualLayout>
          <c:layoutTarget val="inner"/>
          <c:xMode val="edge"/>
          <c:yMode val="edge"/>
          <c:x val="0.17972972972972973"/>
          <c:y val="0.16964285714285715"/>
          <c:w val="0.65"/>
          <c:h val="0.6986607142857143"/>
        </c:manualLayout>
      </c:layout>
      <c:barChart>
        <c:barDir val="bar"/>
        <c:grouping val="clustered"/>
        <c:varyColors val="0"/>
        <c:ser>
          <c:idx val="0"/>
          <c:order val="0"/>
          <c:tx>
            <c:strRef>
              <c:f>'Standard Ertragsphase'!$B$155</c:f>
              <c:strCache>
                <c:ptCount val="1"/>
                <c:pt idx="0">
                  <c:v>Standard</c:v>
                </c:pt>
              </c:strCache>
            </c:strRef>
          </c:tx>
          <c:spPr>
            <a:solidFill>
              <a:srgbClr val="000080"/>
            </a:solidFill>
            <a:ln w="12700">
              <a:solidFill>
                <a:srgbClr val="000000"/>
              </a:solidFill>
              <a:prstDash val="solid"/>
            </a:ln>
          </c:spPr>
          <c:invertIfNegative val="0"/>
          <c:cat>
            <c:strRef>
              <c:f>'Var Ertragsphase'!$A$160:$A$161</c:f>
              <c:strCache>
                <c:ptCount val="2"/>
                <c:pt idx="0">
                  <c:v>Total Ernte</c:v>
                </c:pt>
                <c:pt idx="1">
                  <c:v>übrige Produktionskosten</c:v>
                </c:pt>
              </c:strCache>
            </c:strRef>
          </c:cat>
          <c:val>
            <c:numRef>
              <c:f>'Standard Ertragsphase'!$B$162:$B$163</c:f>
              <c:numCache>
                <c:formatCode>\ #,##0\ "Fr."</c:formatCode>
                <c:ptCount val="2"/>
                <c:pt idx="0">
                  <c:v>18262.5</c:v>
                </c:pt>
                <c:pt idx="1">
                  <c:v>29491.105074386811</c:v>
                </c:pt>
              </c:numCache>
            </c:numRef>
          </c:val>
          <c:extLst>
            <c:ext xmlns:c16="http://schemas.microsoft.com/office/drawing/2014/chart" uri="{C3380CC4-5D6E-409C-BE32-E72D297353CC}">
              <c16:uniqueId val="{00000000-C247-4521-AF1E-9FA6D29AD173}"/>
            </c:ext>
          </c:extLst>
        </c:ser>
        <c:ser>
          <c:idx val="1"/>
          <c:order val="1"/>
          <c:tx>
            <c:strRef>
              <c:f>'Var Ertragsphase'!$B$153</c:f>
              <c:strCache>
                <c:ptCount val="1"/>
                <c:pt idx="0">
                  <c:v>Variante</c:v>
                </c:pt>
              </c:strCache>
            </c:strRef>
          </c:tx>
          <c:spPr>
            <a:solidFill>
              <a:srgbClr val="008000"/>
            </a:solidFill>
            <a:ln w="12700">
              <a:solidFill>
                <a:srgbClr val="000000"/>
              </a:solidFill>
              <a:prstDash val="solid"/>
            </a:ln>
          </c:spPr>
          <c:invertIfNegative val="0"/>
          <c:cat>
            <c:strRef>
              <c:f>'Var Ertragsphase'!$A$160:$A$161</c:f>
              <c:strCache>
                <c:ptCount val="2"/>
                <c:pt idx="0">
                  <c:v>Total Ernte</c:v>
                </c:pt>
                <c:pt idx="1">
                  <c:v>übrige Produktionskosten</c:v>
                </c:pt>
              </c:strCache>
            </c:strRef>
          </c:cat>
          <c:val>
            <c:numRef>
              <c:f>'Var Ertragsphase'!$B$160:$B$161</c:f>
              <c:numCache>
                <c:formatCode>\ #,##0\ "Fr."</c:formatCode>
                <c:ptCount val="2"/>
                <c:pt idx="0">
                  <c:v>18262.5</c:v>
                </c:pt>
                <c:pt idx="1">
                  <c:v>29491.105074386811</c:v>
                </c:pt>
              </c:numCache>
            </c:numRef>
          </c:val>
          <c:extLst>
            <c:ext xmlns:c16="http://schemas.microsoft.com/office/drawing/2014/chart" uri="{C3380CC4-5D6E-409C-BE32-E72D297353CC}">
              <c16:uniqueId val="{00000001-C247-4521-AF1E-9FA6D29AD173}"/>
            </c:ext>
          </c:extLst>
        </c:ser>
        <c:dLbls>
          <c:showLegendKey val="0"/>
          <c:showVal val="0"/>
          <c:showCatName val="0"/>
          <c:showSerName val="0"/>
          <c:showPercent val="0"/>
          <c:showBubbleSize val="0"/>
        </c:dLbls>
        <c:gapWidth val="150"/>
        <c:axId val="588622744"/>
        <c:axId val="1"/>
      </c:barChart>
      <c:catAx>
        <c:axId val="5886227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588622744"/>
        <c:crosses val="max"/>
        <c:crossBetween val="between"/>
      </c:valAx>
      <c:spPr>
        <a:noFill/>
        <a:ln w="3175">
          <a:solidFill>
            <a:srgbClr val="000000"/>
          </a:solidFill>
          <a:prstDash val="solid"/>
        </a:ln>
      </c:spPr>
    </c:plotArea>
    <c:legend>
      <c:legendPos val="r"/>
      <c:layout>
        <c:manualLayout>
          <c:xMode val="edge"/>
          <c:yMode val="edge"/>
          <c:x val="0.82897486109879637"/>
          <c:y val="0.37478140630251061"/>
          <c:w val="0.13380298122104359"/>
          <c:h val="0.18914201813397732"/>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4"/>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de-CH"/>
              <a:t>Gliederung der Erntekosten</a:t>
            </a:r>
          </a:p>
        </c:rich>
      </c:tx>
      <c:layout>
        <c:manualLayout>
          <c:xMode val="edge"/>
          <c:yMode val="edge"/>
          <c:x val="0.36546175284790428"/>
          <c:y val="3.0150815417735705E-2"/>
        </c:manualLayout>
      </c:layout>
      <c:overlay val="0"/>
      <c:spPr>
        <a:noFill/>
        <a:ln w="25400">
          <a:noFill/>
        </a:ln>
      </c:spPr>
    </c:title>
    <c:autoTitleDeleted val="0"/>
    <c:plotArea>
      <c:layout>
        <c:manualLayout>
          <c:layoutTarget val="inner"/>
          <c:xMode val="edge"/>
          <c:yMode val="edge"/>
          <c:x val="0.13253012048192772"/>
          <c:y val="0.13783240373856934"/>
          <c:w val="0.68674698795180722"/>
          <c:h val="0.70423743785175275"/>
        </c:manualLayout>
      </c:layout>
      <c:barChart>
        <c:barDir val="bar"/>
        <c:grouping val="clustered"/>
        <c:varyColors val="0"/>
        <c:ser>
          <c:idx val="0"/>
          <c:order val="0"/>
          <c:tx>
            <c:strRef>
              <c:f>'Standard Ertragsphase'!$B$155</c:f>
              <c:strCache>
                <c:ptCount val="1"/>
                <c:pt idx="0">
                  <c:v>Standard</c:v>
                </c:pt>
              </c:strCache>
            </c:strRef>
          </c:tx>
          <c:spPr>
            <a:solidFill>
              <a:srgbClr val="000080"/>
            </a:solidFill>
            <a:ln w="12700">
              <a:solidFill>
                <a:srgbClr val="000000"/>
              </a:solidFill>
              <a:prstDash val="solid"/>
            </a:ln>
          </c:spPr>
          <c:invertIfNegative val="0"/>
          <c:cat>
            <c:strRef>
              <c:f>'Var Ertragsphase'!$A$164:$A$165</c:f>
              <c:strCache>
                <c:ptCount val="2"/>
                <c:pt idx="0">
                  <c:v>Maschinen</c:v>
                </c:pt>
                <c:pt idx="1">
                  <c:v>Arbeit</c:v>
                </c:pt>
              </c:strCache>
            </c:strRef>
          </c:cat>
          <c:val>
            <c:numRef>
              <c:f>'Standard Ertragsphase'!$B$166:$B$167</c:f>
              <c:numCache>
                <c:formatCode>\ #,##0\ "Fr."</c:formatCode>
                <c:ptCount val="2"/>
                <c:pt idx="0">
                  <c:v>4125</c:v>
                </c:pt>
                <c:pt idx="1">
                  <c:v>14137.5</c:v>
                </c:pt>
              </c:numCache>
            </c:numRef>
          </c:val>
          <c:extLst>
            <c:ext xmlns:c16="http://schemas.microsoft.com/office/drawing/2014/chart" uri="{C3380CC4-5D6E-409C-BE32-E72D297353CC}">
              <c16:uniqueId val="{00000000-4311-46C8-8BC4-84046584E480}"/>
            </c:ext>
          </c:extLst>
        </c:ser>
        <c:ser>
          <c:idx val="1"/>
          <c:order val="1"/>
          <c:tx>
            <c:strRef>
              <c:f>'Var Ertragsphase'!$B$153</c:f>
              <c:strCache>
                <c:ptCount val="1"/>
                <c:pt idx="0">
                  <c:v>Variante</c:v>
                </c:pt>
              </c:strCache>
            </c:strRef>
          </c:tx>
          <c:spPr>
            <a:solidFill>
              <a:srgbClr val="008000"/>
            </a:solidFill>
            <a:ln w="12700">
              <a:solidFill>
                <a:srgbClr val="000000"/>
              </a:solidFill>
              <a:prstDash val="solid"/>
            </a:ln>
          </c:spPr>
          <c:invertIfNegative val="0"/>
          <c:cat>
            <c:strRef>
              <c:f>'Var Ertragsphase'!$A$164:$A$165</c:f>
              <c:strCache>
                <c:ptCount val="2"/>
                <c:pt idx="0">
                  <c:v>Maschinen</c:v>
                </c:pt>
                <c:pt idx="1">
                  <c:v>Arbeit</c:v>
                </c:pt>
              </c:strCache>
            </c:strRef>
          </c:cat>
          <c:val>
            <c:numRef>
              <c:f>'Var Ertragsphase'!$B$164:$B$165</c:f>
              <c:numCache>
                <c:formatCode>\ #,##0\ "Fr."</c:formatCode>
                <c:ptCount val="2"/>
                <c:pt idx="0">
                  <c:v>4125</c:v>
                </c:pt>
                <c:pt idx="1">
                  <c:v>14137.5</c:v>
                </c:pt>
              </c:numCache>
            </c:numRef>
          </c:val>
          <c:extLst>
            <c:ext xmlns:c16="http://schemas.microsoft.com/office/drawing/2014/chart" uri="{C3380CC4-5D6E-409C-BE32-E72D297353CC}">
              <c16:uniqueId val="{00000001-4311-46C8-8BC4-84046584E480}"/>
            </c:ext>
          </c:extLst>
        </c:ser>
        <c:dLbls>
          <c:showLegendKey val="0"/>
          <c:showVal val="0"/>
          <c:showCatName val="0"/>
          <c:showSerName val="0"/>
          <c:showPercent val="0"/>
          <c:showBubbleSize val="0"/>
        </c:dLbls>
        <c:gapWidth val="150"/>
        <c:axId val="588619792"/>
        <c:axId val="1"/>
      </c:barChart>
      <c:catAx>
        <c:axId val="5886197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588619792"/>
        <c:crosses val="max"/>
        <c:crossBetween val="between"/>
      </c:valAx>
      <c:spPr>
        <a:noFill/>
        <a:ln w="3175">
          <a:solidFill>
            <a:srgbClr val="000000"/>
          </a:solidFill>
          <a:prstDash val="solid"/>
        </a:ln>
      </c:spPr>
    </c:plotArea>
    <c:legend>
      <c:legendPos val="r"/>
      <c:layout>
        <c:manualLayout>
          <c:xMode val="edge"/>
          <c:yMode val="edge"/>
          <c:x val="0.80480529651068089"/>
          <c:y val="0.34707983857317515"/>
          <c:w val="0.14314323059829276"/>
          <c:h val="0.19072208951298242"/>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CH"/>
              <a:t>Gliederung nach Direkt- und Strukturkosten</a:t>
            </a:r>
          </a:p>
        </c:rich>
      </c:tx>
      <c:layout>
        <c:manualLayout>
          <c:xMode val="edge"/>
          <c:yMode val="edge"/>
          <c:x val="0.27443089918328739"/>
          <c:y val="3.1630242648240395E-2"/>
        </c:manualLayout>
      </c:layout>
      <c:overlay val="0"/>
      <c:spPr>
        <a:noFill/>
        <a:ln w="25400">
          <a:noFill/>
        </a:ln>
      </c:spPr>
    </c:title>
    <c:autoTitleDeleted val="0"/>
    <c:plotArea>
      <c:layout>
        <c:manualLayout>
          <c:layoutTarget val="inner"/>
          <c:xMode val="edge"/>
          <c:yMode val="edge"/>
          <c:x val="0.20749665327978581"/>
          <c:y val="0.12895377128953772"/>
          <c:w val="0.62918340026773767"/>
          <c:h val="0.74939172749391725"/>
        </c:manualLayout>
      </c:layout>
      <c:barChart>
        <c:barDir val="bar"/>
        <c:grouping val="clustered"/>
        <c:varyColors val="0"/>
        <c:ser>
          <c:idx val="0"/>
          <c:order val="0"/>
          <c:tx>
            <c:strRef>
              <c:f>'Standard Ertragsphase'!$B$124</c:f>
              <c:strCache>
                <c:ptCount val="1"/>
                <c:pt idx="0">
                  <c:v>Standard</c:v>
                </c:pt>
              </c:strCache>
            </c:strRef>
          </c:tx>
          <c:spPr>
            <a:solidFill>
              <a:srgbClr val="000080"/>
            </a:solidFill>
            <a:ln w="12700">
              <a:solidFill>
                <a:srgbClr val="000000"/>
              </a:solidFill>
              <a:prstDash val="solid"/>
            </a:ln>
          </c:spPr>
          <c:invertIfNegative val="0"/>
          <c:cat>
            <c:strRef>
              <c:f>'Var Ertragsphase'!$A$123:$A$124</c:f>
              <c:strCache>
                <c:ptCount val="2"/>
                <c:pt idx="0">
                  <c:v>Total Direktkosten</c:v>
                </c:pt>
                <c:pt idx="1">
                  <c:v>Total Strukturkosten</c:v>
                </c:pt>
              </c:strCache>
            </c:strRef>
          </c:cat>
          <c:val>
            <c:numRef>
              <c:f>'Standard Ertragsphase'!$B$125:$B$126</c:f>
              <c:numCache>
                <c:formatCode>\ #,##0\ "Fr."</c:formatCode>
                <c:ptCount val="2"/>
                <c:pt idx="0">
                  <c:v>16516.043101863288</c:v>
                </c:pt>
                <c:pt idx="1">
                  <c:v>31237.561972523526</c:v>
                </c:pt>
              </c:numCache>
            </c:numRef>
          </c:val>
          <c:extLst>
            <c:ext xmlns:c16="http://schemas.microsoft.com/office/drawing/2014/chart" uri="{C3380CC4-5D6E-409C-BE32-E72D297353CC}">
              <c16:uniqueId val="{00000000-7999-43BA-8078-2740481D0A30}"/>
            </c:ext>
          </c:extLst>
        </c:ser>
        <c:ser>
          <c:idx val="1"/>
          <c:order val="1"/>
          <c:tx>
            <c:strRef>
              <c:f>'Var Ertragsphase'!$B$122</c:f>
              <c:strCache>
                <c:ptCount val="1"/>
                <c:pt idx="0">
                  <c:v>Variante</c:v>
                </c:pt>
              </c:strCache>
            </c:strRef>
          </c:tx>
          <c:spPr>
            <a:solidFill>
              <a:srgbClr val="339933"/>
            </a:solidFill>
            <a:ln w="12700">
              <a:solidFill>
                <a:srgbClr val="000000"/>
              </a:solidFill>
              <a:prstDash val="solid"/>
            </a:ln>
          </c:spPr>
          <c:invertIfNegative val="0"/>
          <c:cat>
            <c:strRef>
              <c:f>'Var Ertragsphase'!$A$123:$A$124</c:f>
              <c:strCache>
                <c:ptCount val="2"/>
                <c:pt idx="0">
                  <c:v>Total Direktkosten</c:v>
                </c:pt>
                <c:pt idx="1">
                  <c:v>Total Strukturkosten</c:v>
                </c:pt>
              </c:strCache>
            </c:strRef>
          </c:cat>
          <c:val>
            <c:numRef>
              <c:f>'Var Ertragsphase'!$B$123:$B$124</c:f>
              <c:numCache>
                <c:formatCode>\ #,##0\ "Fr."</c:formatCode>
                <c:ptCount val="2"/>
                <c:pt idx="0">
                  <c:v>16516.043101863288</c:v>
                </c:pt>
                <c:pt idx="1">
                  <c:v>31237.561972523526</c:v>
                </c:pt>
              </c:numCache>
            </c:numRef>
          </c:val>
          <c:extLst>
            <c:ext xmlns:c16="http://schemas.microsoft.com/office/drawing/2014/chart" uri="{C3380CC4-5D6E-409C-BE32-E72D297353CC}">
              <c16:uniqueId val="{00000001-7999-43BA-8078-2740481D0A30}"/>
            </c:ext>
          </c:extLst>
        </c:ser>
        <c:dLbls>
          <c:showLegendKey val="0"/>
          <c:showVal val="0"/>
          <c:showCatName val="0"/>
          <c:showSerName val="0"/>
          <c:showPercent val="0"/>
          <c:showBubbleSize val="0"/>
        </c:dLbls>
        <c:gapWidth val="150"/>
        <c:axId val="588620776"/>
        <c:axId val="1"/>
      </c:barChart>
      <c:catAx>
        <c:axId val="5886207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de-DE"/>
          </a:p>
        </c:txPr>
        <c:crossAx val="588620776"/>
        <c:crosses val="max"/>
        <c:crossBetween val="between"/>
      </c:valAx>
      <c:spPr>
        <a:noFill/>
        <a:ln w="3175">
          <a:solidFill>
            <a:srgbClr val="000000"/>
          </a:solidFill>
          <a:prstDash val="solid"/>
        </a:ln>
      </c:spPr>
    </c:plotArea>
    <c:legend>
      <c:legendPos val="r"/>
      <c:layout>
        <c:manualLayout>
          <c:xMode val="edge"/>
          <c:yMode val="edge"/>
          <c:x val="0.73228475497705736"/>
          <c:y val="0.29807741289388584"/>
          <c:w val="0.14829422457420693"/>
          <c:h val="0.19423108840182235"/>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25400">
      <a:solidFill>
        <a:srgbClr val="000080"/>
      </a:solidFill>
      <a:prstDash val="solid"/>
    </a:ln>
  </c:spPr>
  <c:txPr>
    <a:bodyPr/>
    <a:lstStyle/>
    <a:p>
      <a:pPr>
        <a:defRPr sz="10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21534307186779"/>
          <c:y val="0.15443037974683543"/>
          <c:w val="0.7495851904870352"/>
          <c:h val="0.73417721518987344"/>
        </c:manualLayout>
      </c:layout>
      <c:scatterChart>
        <c:scatterStyle val="lineMarker"/>
        <c:varyColors val="0"/>
        <c:ser>
          <c:idx val="0"/>
          <c:order val="0"/>
          <c:spPr>
            <a:ln w="25400">
              <a:solidFill>
                <a:srgbClr val="000080"/>
              </a:solidFill>
              <a:prstDash val="solid"/>
            </a:ln>
          </c:spPr>
          <c:marker>
            <c:symbol val="diamond"/>
            <c:size val="7"/>
            <c:spPr>
              <a:solidFill>
                <a:srgbClr val="000080"/>
              </a:solidFill>
              <a:ln>
                <a:solidFill>
                  <a:srgbClr val="000080"/>
                </a:solidFill>
                <a:prstDash val="solid"/>
              </a:ln>
            </c:spPr>
          </c:marker>
          <c:xVal>
            <c:numRef>
              <c:f>'Var Cashflow'!$B$15:$B$31</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'Var Cashflow'!$C$15:$C$31</c:f>
              <c:numCache>
                <c:formatCode>\ #,##0\ "Fr."</c:formatCode>
                <c:ptCount val="17"/>
                <c:pt idx="0">
                  <c:v>-63543.933666666664</c:v>
                </c:pt>
                <c:pt idx="1">
                  <c:v>-71905.145969933335</c:v>
                </c:pt>
                <c:pt idx="2">
                  <c:v>-77931.559183929407</c:v>
                </c:pt>
                <c:pt idx="3">
                  <c:v>-87214.56011685144</c:v>
                </c:pt>
                <c:pt idx="4">
                  <c:v>-93729.108058169775</c:v>
                </c:pt>
                <c:pt idx="5">
                  <c:v>-97715.936930959972</c:v>
                </c:pt>
                <c:pt idx="6">
                  <c:v>-98576.647263605264</c:v>
                </c:pt>
                <c:pt idx="7">
                  <c:v>-96283.103989244381</c:v>
                </c:pt>
                <c:pt idx="8">
                  <c:v>-93968.918825414265</c:v>
                </c:pt>
                <c:pt idx="9">
                  <c:v>-91633.905995109642</c:v>
                </c:pt>
                <c:pt idx="10">
                  <c:v>-89277.878049332299</c:v>
                </c:pt>
                <c:pt idx="11">
                  <c:v>-86900.645852042959</c:v>
                </c:pt>
                <c:pt idx="12">
                  <c:v>-84502.018564978003</c:v>
                </c:pt>
                <c:pt idx="13">
                  <c:v>-82081.80363232948</c:v>
                </c:pt>
                <c:pt idx="14">
                  <c:v>-79639.80676528711</c:v>
                </c:pt>
                <c:pt idx="15">
                  <c:v>-77175.831926441359</c:v>
                </c:pt>
                <c:pt idx="16">
                  <c:v>-80689.681314046</c:v>
                </c:pt>
              </c:numCache>
            </c:numRef>
          </c:yVal>
          <c:smooth val="0"/>
          <c:extLst>
            <c:ext xmlns:c16="http://schemas.microsoft.com/office/drawing/2014/chart" uri="{C3380CC4-5D6E-409C-BE32-E72D297353CC}">
              <c16:uniqueId val="{00000000-D74B-4C80-BB5B-0149BEE7CCF7}"/>
            </c:ext>
          </c:extLst>
        </c:ser>
        <c:dLbls>
          <c:showLegendKey val="0"/>
          <c:showVal val="0"/>
          <c:showCatName val="0"/>
          <c:showSerName val="0"/>
          <c:showPercent val="0"/>
          <c:showBubbleSize val="0"/>
        </c:dLbls>
        <c:axId val="471249784"/>
        <c:axId val="1"/>
      </c:scatterChart>
      <c:valAx>
        <c:axId val="47124978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CH"/>
                  <a:t>Standjahre</a:t>
                </a:r>
              </a:p>
            </c:rich>
          </c:tx>
          <c:layout>
            <c:manualLayout>
              <c:xMode val="edge"/>
              <c:yMode val="edge"/>
              <c:x val="0.51471513560804905"/>
              <c:y val="0.9164559468826087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1"/>
      </c:valAx>
      <c:valAx>
        <c:axId val="1"/>
        <c:scaling>
          <c:orientation val="minMax"/>
        </c:scaling>
        <c:delete val="0"/>
        <c:axPos val="l"/>
        <c:majorGridlines>
          <c:spPr>
            <a:ln w="12700">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8.3287839020122489E-3"/>
              <c:y val="0.45063270192001198"/>
            </c:manualLayout>
          </c:layout>
          <c:overlay val="0"/>
          <c:spPr>
            <a:noFill/>
            <a:ln w="25400">
              <a:noFill/>
            </a:ln>
          </c:spPr>
        </c:title>
        <c:numFmt formatCode="\ #,##0\ &quot;Fr.&quot;"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471249784"/>
        <c:crosses val="autoZero"/>
        <c:crossBetween val="midCat"/>
      </c:valAx>
      <c:spPr>
        <a:solidFill>
          <a:srgbClr val="FFFFFF"/>
        </a:solidFill>
        <a:ln w="12700">
          <a:solidFill>
            <a:srgbClr val="FFFFFF"/>
          </a:solidFill>
          <a:prstDash val="solid"/>
        </a:ln>
      </c:spPr>
    </c:plotArea>
    <c:plotVisOnly val="1"/>
    <c:dispBlanksAs val="gap"/>
    <c:showDLblsOverMax val="0"/>
  </c:chart>
  <c:spPr>
    <a:solidFill>
      <a:srgbClr val="E3E3E3"/>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3759646050804"/>
          <c:y val="0.1533950541489649"/>
          <c:w val="0.7528901873905598"/>
          <c:h val="0.73679919451879861"/>
        </c:manualLayout>
      </c:layout>
      <c:scatterChart>
        <c:scatterStyle val="lineMarker"/>
        <c:varyColors val="0"/>
        <c:ser>
          <c:idx val="0"/>
          <c:order val="0"/>
          <c:spPr>
            <a:ln w="25400">
              <a:solidFill>
                <a:srgbClr val="000080"/>
              </a:solidFill>
              <a:prstDash val="solid"/>
            </a:ln>
          </c:spPr>
          <c:marker>
            <c:symbol val="diamond"/>
            <c:size val="7"/>
            <c:spPr>
              <a:solidFill>
                <a:srgbClr val="000080"/>
              </a:solidFill>
              <a:ln>
                <a:solidFill>
                  <a:srgbClr val="000080"/>
                </a:solidFill>
                <a:prstDash val="solid"/>
              </a:ln>
            </c:spPr>
          </c:marker>
          <c:xVal>
            <c:numRef>
              <c:f>'Standard Cashflow'!$B$25:$B$41</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'Standard Cashflow'!$C$25:$C$41</c:f>
              <c:numCache>
                <c:formatCode>\ #,##0\ "Fr."</c:formatCode>
                <c:ptCount val="17"/>
                <c:pt idx="0">
                  <c:v>-63543.933666666664</c:v>
                </c:pt>
                <c:pt idx="1">
                  <c:v>-71905.145969933335</c:v>
                </c:pt>
                <c:pt idx="2">
                  <c:v>-77931.559183929407</c:v>
                </c:pt>
                <c:pt idx="3">
                  <c:v>-87214.56011685144</c:v>
                </c:pt>
                <c:pt idx="4">
                  <c:v>-93729.108058169775</c:v>
                </c:pt>
                <c:pt idx="5">
                  <c:v>-97715.936930959972</c:v>
                </c:pt>
                <c:pt idx="6">
                  <c:v>-98576.647263605264</c:v>
                </c:pt>
                <c:pt idx="7">
                  <c:v>-96283.103989244381</c:v>
                </c:pt>
                <c:pt idx="8">
                  <c:v>-93968.918825414265</c:v>
                </c:pt>
                <c:pt idx="9">
                  <c:v>-91633.905995109642</c:v>
                </c:pt>
                <c:pt idx="10">
                  <c:v>-89277.878049332299</c:v>
                </c:pt>
                <c:pt idx="11">
                  <c:v>-86900.645852042959</c:v>
                </c:pt>
                <c:pt idx="12">
                  <c:v>-84502.018564978003</c:v>
                </c:pt>
                <c:pt idx="13">
                  <c:v>-82081.80363232948</c:v>
                </c:pt>
                <c:pt idx="14">
                  <c:v>-79639.80676528711</c:v>
                </c:pt>
                <c:pt idx="15">
                  <c:v>-77175.831926441359</c:v>
                </c:pt>
                <c:pt idx="16">
                  <c:v>-80689.681314046</c:v>
                </c:pt>
              </c:numCache>
            </c:numRef>
          </c:yVal>
          <c:smooth val="0"/>
          <c:extLst>
            <c:ext xmlns:c16="http://schemas.microsoft.com/office/drawing/2014/chart" uri="{C3380CC4-5D6E-409C-BE32-E72D297353CC}">
              <c16:uniqueId val="{00000000-85BB-48A0-B41B-3993993B1B11}"/>
            </c:ext>
          </c:extLst>
        </c:ser>
        <c:dLbls>
          <c:showLegendKey val="0"/>
          <c:showVal val="0"/>
          <c:showCatName val="0"/>
          <c:showSerName val="0"/>
          <c:showPercent val="0"/>
          <c:showBubbleSize val="0"/>
        </c:dLbls>
        <c:axId val="471159120"/>
        <c:axId val="1"/>
      </c:scatterChart>
      <c:valAx>
        <c:axId val="47115912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CH"/>
                  <a:t>Standjahre</a:t>
                </a:r>
              </a:p>
            </c:rich>
          </c:tx>
          <c:layout>
            <c:manualLayout>
              <c:xMode val="edge"/>
              <c:yMode val="edge"/>
              <c:x val="0.51513526155765188"/>
              <c:y val="0.91785565664395574"/>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1"/>
      </c:valAx>
      <c:valAx>
        <c:axId val="1"/>
        <c:scaling>
          <c:orientation val="minMax"/>
        </c:scaling>
        <c:delete val="0"/>
        <c:axPos val="l"/>
        <c:majorGridlines>
          <c:spPr>
            <a:ln w="12700">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8.2555027156258932E-3"/>
              <c:y val="0.45012660982144065"/>
            </c:manualLayout>
          </c:layout>
          <c:overlay val="0"/>
          <c:spPr>
            <a:noFill/>
            <a:ln w="25400">
              <a:noFill/>
            </a:ln>
          </c:spPr>
        </c:title>
        <c:numFmt formatCode="\ #,##0\ &quot;Fr.&quot;"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471159120"/>
        <c:crosses val="autoZero"/>
        <c:crossBetween val="midCat"/>
      </c:valAx>
      <c:spPr>
        <a:solidFill>
          <a:srgbClr val="FFFFFF"/>
        </a:solidFill>
        <a:ln w="12700">
          <a:solidFill>
            <a:srgbClr val="FFFFFF"/>
          </a:solidFill>
          <a:prstDash val="solid"/>
        </a:ln>
      </c:spPr>
    </c:plotArea>
    <c:plotVisOnly val="1"/>
    <c:dispBlanksAs val="gap"/>
    <c:showDLblsOverMax val="0"/>
  </c:chart>
  <c:spPr>
    <a:solidFill>
      <a:srgbClr val="E3E3E3"/>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CH"/>
              <a:t>Gliederung der Sachkosten</a:t>
            </a:r>
          </a:p>
        </c:rich>
      </c:tx>
      <c:layout>
        <c:manualLayout>
          <c:xMode val="edge"/>
          <c:yMode val="edge"/>
          <c:x val="0.35679338564972801"/>
          <c:y val="3.194077852944438E-2"/>
        </c:manualLayout>
      </c:layout>
      <c:overlay val="0"/>
      <c:spPr>
        <a:noFill/>
        <a:ln w="25400">
          <a:noFill/>
        </a:ln>
      </c:spPr>
    </c:title>
    <c:autoTitleDeleted val="0"/>
    <c:plotArea>
      <c:layout>
        <c:manualLayout>
          <c:layoutTarget val="inner"/>
          <c:xMode val="edge"/>
          <c:yMode val="edge"/>
          <c:x val="0.2445438553449599"/>
          <c:y val="0.16461916461916462"/>
          <c:w val="0.60534626487031051"/>
          <c:h val="0.65110565110565111"/>
        </c:manualLayout>
      </c:layout>
      <c:barChart>
        <c:barDir val="bar"/>
        <c:grouping val="clustered"/>
        <c:varyColors val="0"/>
        <c:ser>
          <c:idx val="0"/>
          <c:order val="0"/>
          <c:tx>
            <c:strRef>
              <c:f>'Standard Ertragsphase'!$B$116</c:f>
              <c:strCache>
                <c:ptCount val="1"/>
                <c:pt idx="0">
                  <c:v>Standard</c:v>
                </c:pt>
              </c:strCache>
            </c:strRef>
          </c:tx>
          <c:spPr>
            <a:solidFill>
              <a:srgbClr val="000080"/>
            </a:solidFill>
            <a:ln w="12700">
              <a:solidFill>
                <a:srgbClr val="000000"/>
              </a:solidFill>
              <a:prstDash val="solid"/>
            </a:ln>
          </c:spPr>
          <c:invertIfNegative val="0"/>
          <c:cat>
            <c:strRef>
              <c:f>'Var Ertragsphase'!$A$115:$A$118</c:f>
              <c:strCache>
                <c:ptCount val="4"/>
                <c:pt idx="0">
                  <c:v>Gebindekosten und Aktionsbeiträge</c:v>
                </c:pt>
                <c:pt idx="1">
                  <c:v>Abschreibung Obstanlage </c:v>
                </c:pt>
                <c:pt idx="2">
                  <c:v>Maschinen und Geräte</c:v>
                </c:pt>
                <c:pt idx="3">
                  <c:v>übrige Kosten (aus Posten mit &lt; 10%)</c:v>
                </c:pt>
              </c:strCache>
            </c:strRef>
          </c:cat>
          <c:val>
            <c:numRef>
              <c:f>'Standard Ertragsphase'!$B$117:$B$120</c:f>
              <c:numCache>
                <c:formatCode>\ #,##0\ "Fr."</c:formatCode>
                <c:ptCount val="4"/>
                <c:pt idx="0">
                  <c:v>3375.0000000000009</c:v>
                </c:pt>
                <c:pt idx="1">
                  <c:v>6694.9362898692698</c:v>
                </c:pt>
                <c:pt idx="2">
                  <c:v>6315</c:v>
                </c:pt>
                <c:pt idx="3">
                  <c:v>6891.6068119940137</c:v>
                </c:pt>
              </c:numCache>
            </c:numRef>
          </c:val>
          <c:extLst>
            <c:ext xmlns:c16="http://schemas.microsoft.com/office/drawing/2014/chart" uri="{C3380CC4-5D6E-409C-BE32-E72D297353CC}">
              <c16:uniqueId val="{00000000-FFAE-4A3F-A846-1BD0185D0AE9}"/>
            </c:ext>
          </c:extLst>
        </c:ser>
        <c:ser>
          <c:idx val="1"/>
          <c:order val="1"/>
          <c:tx>
            <c:strRef>
              <c:f>'Var Ertragsphase'!$B$114</c:f>
              <c:strCache>
                <c:ptCount val="1"/>
                <c:pt idx="0">
                  <c:v>Variante</c:v>
                </c:pt>
              </c:strCache>
            </c:strRef>
          </c:tx>
          <c:spPr>
            <a:solidFill>
              <a:srgbClr val="339933"/>
            </a:solidFill>
            <a:ln w="12700">
              <a:solidFill>
                <a:srgbClr val="000000"/>
              </a:solidFill>
              <a:prstDash val="solid"/>
            </a:ln>
          </c:spPr>
          <c:invertIfNegative val="0"/>
          <c:cat>
            <c:strRef>
              <c:f>'Var Ertragsphase'!$A$115:$A$118</c:f>
              <c:strCache>
                <c:ptCount val="4"/>
                <c:pt idx="0">
                  <c:v>Gebindekosten und Aktionsbeiträge</c:v>
                </c:pt>
                <c:pt idx="1">
                  <c:v>Abschreibung Obstanlage </c:v>
                </c:pt>
                <c:pt idx="2">
                  <c:v>Maschinen und Geräte</c:v>
                </c:pt>
                <c:pt idx="3">
                  <c:v>übrige Kosten (aus Posten mit &lt; 10%)</c:v>
                </c:pt>
              </c:strCache>
            </c:strRef>
          </c:cat>
          <c:val>
            <c:numRef>
              <c:f>'Var Ertragsphase'!$B$115:$B$118</c:f>
              <c:numCache>
                <c:formatCode>\ #,##0\ "Fr."</c:formatCode>
                <c:ptCount val="4"/>
                <c:pt idx="0">
                  <c:v>3375.0000000000009</c:v>
                </c:pt>
                <c:pt idx="1">
                  <c:v>6694.9362898692698</c:v>
                </c:pt>
                <c:pt idx="2">
                  <c:v>6315</c:v>
                </c:pt>
                <c:pt idx="3">
                  <c:v>6891.6068119940137</c:v>
                </c:pt>
              </c:numCache>
            </c:numRef>
          </c:val>
          <c:extLst>
            <c:ext xmlns:c16="http://schemas.microsoft.com/office/drawing/2014/chart" uri="{C3380CC4-5D6E-409C-BE32-E72D297353CC}">
              <c16:uniqueId val="{00000001-FFAE-4A3F-A846-1BD0185D0AE9}"/>
            </c:ext>
          </c:extLst>
        </c:ser>
        <c:dLbls>
          <c:showLegendKey val="0"/>
          <c:showVal val="0"/>
          <c:showCatName val="0"/>
          <c:showSerName val="0"/>
          <c:showPercent val="0"/>
          <c:showBubbleSize val="0"/>
        </c:dLbls>
        <c:gapWidth val="150"/>
        <c:axId val="471244864"/>
        <c:axId val="1"/>
      </c:barChart>
      <c:catAx>
        <c:axId val="4712448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471244864"/>
        <c:crosses val="max"/>
        <c:crossBetween val="between"/>
      </c:valAx>
      <c:spPr>
        <a:noFill/>
        <a:ln w="3175">
          <a:solidFill>
            <a:srgbClr val="000000"/>
          </a:solidFill>
          <a:prstDash val="solid"/>
        </a:ln>
      </c:spPr>
    </c:plotArea>
    <c:legend>
      <c:legendPos val="r"/>
      <c:layout>
        <c:manualLayout>
          <c:xMode val="edge"/>
          <c:yMode val="edge"/>
          <c:x val="0.69542505853791958"/>
          <c:y val="0.2506812822908514"/>
          <c:w val="0.14117651564303629"/>
          <c:h val="0.20163494445133703"/>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25400">
      <a:solidFill>
        <a:srgbClr val="000080"/>
      </a:solidFill>
      <a:prstDash val="solid"/>
    </a:ln>
  </c:spPr>
  <c:txPr>
    <a:bodyPr/>
    <a:lstStyle/>
    <a:p>
      <a:pPr>
        <a:defRPr sz="10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0" i="0" u="none" strike="noStrike" baseline="0">
                <a:solidFill>
                  <a:srgbClr val="000000"/>
                </a:solidFill>
                <a:latin typeface="Arial"/>
                <a:ea typeface="Arial"/>
                <a:cs typeface="Arial"/>
              </a:defRPr>
            </a:pPr>
            <a:r>
              <a:rPr lang="de-CH" sz="1750" b="1" i="0" u="none" strike="noStrike" baseline="0">
                <a:solidFill>
                  <a:srgbClr val="000000"/>
                </a:solidFill>
                <a:latin typeface="Arial"/>
                <a:cs typeface="Arial"/>
              </a:rPr>
              <a:t>Produktionskosten- / </a:t>
            </a:r>
          </a:p>
          <a:p>
            <a:pPr>
              <a:defRPr sz="1125" b="0" i="0" u="none" strike="noStrike" baseline="0">
                <a:solidFill>
                  <a:srgbClr val="000000"/>
                </a:solidFill>
                <a:latin typeface="Arial"/>
                <a:ea typeface="Arial"/>
                <a:cs typeface="Arial"/>
              </a:defRPr>
            </a:pPr>
            <a:r>
              <a:rPr lang="de-CH" sz="1750" b="1" i="0" u="none" strike="noStrike" baseline="0">
                <a:solidFill>
                  <a:srgbClr val="000000"/>
                </a:solidFill>
                <a:latin typeface="Arial"/>
                <a:cs typeface="Arial"/>
              </a:rPr>
              <a:t>Leistungsvergleich</a:t>
            </a:r>
          </a:p>
          <a:p>
            <a:pPr>
              <a:defRPr sz="1125" b="0" i="0" u="none" strike="noStrike" baseline="0">
                <a:solidFill>
                  <a:srgbClr val="000000"/>
                </a:solidFill>
                <a:latin typeface="Arial"/>
                <a:ea typeface="Arial"/>
                <a:cs typeface="Arial"/>
              </a:defRPr>
            </a:pPr>
            <a:endParaRPr lang="de-CH" sz="1750" b="1" i="0" u="none" strike="noStrike" baseline="0">
              <a:solidFill>
                <a:srgbClr val="000000"/>
              </a:solidFill>
              <a:latin typeface="Arial"/>
              <a:cs typeface="Arial"/>
            </a:endParaRPr>
          </a:p>
          <a:p>
            <a:pPr>
              <a:defRPr sz="1125" b="0" i="0" u="none" strike="noStrike" baseline="0">
                <a:solidFill>
                  <a:srgbClr val="000000"/>
                </a:solidFill>
                <a:latin typeface="Arial"/>
                <a:ea typeface="Arial"/>
                <a:cs typeface="Arial"/>
              </a:defRPr>
            </a:pPr>
            <a:r>
              <a:rPr lang="de-CH" sz="1750" b="1" i="1" u="none" strike="noStrike" baseline="0">
                <a:solidFill>
                  <a:srgbClr val="000080"/>
                </a:solidFill>
                <a:latin typeface="Arial"/>
                <a:cs typeface="Arial"/>
              </a:rPr>
              <a:t>Standard</a:t>
            </a:r>
          </a:p>
          <a:p>
            <a:pPr>
              <a:defRPr sz="1125" b="0" i="0" u="none" strike="noStrike" baseline="0">
                <a:solidFill>
                  <a:srgbClr val="000000"/>
                </a:solidFill>
                <a:latin typeface="Arial"/>
                <a:ea typeface="Arial"/>
                <a:cs typeface="Arial"/>
              </a:defRPr>
            </a:pPr>
            <a:endParaRPr lang="de-CH" sz="1750" b="1" i="1" u="none" strike="noStrike" baseline="0">
              <a:solidFill>
                <a:srgbClr val="000080"/>
              </a:solidFill>
              <a:latin typeface="Arial"/>
              <a:cs typeface="Arial"/>
            </a:endParaRPr>
          </a:p>
        </c:rich>
      </c:tx>
      <c:layout>
        <c:manualLayout>
          <c:xMode val="edge"/>
          <c:yMode val="edge"/>
          <c:x val="0.31350284339457568"/>
          <c:y val="2.5705195428449547E-2"/>
        </c:manualLayout>
      </c:layout>
      <c:overlay val="0"/>
      <c:spPr>
        <a:noFill/>
        <a:ln w="25400">
          <a:noFill/>
        </a:ln>
      </c:spPr>
    </c:title>
    <c:autoTitleDeleted val="0"/>
    <c:plotArea>
      <c:layout>
        <c:manualLayout>
          <c:layoutTarget val="inner"/>
          <c:xMode val="edge"/>
          <c:yMode val="edge"/>
          <c:x val="0.20796731110828195"/>
          <c:y val="0.23991448360691744"/>
          <c:w val="0.76202947577736146"/>
          <c:h val="0.61906505144999235"/>
        </c:manualLayout>
      </c:layout>
      <c:barChart>
        <c:barDir val="col"/>
        <c:grouping val="clustered"/>
        <c:varyColors val="0"/>
        <c:ser>
          <c:idx val="0"/>
          <c:order val="0"/>
          <c:tx>
            <c:strRef>
              <c:f>'Standard Cashflow'!$D$24</c:f>
              <c:strCache>
                <c:ptCount val="1"/>
                <c:pt idx="0">
                  <c:v>Leistung</c:v>
                </c:pt>
              </c:strCache>
            </c:strRef>
          </c:tx>
          <c:spPr>
            <a:solidFill>
              <a:srgbClr val="00FFFF"/>
            </a:solidFill>
            <a:ln w="12700">
              <a:solidFill>
                <a:srgbClr val="000000"/>
              </a:solidFill>
              <a:prstDash val="solid"/>
            </a:ln>
          </c:spPr>
          <c:invertIfNegative val="0"/>
          <c:cat>
            <c:numRef>
              <c:f>'Standard Cashflow'!$B$25:$B$41</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cat>
          <c:val>
            <c:numRef>
              <c:f>'Standard Cashflow'!$D$25:$D$41</c:f>
              <c:numCache>
                <c:formatCode>\ #,##0\ "Fr."</c:formatCode>
                <c:ptCount val="17"/>
                <c:pt idx="0">
                  <c:v>0</c:v>
                </c:pt>
                <c:pt idx="1">
                  <c:v>1100</c:v>
                </c:pt>
                <c:pt idx="2">
                  <c:v>7724</c:v>
                </c:pt>
                <c:pt idx="3">
                  <c:v>11036</c:v>
                </c:pt>
                <c:pt idx="4">
                  <c:v>17660</c:v>
                </c:pt>
                <c:pt idx="5">
                  <c:v>30908</c:v>
                </c:pt>
                <c:pt idx="6">
                  <c:v>37532</c:v>
                </c:pt>
                <c:pt idx="7">
                  <c:v>44156</c:v>
                </c:pt>
                <c:pt idx="8">
                  <c:v>44156</c:v>
                </c:pt>
                <c:pt idx="9">
                  <c:v>44156</c:v>
                </c:pt>
                <c:pt idx="10">
                  <c:v>44156</c:v>
                </c:pt>
                <c:pt idx="11">
                  <c:v>44156</c:v>
                </c:pt>
                <c:pt idx="12">
                  <c:v>44156</c:v>
                </c:pt>
                <c:pt idx="13">
                  <c:v>44156</c:v>
                </c:pt>
                <c:pt idx="14">
                  <c:v>44156</c:v>
                </c:pt>
                <c:pt idx="15">
                  <c:v>44156</c:v>
                </c:pt>
                <c:pt idx="16">
                  <c:v>44156</c:v>
                </c:pt>
              </c:numCache>
            </c:numRef>
          </c:val>
          <c:extLst>
            <c:ext xmlns:c16="http://schemas.microsoft.com/office/drawing/2014/chart" uri="{C3380CC4-5D6E-409C-BE32-E72D297353CC}">
              <c16:uniqueId val="{00000000-7439-4077-BA95-10704A597F67}"/>
            </c:ext>
          </c:extLst>
        </c:ser>
        <c:ser>
          <c:idx val="1"/>
          <c:order val="1"/>
          <c:tx>
            <c:strRef>
              <c:f>'Standard Cashflow'!$E$24</c:f>
              <c:strCache>
                <c:ptCount val="1"/>
                <c:pt idx="0">
                  <c:v>Produktionskosten</c:v>
                </c:pt>
              </c:strCache>
            </c:strRef>
          </c:tx>
          <c:spPr>
            <a:solidFill>
              <a:srgbClr val="000080"/>
            </a:solidFill>
            <a:ln w="12700">
              <a:solidFill>
                <a:srgbClr val="000000"/>
              </a:solidFill>
              <a:prstDash val="solid"/>
            </a:ln>
          </c:spPr>
          <c:invertIfNegative val="0"/>
          <c:cat>
            <c:numRef>
              <c:f>'Standard Cashflow'!$B$25:$B$41</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cat>
          <c:val>
            <c:numRef>
              <c:f>'Standard Cashflow'!$E$25:$E$41</c:f>
              <c:numCache>
                <c:formatCode>\ #,##0\ "Fr."</c:formatCode>
                <c:ptCount val="17"/>
                <c:pt idx="0">
                  <c:v>63543.933666666664</c:v>
                </c:pt>
                <c:pt idx="1">
                  <c:v>9461.2123032666677</c:v>
                </c:pt>
                <c:pt idx="2">
                  <c:v>13750.413213996067</c:v>
                </c:pt>
                <c:pt idx="3">
                  <c:v>20319.000932922034</c:v>
                </c:pt>
                <c:pt idx="4">
                  <c:v>24174.547941318328</c:v>
                </c:pt>
                <c:pt idx="5">
                  <c:v>34894.828872790196</c:v>
                </c:pt>
                <c:pt idx="6">
                  <c:v>38392.710332645307</c:v>
                </c:pt>
                <c:pt idx="7">
                  <c:v>41862.456725639116</c:v>
                </c:pt>
                <c:pt idx="8">
                  <c:v>41841.81483616987</c:v>
                </c:pt>
                <c:pt idx="9">
                  <c:v>41820.987169695392</c:v>
                </c:pt>
                <c:pt idx="10">
                  <c:v>41799.972054222657</c:v>
                </c:pt>
                <c:pt idx="11">
                  <c:v>41778.767802710659</c:v>
                </c:pt>
                <c:pt idx="12">
                  <c:v>41757.372712935052</c:v>
                </c:pt>
                <c:pt idx="13">
                  <c:v>41735.785067351469</c:v>
                </c:pt>
                <c:pt idx="14">
                  <c:v>41714.00313295763</c:v>
                </c:pt>
                <c:pt idx="15">
                  <c:v>41692.025161154248</c:v>
                </c:pt>
                <c:pt idx="16">
                  <c:v>47669.849387604641</c:v>
                </c:pt>
              </c:numCache>
            </c:numRef>
          </c:val>
          <c:extLst>
            <c:ext xmlns:c16="http://schemas.microsoft.com/office/drawing/2014/chart" uri="{C3380CC4-5D6E-409C-BE32-E72D297353CC}">
              <c16:uniqueId val="{00000001-7439-4077-BA95-10704A597F67}"/>
            </c:ext>
          </c:extLst>
        </c:ser>
        <c:dLbls>
          <c:showLegendKey val="0"/>
          <c:showVal val="0"/>
          <c:showCatName val="0"/>
          <c:showSerName val="0"/>
          <c:showPercent val="0"/>
          <c:showBubbleSize val="0"/>
        </c:dLbls>
        <c:gapWidth val="150"/>
        <c:axId val="471246176"/>
        <c:axId val="1"/>
      </c:barChart>
      <c:catAx>
        <c:axId val="471246176"/>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de-CH"/>
                  <a:t>Standjahre</a:t>
                </a:r>
              </a:p>
            </c:rich>
          </c:tx>
          <c:layout>
            <c:manualLayout>
              <c:xMode val="edge"/>
              <c:yMode val="edge"/>
              <c:x val="0.52457442819647537"/>
              <c:y val="0.89325287499333461"/>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e-CH"/>
                  <a:t>Fr. / ha</a:t>
                </a:r>
              </a:p>
            </c:rich>
          </c:tx>
          <c:layout>
            <c:manualLayout>
              <c:xMode val="edge"/>
              <c:yMode val="edge"/>
              <c:x val="3.5695850518685165E-2"/>
              <c:y val="0.52159968717228633"/>
            </c:manualLayout>
          </c:layout>
          <c:overlay val="0"/>
          <c:spPr>
            <a:noFill/>
            <a:ln w="25400">
              <a:noFill/>
            </a:ln>
          </c:spPr>
        </c:title>
        <c:numFmt formatCode="\ #,##0\ &quot;Fr.&quot;"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de-DE"/>
          </a:p>
        </c:txPr>
        <c:crossAx val="471246176"/>
        <c:crosses val="autoZero"/>
        <c:crossBetween val="between"/>
      </c:valAx>
      <c:spPr>
        <a:noFill/>
        <a:ln w="3175">
          <a:solidFill>
            <a:srgbClr val="000000"/>
          </a:solidFill>
          <a:prstDash val="solid"/>
        </a:ln>
      </c:spPr>
    </c:plotArea>
    <c:legend>
      <c:legendPos val="r"/>
      <c:layout>
        <c:manualLayout>
          <c:xMode val="edge"/>
          <c:yMode val="edge"/>
          <c:x val="0.39331087442606094"/>
          <c:y val="0.9510135135135136"/>
          <c:w val="0.47058896412267703"/>
          <c:h val="2.8716216216216214E-2"/>
        </c:manualLayout>
      </c:layout>
      <c:overlay val="0"/>
      <c:spPr>
        <a:solidFill>
          <a:srgbClr val="FFFFFF"/>
        </a:solidFill>
        <a:ln w="3175">
          <a:solidFill>
            <a:srgbClr val="000000"/>
          </a:solidFill>
          <a:prstDash val="solid"/>
        </a:ln>
      </c:spPr>
      <c:txPr>
        <a:bodyPr/>
        <a:lstStyle/>
        <a:p>
          <a:pPr>
            <a:defRPr sz="7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de-CH"/>
              <a:t>Anteil Arbeit-, Kapital- und Sachkosten</a:t>
            </a:r>
          </a:p>
        </c:rich>
      </c:tx>
      <c:layout>
        <c:manualLayout>
          <c:xMode val="edge"/>
          <c:yMode val="edge"/>
          <c:x val="0.31767902095713335"/>
          <c:y val="3.6954661489231648E-2"/>
        </c:manualLayout>
      </c:layout>
      <c:overlay val="0"/>
      <c:spPr>
        <a:noFill/>
        <a:ln w="25400">
          <a:noFill/>
        </a:ln>
      </c:spPr>
    </c:title>
    <c:autoTitleDeleted val="0"/>
    <c:plotArea>
      <c:layout>
        <c:manualLayout>
          <c:layoutTarget val="inner"/>
          <c:xMode val="edge"/>
          <c:yMode val="edge"/>
          <c:x val="0.13618157543391188"/>
          <c:y val="0.21548821548821548"/>
          <c:w val="0.69692923898531378"/>
          <c:h val="0.5757575757575758"/>
        </c:manualLayout>
      </c:layout>
      <c:barChart>
        <c:barDir val="bar"/>
        <c:grouping val="clustered"/>
        <c:varyColors val="0"/>
        <c:ser>
          <c:idx val="0"/>
          <c:order val="0"/>
          <c:tx>
            <c:strRef>
              <c:f>'Standard Ertragsphase'!$B$87</c:f>
              <c:strCache>
                <c:ptCount val="1"/>
                <c:pt idx="0">
                  <c:v>Standard</c:v>
                </c:pt>
              </c:strCache>
            </c:strRef>
          </c:tx>
          <c:spPr>
            <a:solidFill>
              <a:srgbClr val="000080"/>
            </a:solidFill>
            <a:ln w="12700">
              <a:solidFill>
                <a:srgbClr val="000000"/>
              </a:solidFill>
              <a:prstDash val="solid"/>
            </a:ln>
          </c:spPr>
          <c:invertIfNegative val="0"/>
          <c:cat>
            <c:strRef>
              <c:f>'Var Ertragsphase'!$A$86:$A$88</c:f>
              <c:strCache>
                <c:ptCount val="3"/>
                <c:pt idx="0">
                  <c:v>Arbeitskosten</c:v>
                </c:pt>
                <c:pt idx="1">
                  <c:v>Kapitalkosten</c:v>
                </c:pt>
                <c:pt idx="2">
                  <c:v>Sachkosten</c:v>
                </c:pt>
              </c:strCache>
            </c:strRef>
          </c:cat>
          <c:val>
            <c:numRef>
              <c:f>'Standard Ertragsphase'!$B$88:$B$90</c:f>
              <c:numCache>
                <c:formatCode>\ #,##0\ "Fr."</c:formatCode>
                <c:ptCount val="3"/>
                <c:pt idx="0">
                  <c:v>22973.5</c:v>
                </c:pt>
                <c:pt idx="1">
                  <c:v>1503.5619725235279</c:v>
                </c:pt>
                <c:pt idx="2">
                  <c:v>23276.543101863284</c:v>
                </c:pt>
              </c:numCache>
            </c:numRef>
          </c:val>
          <c:extLst>
            <c:ext xmlns:c16="http://schemas.microsoft.com/office/drawing/2014/chart" uri="{C3380CC4-5D6E-409C-BE32-E72D297353CC}">
              <c16:uniqueId val="{00000000-0B9D-4210-876A-CD2387479EF9}"/>
            </c:ext>
          </c:extLst>
        </c:ser>
        <c:ser>
          <c:idx val="1"/>
          <c:order val="1"/>
          <c:tx>
            <c:strRef>
              <c:f>'Var Ertragsphase'!$B$85</c:f>
              <c:strCache>
                <c:ptCount val="1"/>
                <c:pt idx="0">
                  <c:v>Variante</c:v>
                </c:pt>
              </c:strCache>
            </c:strRef>
          </c:tx>
          <c:spPr>
            <a:solidFill>
              <a:srgbClr val="339933"/>
            </a:solidFill>
            <a:ln w="12700">
              <a:solidFill>
                <a:srgbClr val="000000"/>
              </a:solidFill>
              <a:prstDash val="solid"/>
            </a:ln>
          </c:spPr>
          <c:invertIfNegative val="0"/>
          <c:cat>
            <c:strRef>
              <c:f>'Var Ertragsphase'!$A$86:$A$88</c:f>
              <c:strCache>
                <c:ptCount val="3"/>
                <c:pt idx="0">
                  <c:v>Arbeitskosten</c:v>
                </c:pt>
                <c:pt idx="1">
                  <c:v>Kapitalkosten</c:v>
                </c:pt>
                <c:pt idx="2">
                  <c:v>Sachkosten</c:v>
                </c:pt>
              </c:strCache>
            </c:strRef>
          </c:cat>
          <c:val>
            <c:numRef>
              <c:f>'Var Ertragsphase'!$B$86:$B$88</c:f>
              <c:numCache>
                <c:formatCode>\ #,##0\ "Fr."</c:formatCode>
                <c:ptCount val="3"/>
                <c:pt idx="0">
                  <c:v>22973.5</c:v>
                </c:pt>
                <c:pt idx="1">
                  <c:v>1503.5619725235279</c:v>
                </c:pt>
                <c:pt idx="2">
                  <c:v>23276.543101863284</c:v>
                </c:pt>
              </c:numCache>
            </c:numRef>
          </c:val>
          <c:extLst>
            <c:ext xmlns:c16="http://schemas.microsoft.com/office/drawing/2014/chart" uri="{C3380CC4-5D6E-409C-BE32-E72D297353CC}">
              <c16:uniqueId val="{00000001-0B9D-4210-876A-CD2387479EF9}"/>
            </c:ext>
          </c:extLst>
        </c:ser>
        <c:dLbls>
          <c:showLegendKey val="0"/>
          <c:showVal val="0"/>
          <c:showCatName val="0"/>
          <c:showSerName val="0"/>
          <c:showPercent val="0"/>
          <c:showBubbleSize val="0"/>
        </c:dLbls>
        <c:gapWidth val="100"/>
        <c:axId val="471247488"/>
        <c:axId val="1"/>
      </c:barChart>
      <c:catAx>
        <c:axId val="4712474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out"/>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de-DE"/>
          </a:p>
        </c:txPr>
        <c:crossAx val="471247488"/>
        <c:crosses val="max"/>
        <c:crossBetween val="between"/>
        <c:minorUnit val="1000"/>
      </c:valAx>
      <c:spPr>
        <a:noFill/>
        <a:ln w="3175">
          <a:solidFill>
            <a:srgbClr val="000000"/>
          </a:solidFill>
          <a:prstDash val="solid"/>
        </a:ln>
      </c:spPr>
    </c:plotArea>
    <c:legend>
      <c:legendPos val="r"/>
      <c:layout>
        <c:manualLayout>
          <c:xMode val="edge"/>
          <c:yMode val="edge"/>
          <c:x val="0.84412166848374615"/>
          <c:y val="0.34159871513084089"/>
          <c:w val="0.14266845101133738"/>
          <c:h val="0.27272800643510681"/>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200" verticalDpi="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de-CH" sz="1875" b="1" i="0" u="none" strike="noStrike" baseline="0">
                <a:solidFill>
                  <a:srgbClr val="000000"/>
                </a:solidFill>
                <a:latin typeface="Arial"/>
                <a:cs typeface="Arial"/>
              </a:rPr>
              <a:t>Produktionskosten- / </a:t>
            </a:r>
          </a:p>
          <a:p>
            <a:pPr>
              <a:defRPr sz="1200" b="0" i="0" u="none" strike="noStrike" baseline="0">
                <a:solidFill>
                  <a:srgbClr val="000000"/>
                </a:solidFill>
                <a:latin typeface="Arial"/>
                <a:ea typeface="Arial"/>
                <a:cs typeface="Arial"/>
              </a:defRPr>
            </a:pPr>
            <a:r>
              <a:rPr lang="de-CH" sz="1875" b="1" i="0" u="none" strike="noStrike" baseline="0">
                <a:solidFill>
                  <a:srgbClr val="000000"/>
                </a:solidFill>
                <a:latin typeface="Arial"/>
                <a:cs typeface="Arial"/>
              </a:rPr>
              <a:t>Leistungsvergleich</a:t>
            </a:r>
          </a:p>
          <a:p>
            <a:pPr>
              <a:defRPr sz="1200" b="0" i="0" u="none" strike="noStrike" baseline="0">
                <a:solidFill>
                  <a:srgbClr val="000000"/>
                </a:solidFill>
                <a:latin typeface="Arial"/>
                <a:ea typeface="Arial"/>
                <a:cs typeface="Arial"/>
              </a:defRPr>
            </a:pPr>
            <a:endParaRPr lang="de-CH" sz="1875"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r>
              <a:rPr lang="de-CH" sz="1875" b="1" i="1" u="none" strike="noStrike" baseline="0">
                <a:solidFill>
                  <a:srgbClr val="008000"/>
                </a:solidFill>
                <a:latin typeface="Arial"/>
                <a:cs typeface="Arial"/>
              </a:rPr>
              <a:t>Variante</a:t>
            </a:r>
          </a:p>
        </c:rich>
      </c:tx>
      <c:layout>
        <c:manualLayout>
          <c:xMode val="edge"/>
          <c:yMode val="edge"/>
          <c:x val="0.31393677422369681"/>
          <c:y val="2.4740044527276669E-2"/>
        </c:manualLayout>
      </c:layout>
      <c:overlay val="0"/>
      <c:spPr>
        <a:noFill/>
        <a:ln w="25400">
          <a:noFill/>
        </a:ln>
      </c:spPr>
    </c:title>
    <c:autoTitleDeleted val="0"/>
    <c:plotArea>
      <c:layout>
        <c:manualLayout>
          <c:layoutTarget val="inner"/>
          <c:xMode val="edge"/>
          <c:yMode val="edge"/>
          <c:x val="0.23618604464590146"/>
          <c:y val="0.24740067522568798"/>
          <c:w val="0.7364310211940529"/>
          <c:h val="0.61527472273518924"/>
        </c:manualLayout>
      </c:layout>
      <c:barChart>
        <c:barDir val="col"/>
        <c:grouping val="clustered"/>
        <c:varyColors val="0"/>
        <c:ser>
          <c:idx val="2"/>
          <c:order val="0"/>
          <c:tx>
            <c:strRef>
              <c:f>'Var Cashflow'!$D$14</c:f>
              <c:strCache>
                <c:ptCount val="1"/>
                <c:pt idx="0">
                  <c:v>Leistung</c:v>
                </c:pt>
              </c:strCache>
            </c:strRef>
          </c:tx>
          <c:spPr>
            <a:solidFill>
              <a:srgbClr val="00FF00"/>
            </a:solidFill>
            <a:ln w="12700">
              <a:solidFill>
                <a:srgbClr val="000000"/>
              </a:solidFill>
              <a:prstDash val="solid"/>
            </a:ln>
          </c:spPr>
          <c:invertIfNegative val="0"/>
          <c:cat>
            <c:numRef>
              <c:f>'Var Cashflow'!$B$15:$B$31</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cat>
          <c:val>
            <c:numRef>
              <c:f>'Var Cashflow'!$D$15:$D$31</c:f>
              <c:numCache>
                <c:formatCode>\ #,##0\ "Fr."</c:formatCode>
                <c:ptCount val="17"/>
                <c:pt idx="0">
                  <c:v>0</c:v>
                </c:pt>
                <c:pt idx="1">
                  <c:v>1100</c:v>
                </c:pt>
                <c:pt idx="2">
                  <c:v>7724</c:v>
                </c:pt>
                <c:pt idx="3">
                  <c:v>11036</c:v>
                </c:pt>
                <c:pt idx="4">
                  <c:v>17660</c:v>
                </c:pt>
                <c:pt idx="5">
                  <c:v>30908</c:v>
                </c:pt>
                <c:pt idx="6">
                  <c:v>37532</c:v>
                </c:pt>
                <c:pt idx="7">
                  <c:v>44156</c:v>
                </c:pt>
                <c:pt idx="8">
                  <c:v>44156</c:v>
                </c:pt>
                <c:pt idx="9">
                  <c:v>44156</c:v>
                </c:pt>
                <c:pt idx="10">
                  <c:v>44156</c:v>
                </c:pt>
                <c:pt idx="11">
                  <c:v>44156</c:v>
                </c:pt>
                <c:pt idx="12">
                  <c:v>44156</c:v>
                </c:pt>
                <c:pt idx="13">
                  <c:v>44156</c:v>
                </c:pt>
                <c:pt idx="14">
                  <c:v>44156</c:v>
                </c:pt>
                <c:pt idx="15">
                  <c:v>44156</c:v>
                </c:pt>
                <c:pt idx="16">
                  <c:v>44156</c:v>
                </c:pt>
              </c:numCache>
            </c:numRef>
          </c:val>
          <c:extLst>
            <c:ext xmlns:c16="http://schemas.microsoft.com/office/drawing/2014/chart" uri="{C3380CC4-5D6E-409C-BE32-E72D297353CC}">
              <c16:uniqueId val="{00000000-940B-4CB9-8D85-20C6E7A98CAD}"/>
            </c:ext>
          </c:extLst>
        </c:ser>
        <c:ser>
          <c:idx val="3"/>
          <c:order val="1"/>
          <c:tx>
            <c:strRef>
              <c:f>'Var Cashflow'!$E$14</c:f>
              <c:strCache>
                <c:ptCount val="1"/>
                <c:pt idx="0">
                  <c:v>Produktionskosten</c:v>
                </c:pt>
              </c:strCache>
            </c:strRef>
          </c:tx>
          <c:spPr>
            <a:solidFill>
              <a:srgbClr val="008000"/>
            </a:solidFill>
            <a:ln w="12700">
              <a:solidFill>
                <a:srgbClr val="000000"/>
              </a:solidFill>
              <a:prstDash val="solid"/>
            </a:ln>
          </c:spPr>
          <c:invertIfNegative val="0"/>
          <c:cat>
            <c:numRef>
              <c:f>'Var Cashflow'!$B$15:$B$31</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cat>
          <c:val>
            <c:numRef>
              <c:f>'Var Cashflow'!$E$15:$E$31</c:f>
              <c:numCache>
                <c:formatCode>\ #,##0\ "Fr."</c:formatCode>
                <c:ptCount val="17"/>
                <c:pt idx="0">
                  <c:v>63543.933666666664</c:v>
                </c:pt>
                <c:pt idx="1">
                  <c:v>9461.2123032666677</c:v>
                </c:pt>
                <c:pt idx="2">
                  <c:v>13750.413213996067</c:v>
                </c:pt>
                <c:pt idx="3">
                  <c:v>20319.000932922034</c:v>
                </c:pt>
                <c:pt idx="4">
                  <c:v>24174.547941318328</c:v>
                </c:pt>
                <c:pt idx="5">
                  <c:v>34894.828872790196</c:v>
                </c:pt>
                <c:pt idx="6">
                  <c:v>38392.710332645307</c:v>
                </c:pt>
                <c:pt idx="7">
                  <c:v>41862.456725639116</c:v>
                </c:pt>
                <c:pt idx="8">
                  <c:v>41841.81483616987</c:v>
                </c:pt>
                <c:pt idx="9">
                  <c:v>41820.987169695392</c:v>
                </c:pt>
                <c:pt idx="10">
                  <c:v>41799.972054222657</c:v>
                </c:pt>
                <c:pt idx="11">
                  <c:v>41778.767802710659</c:v>
                </c:pt>
                <c:pt idx="12">
                  <c:v>41757.372712935052</c:v>
                </c:pt>
                <c:pt idx="13">
                  <c:v>41735.785067351469</c:v>
                </c:pt>
                <c:pt idx="14">
                  <c:v>41714.00313295763</c:v>
                </c:pt>
                <c:pt idx="15">
                  <c:v>41692.025161154248</c:v>
                </c:pt>
                <c:pt idx="16">
                  <c:v>47669.849387604641</c:v>
                </c:pt>
              </c:numCache>
            </c:numRef>
          </c:val>
          <c:extLst>
            <c:ext xmlns:c16="http://schemas.microsoft.com/office/drawing/2014/chart" uri="{C3380CC4-5D6E-409C-BE32-E72D297353CC}">
              <c16:uniqueId val="{00000001-940B-4CB9-8D85-20C6E7A98CAD}"/>
            </c:ext>
          </c:extLst>
        </c:ser>
        <c:dLbls>
          <c:showLegendKey val="0"/>
          <c:showVal val="0"/>
          <c:showCatName val="0"/>
          <c:showSerName val="0"/>
          <c:showPercent val="0"/>
          <c:showBubbleSize val="0"/>
        </c:dLbls>
        <c:gapWidth val="150"/>
        <c:axId val="588081272"/>
        <c:axId val="1"/>
      </c:barChart>
      <c:catAx>
        <c:axId val="588081272"/>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de-CH"/>
                  <a:t>Standjahre</a:t>
                </a:r>
              </a:p>
            </c:rich>
          </c:tx>
          <c:layout>
            <c:manualLayout>
              <c:xMode val="edge"/>
              <c:yMode val="edge"/>
              <c:x val="0.54865549818142179"/>
              <c:y val="0.89924779221396867"/>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6.0146888167169017E-2"/>
              <c:y val="0.52491963985815471"/>
            </c:manualLayout>
          </c:layout>
          <c:overlay val="0"/>
          <c:spPr>
            <a:noFill/>
            <a:ln w="25400">
              <a:noFill/>
            </a:ln>
          </c:spPr>
        </c:title>
        <c:numFmt formatCode="\ #,##0\ &quot;Fr.&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588081272"/>
        <c:crosses val="autoZero"/>
        <c:crossBetween val="between"/>
      </c:valAx>
      <c:spPr>
        <a:noFill/>
        <a:ln w="3175">
          <a:solidFill>
            <a:srgbClr val="000000"/>
          </a:solidFill>
          <a:prstDash val="solid"/>
        </a:ln>
      </c:spPr>
    </c:plotArea>
    <c:legend>
      <c:legendPos val="r"/>
      <c:layout>
        <c:manualLayout>
          <c:xMode val="edge"/>
          <c:yMode val="edge"/>
          <c:x val="0.42840701000230746"/>
          <c:y val="0.95169560442072798"/>
          <c:w val="0.43879963288646051"/>
          <c:h val="2.8813580187270475E-2"/>
        </c:manualLayout>
      </c:layout>
      <c:overlay val="0"/>
      <c:spPr>
        <a:solidFill>
          <a:srgbClr val="FFFFFF"/>
        </a:solidFill>
        <a:ln w="3175">
          <a:solidFill>
            <a:srgbClr val="000000"/>
          </a:solidFill>
          <a:prstDash val="solid"/>
        </a:ln>
      </c:spPr>
      <c:txPr>
        <a:bodyPr/>
        <a:lstStyle/>
        <a:p>
          <a:pPr>
            <a:defRPr sz="7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CH"/>
              <a:t>Gliederung der Kapitalkosten</a:t>
            </a:r>
          </a:p>
        </c:rich>
      </c:tx>
      <c:layout>
        <c:manualLayout>
          <c:xMode val="edge"/>
          <c:yMode val="edge"/>
          <c:x val="0.34896097987751534"/>
          <c:y val="3.7267218921054945E-2"/>
        </c:manualLayout>
      </c:layout>
      <c:overlay val="0"/>
      <c:spPr>
        <a:noFill/>
        <a:ln w="25400">
          <a:noFill/>
        </a:ln>
      </c:spPr>
    </c:title>
    <c:autoTitleDeleted val="0"/>
    <c:plotArea>
      <c:layout>
        <c:manualLayout>
          <c:layoutTarget val="inner"/>
          <c:xMode val="edge"/>
          <c:yMode val="edge"/>
          <c:x val="0.15391433021403192"/>
          <c:y val="0.21987684334648364"/>
          <c:w val="0.66475068480370691"/>
          <c:h val="0.58882273302956634"/>
        </c:manualLayout>
      </c:layout>
      <c:barChart>
        <c:barDir val="bar"/>
        <c:grouping val="clustered"/>
        <c:varyColors val="0"/>
        <c:ser>
          <c:idx val="0"/>
          <c:order val="0"/>
          <c:tx>
            <c:strRef>
              <c:f>'Standard Ertragsphase'!$B$93</c:f>
              <c:strCache>
                <c:ptCount val="1"/>
                <c:pt idx="0">
                  <c:v>Standard</c:v>
                </c:pt>
              </c:strCache>
            </c:strRef>
          </c:tx>
          <c:spPr>
            <a:solidFill>
              <a:srgbClr val="000080"/>
            </a:solidFill>
            <a:ln w="12700">
              <a:solidFill>
                <a:srgbClr val="000000"/>
              </a:solidFill>
              <a:prstDash val="solid"/>
            </a:ln>
          </c:spPr>
          <c:invertIfNegative val="0"/>
          <c:cat>
            <c:strRef>
              <c:f>'Var Ertragsphase'!$A$92:$A$93</c:f>
              <c:strCache>
                <c:ptCount val="2"/>
                <c:pt idx="0">
                  <c:v>für Boden</c:v>
                </c:pt>
                <c:pt idx="1">
                  <c:v>für Investition Obstanlage </c:v>
                </c:pt>
              </c:strCache>
            </c:strRef>
          </c:cat>
          <c:val>
            <c:numRef>
              <c:f>'Standard Ertragsphase'!$B$94:$B$95</c:f>
              <c:numCache>
                <c:formatCode>\ #,##0\ "Fr."</c:formatCode>
                <c:ptCount val="2"/>
                <c:pt idx="0">
                  <c:v>660</c:v>
                </c:pt>
                <c:pt idx="1">
                  <c:v>843.56197252352797</c:v>
                </c:pt>
              </c:numCache>
            </c:numRef>
          </c:val>
          <c:extLst>
            <c:ext xmlns:c16="http://schemas.microsoft.com/office/drawing/2014/chart" uri="{C3380CC4-5D6E-409C-BE32-E72D297353CC}">
              <c16:uniqueId val="{00000000-A4A3-4FB2-8A27-AE8128F8C7F8}"/>
            </c:ext>
          </c:extLst>
        </c:ser>
        <c:ser>
          <c:idx val="1"/>
          <c:order val="1"/>
          <c:tx>
            <c:strRef>
              <c:f>'Var Ertragsphase'!$B$91</c:f>
              <c:strCache>
                <c:ptCount val="1"/>
                <c:pt idx="0">
                  <c:v>Variante</c:v>
                </c:pt>
              </c:strCache>
            </c:strRef>
          </c:tx>
          <c:spPr>
            <a:solidFill>
              <a:srgbClr val="339933"/>
            </a:solidFill>
            <a:ln w="12700">
              <a:solidFill>
                <a:srgbClr val="000000"/>
              </a:solidFill>
              <a:prstDash val="solid"/>
            </a:ln>
          </c:spPr>
          <c:invertIfNegative val="0"/>
          <c:cat>
            <c:strRef>
              <c:f>'Var Ertragsphase'!$A$92:$A$93</c:f>
              <c:strCache>
                <c:ptCount val="2"/>
                <c:pt idx="0">
                  <c:v>für Boden</c:v>
                </c:pt>
                <c:pt idx="1">
                  <c:v>für Investition Obstanlage </c:v>
                </c:pt>
              </c:strCache>
            </c:strRef>
          </c:cat>
          <c:val>
            <c:numRef>
              <c:f>'Var Ertragsphase'!$B$92:$B$93</c:f>
              <c:numCache>
                <c:formatCode>\ #,##0\ "Fr."</c:formatCode>
                <c:ptCount val="2"/>
                <c:pt idx="0">
                  <c:v>660</c:v>
                </c:pt>
                <c:pt idx="1">
                  <c:v>843.56197252352797</c:v>
                </c:pt>
              </c:numCache>
            </c:numRef>
          </c:val>
          <c:extLst>
            <c:ext xmlns:c16="http://schemas.microsoft.com/office/drawing/2014/chart" uri="{C3380CC4-5D6E-409C-BE32-E72D297353CC}">
              <c16:uniqueId val="{00000001-A4A3-4FB2-8A27-AE8128F8C7F8}"/>
            </c:ext>
          </c:extLst>
        </c:ser>
        <c:dLbls>
          <c:showLegendKey val="0"/>
          <c:showVal val="0"/>
          <c:showCatName val="0"/>
          <c:showSerName val="0"/>
          <c:showPercent val="0"/>
          <c:showBubbleSize val="0"/>
        </c:dLbls>
        <c:gapWidth val="150"/>
        <c:axId val="588086192"/>
        <c:axId val="1"/>
      </c:barChart>
      <c:catAx>
        <c:axId val="5880861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de-DE"/>
          </a:p>
        </c:txPr>
        <c:crossAx val="588086192"/>
        <c:crosses val="max"/>
        <c:crossBetween val="between"/>
      </c:valAx>
      <c:spPr>
        <a:noFill/>
        <a:ln w="3175">
          <a:solidFill>
            <a:srgbClr val="000000"/>
          </a:solidFill>
          <a:prstDash val="solid"/>
        </a:ln>
      </c:spPr>
    </c:plotArea>
    <c:legend>
      <c:legendPos val="r"/>
      <c:layout>
        <c:manualLayout>
          <c:xMode val="edge"/>
          <c:yMode val="edge"/>
          <c:x val="0.82558204637634625"/>
          <c:y val="0.28143815434860631"/>
          <c:w val="0.14211897511955882"/>
          <c:h val="0.32335447520903704"/>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25400">
      <a:solidFill>
        <a:srgbClr val="008000"/>
      </a:solidFill>
      <a:prstDash val="solid"/>
    </a:ln>
  </c:spPr>
  <c:txPr>
    <a:bodyPr/>
    <a:lstStyle/>
    <a:p>
      <a:pPr>
        <a:defRPr sz="8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CH"/>
              <a:t>Gliederung der Arbeitskosten</a:t>
            </a:r>
          </a:p>
        </c:rich>
      </c:tx>
      <c:layout>
        <c:manualLayout>
          <c:xMode val="edge"/>
          <c:yMode val="edge"/>
          <c:x val="0.35286279495129008"/>
          <c:y val="4.3285766753558531E-2"/>
        </c:manualLayout>
      </c:layout>
      <c:overlay val="0"/>
      <c:spPr>
        <a:noFill/>
        <a:ln w="25400">
          <a:noFill/>
        </a:ln>
      </c:spPr>
    </c:title>
    <c:autoTitleDeleted val="0"/>
    <c:plotArea>
      <c:layout>
        <c:manualLayout>
          <c:layoutTarget val="inner"/>
          <c:xMode val="edge"/>
          <c:yMode val="edge"/>
          <c:x val="0.22593582887700533"/>
          <c:y val="0.17905405405405406"/>
          <c:w val="0.60561497326203206"/>
          <c:h val="0.60135135135135132"/>
        </c:manualLayout>
      </c:layout>
      <c:barChart>
        <c:barDir val="bar"/>
        <c:grouping val="clustered"/>
        <c:varyColors val="0"/>
        <c:ser>
          <c:idx val="0"/>
          <c:order val="0"/>
          <c:tx>
            <c:strRef>
              <c:f>'Standard Ertragsphase'!$B$116</c:f>
              <c:strCache>
                <c:ptCount val="1"/>
                <c:pt idx="0">
                  <c:v>Standard</c:v>
                </c:pt>
              </c:strCache>
            </c:strRef>
          </c:tx>
          <c:spPr>
            <a:solidFill>
              <a:srgbClr val="000080"/>
            </a:solidFill>
            <a:ln w="12700">
              <a:solidFill>
                <a:srgbClr val="000000"/>
              </a:solidFill>
              <a:prstDash val="solid"/>
            </a:ln>
          </c:spPr>
          <c:invertIfNegative val="0"/>
          <c:cat>
            <c:strRef>
              <c:f>'Var Ertragsphase'!$A$108:$A$110</c:f>
              <c:strCache>
                <c:ptCount val="3"/>
                <c:pt idx="0">
                  <c:v>Ernte inkl. Sortieren</c:v>
                </c:pt>
                <c:pt idx="1">
                  <c:v>Baumerziehung (Sommer+Winter)</c:v>
                </c:pt>
                <c:pt idx="2">
                  <c:v>übrige Arbeiten (aus Posten &lt; 10%)</c:v>
                </c:pt>
              </c:strCache>
            </c:strRef>
          </c:cat>
          <c:val>
            <c:numRef>
              <c:f>'Standard Ertragsphase'!$B$110:$B$112</c:f>
              <c:numCache>
                <c:formatCode>\ #,##0\ "Fr."</c:formatCode>
                <c:ptCount val="3"/>
                <c:pt idx="0">
                  <c:v>14137.5</c:v>
                </c:pt>
                <c:pt idx="1">
                  <c:v>3270.0000000000005</c:v>
                </c:pt>
                <c:pt idx="2">
                  <c:v>5108.2</c:v>
                </c:pt>
              </c:numCache>
            </c:numRef>
          </c:val>
          <c:extLst>
            <c:ext xmlns:c16="http://schemas.microsoft.com/office/drawing/2014/chart" uri="{C3380CC4-5D6E-409C-BE32-E72D297353CC}">
              <c16:uniqueId val="{00000000-3B51-462C-911D-867A59FC6A82}"/>
            </c:ext>
          </c:extLst>
        </c:ser>
        <c:ser>
          <c:idx val="1"/>
          <c:order val="1"/>
          <c:tx>
            <c:strRef>
              <c:f>'Var Ertragsphase'!$B$107</c:f>
              <c:strCache>
                <c:ptCount val="1"/>
                <c:pt idx="0">
                  <c:v>Variante</c:v>
                </c:pt>
              </c:strCache>
            </c:strRef>
          </c:tx>
          <c:spPr>
            <a:solidFill>
              <a:srgbClr val="339933"/>
            </a:solidFill>
            <a:ln w="12700">
              <a:solidFill>
                <a:srgbClr val="000000"/>
              </a:solidFill>
              <a:prstDash val="solid"/>
            </a:ln>
          </c:spPr>
          <c:invertIfNegative val="0"/>
          <c:cat>
            <c:strRef>
              <c:f>'Var Ertragsphase'!$A$108:$A$110</c:f>
              <c:strCache>
                <c:ptCount val="3"/>
                <c:pt idx="0">
                  <c:v>Ernte inkl. Sortieren</c:v>
                </c:pt>
                <c:pt idx="1">
                  <c:v>Baumerziehung (Sommer+Winter)</c:v>
                </c:pt>
                <c:pt idx="2">
                  <c:v>übrige Arbeiten (aus Posten &lt; 10%)</c:v>
                </c:pt>
              </c:strCache>
            </c:strRef>
          </c:cat>
          <c:val>
            <c:numRef>
              <c:f>'Var Ertragsphase'!$B$108:$B$110</c:f>
              <c:numCache>
                <c:formatCode>\ #,##0\ "Fr."</c:formatCode>
                <c:ptCount val="3"/>
                <c:pt idx="0">
                  <c:v>14137.5</c:v>
                </c:pt>
                <c:pt idx="1">
                  <c:v>3270.0000000000005</c:v>
                </c:pt>
                <c:pt idx="2">
                  <c:v>5108.2</c:v>
                </c:pt>
              </c:numCache>
            </c:numRef>
          </c:val>
          <c:extLst>
            <c:ext xmlns:c16="http://schemas.microsoft.com/office/drawing/2014/chart" uri="{C3380CC4-5D6E-409C-BE32-E72D297353CC}">
              <c16:uniqueId val="{00000001-3B51-462C-911D-867A59FC6A82}"/>
            </c:ext>
          </c:extLst>
        </c:ser>
        <c:dLbls>
          <c:showLegendKey val="0"/>
          <c:showVal val="0"/>
          <c:showCatName val="0"/>
          <c:showSerName val="0"/>
          <c:showPercent val="0"/>
          <c:showBubbleSize val="0"/>
        </c:dLbls>
        <c:gapWidth val="150"/>
        <c:axId val="588085536"/>
        <c:axId val="1"/>
      </c:barChart>
      <c:catAx>
        <c:axId val="58808553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588085536"/>
        <c:crosses val="max"/>
        <c:crossBetween val="between"/>
      </c:valAx>
      <c:spPr>
        <a:noFill/>
        <a:ln w="3175">
          <a:solidFill>
            <a:srgbClr val="000000"/>
          </a:solidFill>
          <a:prstDash val="solid"/>
        </a:ln>
      </c:spPr>
    </c:plotArea>
    <c:legend>
      <c:legendPos val="r"/>
      <c:layout>
        <c:manualLayout>
          <c:xMode val="edge"/>
          <c:yMode val="edge"/>
          <c:x val="0.83397294307369385"/>
          <c:y val="0.34246712783789529"/>
          <c:w val="0.15325689612380283"/>
          <c:h val="0.29589159845194152"/>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25400">
      <a:solidFill>
        <a:srgbClr val="008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CH"/>
              <a:t>Gliederung der Pflanzenschutzkosten</a:t>
            </a:r>
          </a:p>
        </c:rich>
      </c:tx>
      <c:layout>
        <c:manualLayout>
          <c:xMode val="edge"/>
          <c:yMode val="edge"/>
          <c:x val="0.30492684568275119"/>
          <c:y val="2.9277922409800195E-2"/>
        </c:manualLayout>
      </c:layout>
      <c:overlay val="0"/>
      <c:spPr>
        <a:noFill/>
        <a:ln w="25400">
          <a:noFill/>
        </a:ln>
      </c:spPr>
    </c:title>
    <c:autoTitleDeleted val="0"/>
    <c:plotArea>
      <c:layout>
        <c:manualLayout>
          <c:layoutTarget val="inner"/>
          <c:xMode val="edge"/>
          <c:yMode val="edge"/>
          <c:x val="0.1384820239680426"/>
          <c:y val="0.171763611549517"/>
          <c:w val="0.69241011984021306"/>
          <c:h val="0.70657303841960395"/>
        </c:manualLayout>
      </c:layout>
      <c:barChart>
        <c:barDir val="bar"/>
        <c:grouping val="clustered"/>
        <c:varyColors val="0"/>
        <c:ser>
          <c:idx val="0"/>
          <c:order val="0"/>
          <c:tx>
            <c:strRef>
              <c:f>'Standard Ertragsphase'!$B$131</c:f>
              <c:strCache>
                <c:ptCount val="1"/>
                <c:pt idx="0">
                  <c:v>Standard</c:v>
                </c:pt>
              </c:strCache>
            </c:strRef>
          </c:tx>
          <c:spPr>
            <a:solidFill>
              <a:srgbClr val="000080"/>
            </a:solidFill>
            <a:ln w="12700">
              <a:solidFill>
                <a:srgbClr val="000000"/>
              </a:solidFill>
              <a:prstDash val="solid"/>
            </a:ln>
          </c:spPr>
          <c:invertIfNegative val="0"/>
          <c:cat>
            <c:strRef>
              <c:f>'Var Ertragsphase'!$A$146:$A$148</c:f>
              <c:strCache>
                <c:ptCount val="3"/>
                <c:pt idx="0">
                  <c:v>Material</c:v>
                </c:pt>
                <c:pt idx="1">
                  <c:v>Maschinen</c:v>
                </c:pt>
                <c:pt idx="2">
                  <c:v>Arbeit</c:v>
                </c:pt>
              </c:strCache>
            </c:strRef>
          </c:cat>
          <c:val>
            <c:numRef>
              <c:f>'Standard Ertragsphase'!$B$148:$B$150</c:f>
              <c:numCache>
                <c:formatCode>\ #,##0\ "Fr."</c:formatCode>
                <c:ptCount val="3"/>
                <c:pt idx="0">
                  <c:v>0</c:v>
                </c:pt>
                <c:pt idx="1">
                  <c:v>1454</c:v>
                </c:pt>
                <c:pt idx="2">
                  <c:v>1046.4000000000001</c:v>
                </c:pt>
              </c:numCache>
            </c:numRef>
          </c:val>
          <c:extLst>
            <c:ext xmlns:c16="http://schemas.microsoft.com/office/drawing/2014/chart" uri="{C3380CC4-5D6E-409C-BE32-E72D297353CC}">
              <c16:uniqueId val="{00000000-F97D-45E6-B96A-FBA3D3204BB8}"/>
            </c:ext>
          </c:extLst>
        </c:ser>
        <c:ser>
          <c:idx val="1"/>
          <c:order val="1"/>
          <c:tx>
            <c:strRef>
              <c:f>'Var Ertragsphase'!$B$129</c:f>
              <c:strCache>
                <c:ptCount val="1"/>
                <c:pt idx="0">
                  <c:v>Variante</c:v>
                </c:pt>
              </c:strCache>
            </c:strRef>
          </c:tx>
          <c:spPr>
            <a:solidFill>
              <a:srgbClr val="339933"/>
            </a:solidFill>
            <a:ln w="12700">
              <a:solidFill>
                <a:srgbClr val="000000"/>
              </a:solidFill>
              <a:prstDash val="solid"/>
            </a:ln>
          </c:spPr>
          <c:invertIfNegative val="0"/>
          <c:cat>
            <c:strRef>
              <c:f>'Var Ertragsphase'!$A$146:$A$148</c:f>
              <c:strCache>
                <c:ptCount val="3"/>
                <c:pt idx="0">
                  <c:v>Material</c:v>
                </c:pt>
                <c:pt idx="1">
                  <c:v>Maschinen</c:v>
                </c:pt>
                <c:pt idx="2">
                  <c:v>Arbeit</c:v>
                </c:pt>
              </c:strCache>
            </c:strRef>
          </c:cat>
          <c:val>
            <c:numRef>
              <c:f>'Var Ertragsphase'!$B$146:$B$148</c:f>
              <c:numCache>
                <c:formatCode>\ #,##0\ "Fr."</c:formatCode>
                <c:ptCount val="3"/>
                <c:pt idx="0">
                  <c:v>0</c:v>
                </c:pt>
                <c:pt idx="1">
                  <c:v>1454</c:v>
                </c:pt>
                <c:pt idx="2">
                  <c:v>1046.4000000000001</c:v>
                </c:pt>
              </c:numCache>
            </c:numRef>
          </c:val>
          <c:extLst>
            <c:ext xmlns:c16="http://schemas.microsoft.com/office/drawing/2014/chart" uri="{C3380CC4-5D6E-409C-BE32-E72D297353CC}">
              <c16:uniqueId val="{00000001-F97D-45E6-B96A-FBA3D3204BB8}"/>
            </c:ext>
          </c:extLst>
        </c:ser>
        <c:dLbls>
          <c:showLegendKey val="0"/>
          <c:showVal val="0"/>
          <c:showCatName val="0"/>
          <c:showSerName val="0"/>
          <c:showPercent val="0"/>
          <c:showBubbleSize val="0"/>
        </c:dLbls>
        <c:gapWidth val="100"/>
        <c:axId val="588082584"/>
        <c:axId val="1"/>
      </c:barChart>
      <c:catAx>
        <c:axId val="5880825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3000"/>
        </c:scaling>
        <c:delete val="0"/>
        <c:axPos val="b"/>
        <c:majorGridlines>
          <c:spPr>
            <a:ln w="3175">
              <a:solidFill>
                <a:srgbClr val="000000"/>
              </a:solidFill>
              <a:prstDash val="solid"/>
            </a:ln>
          </c:spPr>
        </c:majorGridlines>
        <c:numFmt formatCode="\ #,##0\ &quot;Fr.&quot;" sourceLinked="1"/>
        <c:majorTickMark val="out"/>
        <c:minorTickMark val="out"/>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588082584"/>
        <c:crosses val="max"/>
        <c:crossBetween val="between"/>
        <c:majorUnit val="500"/>
        <c:minorUnit val="100"/>
      </c:valAx>
      <c:spPr>
        <a:noFill/>
        <a:ln w="3175">
          <a:solidFill>
            <a:srgbClr val="000000"/>
          </a:solidFill>
          <a:prstDash val="solid"/>
        </a:ln>
      </c:spPr>
    </c:plotArea>
    <c:legend>
      <c:legendPos val="r"/>
      <c:layout>
        <c:manualLayout>
          <c:xMode val="edge"/>
          <c:yMode val="edge"/>
          <c:x val="0.82089572180496972"/>
          <c:y val="0.327131906769284"/>
          <c:w val="0.1422885917795281"/>
          <c:h val="0.15193804200658689"/>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CH"/>
              <a:t>Anteil der Pflanzenschutzkosten</a:t>
            </a:r>
          </a:p>
        </c:rich>
      </c:tx>
      <c:layout>
        <c:manualLayout>
          <c:xMode val="edge"/>
          <c:yMode val="edge"/>
          <c:x val="0.33288961193900352"/>
          <c:y val="2.9723921271329046E-2"/>
        </c:manualLayout>
      </c:layout>
      <c:overlay val="0"/>
      <c:spPr>
        <a:noFill/>
        <a:ln w="25400">
          <a:noFill/>
        </a:ln>
      </c:spPr>
    </c:title>
    <c:autoTitleDeleted val="0"/>
    <c:plotArea>
      <c:layout>
        <c:manualLayout>
          <c:layoutTarget val="inner"/>
          <c:xMode val="edge"/>
          <c:yMode val="edge"/>
          <c:x val="0.23701731025299599"/>
          <c:y val="0.21443736730360935"/>
          <c:w val="0.59653794940079896"/>
          <c:h val="0.66878980891719741"/>
        </c:manualLayout>
      </c:layout>
      <c:barChart>
        <c:barDir val="bar"/>
        <c:grouping val="clustered"/>
        <c:varyColors val="0"/>
        <c:ser>
          <c:idx val="0"/>
          <c:order val="0"/>
          <c:tx>
            <c:strRef>
              <c:f>'Standard Ertragsphase'!$B$131</c:f>
              <c:strCache>
                <c:ptCount val="1"/>
                <c:pt idx="0">
                  <c:v>Standard</c:v>
                </c:pt>
              </c:strCache>
            </c:strRef>
          </c:tx>
          <c:spPr>
            <a:solidFill>
              <a:srgbClr val="000080"/>
            </a:solidFill>
            <a:ln w="12700">
              <a:solidFill>
                <a:srgbClr val="000000"/>
              </a:solidFill>
              <a:prstDash val="solid"/>
            </a:ln>
          </c:spPr>
          <c:invertIfNegative val="0"/>
          <c:cat>
            <c:strRef>
              <c:f>'Var Ertragsphase'!$A$142:$A$143</c:f>
              <c:strCache>
                <c:ptCount val="2"/>
                <c:pt idx="0">
                  <c:v>Total Pflanzenschutz</c:v>
                </c:pt>
                <c:pt idx="1">
                  <c:v>übrige Produktionskosten</c:v>
                </c:pt>
              </c:strCache>
            </c:strRef>
          </c:cat>
          <c:val>
            <c:numRef>
              <c:f>'Standard Ertragsphase'!$B$144:$B$145</c:f>
              <c:numCache>
                <c:formatCode>\ #,##0\ "Fr."</c:formatCode>
                <c:ptCount val="2"/>
                <c:pt idx="0">
                  <c:v>2500.4</c:v>
                </c:pt>
                <c:pt idx="1">
                  <c:v>45253.205074386809</c:v>
                </c:pt>
              </c:numCache>
            </c:numRef>
          </c:val>
          <c:extLst>
            <c:ext xmlns:c16="http://schemas.microsoft.com/office/drawing/2014/chart" uri="{C3380CC4-5D6E-409C-BE32-E72D297353CC}">
              <c16:uniqueId val="{00000000-69B6-4C82-B450-F76FDDF4CFA3}"/>
            </c:ext>
          </c:extLst>
        </c:ser>
        <c:ser>
          <c:idx val="1"/>
          <c:order val="1"/>
          <c:tx>
            <c:strRef>
              <c:f>'Var Ertragsphase'!$B$129</c:f>
              <c:strCache>
                <c:ptCount val="1"/>
                <c:pt idx="0">
                  <c:v>Variante</c:v>
                </c:pt>
              </c:strCache>
            </c:strRef>
          </c:tx>
          <c:spPr>
            <a:solidFill>
              <a:srgbClr val="008000"/>
            </a:solidFill>
            <a:ln w="12700">
              <a:solidFill>
                <a:srgbClr val="000000"/>
              </a:solidFill>
              <a:prstDash val="solid"/>
            </a:ln>
          </c:spPr>
          <c:invertIfNegative val="0"/>
          <c:cat>
            <c:strRef>
              <c:f>'Var Ertragsphase'!$A$142:$A$143</c:f>
              <c:strCache>
                <c:ptCount val="2"/>
                <c:pt idx="0">
                  <c:v>Total Pflanzenschutz</c:v>
                </c:pt>
                <c:pt idx="1">
                  <c:v>übrige Produktionskosten</c:v>
                </c:pt>
              </c:strCache>
            </c:strRef>
          </c:cat>
          <c:val>
            <c:numRef>
              <c:f>'Var Ertragsphase'!$B$142:$B$143</c:f>
              <c:numCache>
                <c:formatCode>\ #,##0\ "Fr."</c:formatCode>
                <c:ptCount val="2"/>
                <c:pt idx="0">
                  <c:v>2500.4</c:v>
                </c:pt>
                <c:pt idx="1">
                  <c:v>45253.205074386809</c:v>
                </c:pt>
              </c:numCache>
            </c:numRef>
          </c:val>
          <c:extLst>
            <c:ext xmlns:c16="http://schemas.microsoft.com/office/drawing/2014/chart" uri="{C3380CC4-5D6E-409C-BE32-E72D297353CC}">
              <c16:uniqueId val="{00000001-69B6-4C82-B450-F76FDDF4CFA3}"/>
            </c:ext>
          </c:extLst>
        </c:ser>
        <c:dLbls>
          <c:showLegendKey val="0"/>
          <c:showVal val="0"/>
          <c:showCatName val="0"/>
          <c:showSerName val="0"/>
          <c:showPercent val="0"/>
          <c:showBubbleSize val="0"/>
        </c:dLbls>
        <c:gapWidth val="150"/>
        <c:axId val="588619136"/>
        <c:axId val="1"/>
      </c:barChart>
      <c:catAx>
        <c:axId val="58861913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588619136"/>
        <c:crosses val="max"/>
        <c:crossBetween val="between"/>
      </c:valAx>
      <c:spPr>
        <a:noFill/>
        <a:ln w="3175">
          <a:solidFill>
            <a:srgbClr val="000000"/>
          </a:solidFill>
          <a:prstDash val="solid"/>
        </a:ln>
      </c:spPr>
    </c:plotArea>
    <c:legend>
      <c:legendPos val="r"/>
      <c:layout>
        <c:manualLayout>
          <c:xMode val="edge"/>
          <c:yMode val="edge"/>
          <c:x val="0.8243592323840746"/>
          <c:y val="0.34465266675481726"/>
          <c:w val="0.1307692717001176"/>
          <c:h val="0.16808184240752172"/>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220756</xdr:rowOff>
    </xdr:from>
    <xdr:to>
      <xdr:col>0</xdr:col>
      <xdr:colOff>845774</xdr:colOff>
      <xdr:row>11</xdr:row>
      <xdr:rowOff>339538</xdr:rowOff>
    </xdr:to>
    <xdr:sp macro="" textlink="">
      <xdr:nvSpPr>
        <xdr:cNvPr id="22871" name="Text Box 343">
          <a:extLst>
            <a:ext uri="{FF2B5EF4-FFF2-40B4-BE49-F238E27FC236}">
              <a16:creationId xmlns:a16="http://schemas.microsoft.com/office/drawing/2014/main" id="{00000000-0008-0000-0000-000057590000}"/>
            </a:ext>
          </a:extLst>
        </xdr:cNvPr>
        <xdr:cNvSpPr txBox="1">
          <a:spLocks noChangeArrowheads="1"/>
        </xdr:cNvSpPr>
      </xdr:nvSpPr>
      <xdr:spPr bwMode="auto">
        <a:xfrm>
          <a:off x="0" y="2495550"/>
          <a:ext cx="828675" cy="813547"/>
        </a:xfrm>
        <a:prstGeom prst="rect">
          <a:avLst/>
        </a:prstGeom>
        <a:solidFill>
          <a:srgbClr val="FFFFFF"/>
        </a:solidFill>
        <a:ln w="9525">
          <a:solidFill>
            <a:srgbClr val="FFFFFF"/>
          </a:solidFill>
          <a:miter lim="800000"/>
          <a:headEnd/>
          <a:tailEnd/>
        </a:ln>
      </xdr:spPr>
      <xdr:txBody>
        <a:bodyPr vertOverflow="clip" wrap="square" lIns="36576" tIns="27432" rIns="36576" bIns="27432" anchor="ctr" upright="1"/>
        <a:lstStyle/>
        <a:p>
          <a:pPr algn="ctr" rtl="0">
            <a:defRPr sz="1000"/>
          </a:pPr>
          <a:r>
            <a:rPr lang="de-CH" sz="1200" b="1" i="0" u="none" strike="noStrike" baseline="0">
              <a:solidFill>
                <a:srgbClr val="000000"/>
              </a:solidFill>
              <a:latin typeface="Arial"/>
              <a:cs typeface="Arial"/>
            </a:rPr>
            <a:t>Sortier-ergebnis 8. - 16. Stj.</a:t>
          </a:r>
        </a:p>
      </xdr:txBody>
    </xdr:sp>
    <xdr:clientData/>
  </xdr:twoCellAnchor>
  <xdr:twoCellAnchor>
    <xdr:from>
      <xdr:col>5</xdr:col>
      <xdr:colOff>30480</xdr:colOff>
      <xdr:row>12</xdr:row>
      <xdr:rowOff>114300</xdr:rowOff>
    </xdr:from>
    <xdr:to>
      <xdr:col>12</xdr:col>
      <xdr:colOff>22860</xdr:colOff>
      <xdr:row>41</xdr:row>
      <xdr:rowOff>99060</xdr:rowOff>
    </xdr:to>
    <xdr:graphicFrame macro="">
      <xdr:nvGraphicFramePr>
        <xdr:cNvPr id="2352787" name="Chart 31">
          <a:extLst>
            <a:ext uri="{FF2B5EF4-FFF2-40B4-BE49-F238E27FC236}">
              <a16:creationId xmlns:a16="http://schemas.microsoft.com/office/drawing/2014/main" id="{00000000-0008-0000-0000-000093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xdr:colOff>
      <xdr:row>124</xdr:row>
      <xdr:rowOff>160020</xdr:rowOff>
    </xdr:from>
    <xdr:to>
      <xdr:col>3</xdr:col>
      <xdr:colOff>609600</xdr:colOff>
      <xdr:row>140</xdr:row>
      <xdr:rowOff>99060</xdr:rowOff>
    </xdr:to>
    <xdr:graphicFrame macro="">
      <xdr:nvGraphicFramePr>
        <xdr:cNvPr id="2352788" name="Chart 118">
          <a:extLst>
            <a:ext uri="{FF2B5EF4-FFF2-40B4-BE49-F238E27FC236}">
              <a16:creationId xmlns:a16="http://schemas.microsoft.com/office/drawing/2014/main" id="{00000000-0008-0000-0000-000094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272</xdr:row>
      <xdr:rowOff>121920</xdr:rowOff>
    </xdr:from>
    <xdr:to>
      <xdr:col>4</xdr:col>
      <xdr:colOff>22860</xdr:colOff>
      <xdr:row>326</xdr:row>
      <xdr:rowOff>91440</xdr:rowOff>
    </xdr:to>
    <xdr:graphicFrame macro="">
      <xdr:nvGraphicFramePr>
        <xdr:cNvPr id="2352789" name="Chart 119">
          <a:extLst>
            <a:ext uri="{FF2B5EF4-FFF2-40B4-BE49-F238E27FC236}">
              <a16:creationId xmlns:a16="http://schemas.microsoft.com/office/drawing/2014/main" id="{00000000-0008-0000-0000-000095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83</xdr:row>
      <xdr:rowOff>213360</xdr:rowOff>
    </xdr:from>
    <xdr:to>
      <xdr:col>3</xdr:col>
      <xdr:colOff>502920</xdr:colOff>
      <xdr:row>95</xdr:row>
      <xdr:rowOff>60960</xdr:rowOff>
    </xdr:to>
    <xdr:graphicFrame macro="">
      <xdr:nvGraphicFramePr>
        <xdr:cNvPr id="2352790" name="Chart 121">
          <a:extLst>
            <a:ext uri="{FF2B5EF4-FFF2-40B4-BE49-F238E27FC236}">
              <a16:creationId xmlns:a16="http://schemas.microsoft.com/office/drawing/2014/main" id="{00000000-0008-0000-0000-000096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30480</xdr:colOff>
      <xdr:row>272</xdr:row>
      <xdr:rowOff>129540</xdr:rowOff>
    </xdr:from>
    <xdr:to>
      <xdr:col>11</xdr:col>
      <xdr:colOff>617220</xdr:colOff>
      <xdr:row>326</xdr:row>
      <xdr:rowOff>68580</xdr:rowOff>
    </xdr:to>
    <xdr:graphicFrame macro="">
      <xdr:nvGraphicFramePr>
        <xdr:cNvPr id="2352791" name="Chart 122">
          <a:extLst>
            <a:ext uri="{FF2B5EF4-FFF2-40B4-BE49-F238E27FC236}">
              <a16:creationId xmlns:a16="http://schemas.microsoft.com/office/drawing/2014/main" id="{00000000-0008-0000-0000-000097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97</xdr:row>
      <xdr:rowOff>15240</xdr:rowOff>
    </xdr:from>
    <xdr:to>
      <xdr:col>3</xdr:col>
      <xdr:colOff>632460</xdr:colOff>
      <xdr:row>108</xdr:row>
      <xdr:rowOff>22860</xdr:rowOff>
    </xdr:to>
    <xdr:graphicFrame macro="">
      <xdr:nvGraphicFramePr>
        <xdr:cNvPr id="2352792" name="Chart 124">
          <a:extLst>
            <a:ext uri="{FF2B5EF4-FFF2-40B4-BE49-F238E27FC236}">
              <a16:creationId xmlns:a16="http://schemas.microsoft.com/office/drawing/2014/main" id="{00000000-0008-0000-0000-000098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109</xdr:row>
      <xdr:rowOff>213360</xdr:rowOff>
    </xdr:from>
    <xdr:to>
      <xdr:col>3</xdr:col>
      <xdr:colOff>701040</xdr:colOff>
      <xdr:row>123</xdr:row>
      <xdr:rowOff>53340</xdr:rowOff>
    </xdr:to>
    <xdr:graphicFrame macro="">
      <xdr:nvGraphicFramePr>
        <xdr:cNvPr id="2352793" name="Chart 125">
          <a:extLst>
            <a:ext uri="{FF2B5EF4-FFF2-40B4-BE49-F238E27FC236}">
              <a16:creationId xmlns:a16="http://schemas.microsoft.com/office/drawing/2014/main" id="{00000000-0008-0000-0000-000099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76200</xdr:colOff>
      <xdr:row>196</xdr:row>
      <xdr:rowOff>68580</xdr:rowOff>
    </xdr:from>
    <xdr:to>
      <xdr:col>5</xdr:col>
      <xdr:colOff>845820</xdr:colOff>
      <xdr:row>221</xdr:row>
      <xdr:rowOff>129540</xdr:rowOff>
    </xdr:to>
    <xdr:graphicFrame macro="">
      <xdr:nvGraphicFramePr>
        <xdr:cNvPr id="2352794" name="Chart 126">
          <a:extLst>
            <a:ext uri="{FF2B5EF4-FFF2-40B4-BE49-F238E27FC236}">
              <a16:creationId xmlns:a16="http://schemas.microsoft.com/office/drawing/2014/main" id="{00000000-0008-0000-0000-00009A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76200</xdr:colOff>
      <xdr:row>173</xdr:row>
      <xdr:rowOff>68580</xdr:rowOff>
    </xdr:from>
    <xdr:to>
      <xdr:col>3</xdr:col>
      <xdr:colOff>754380</xdr:colOff>
      <xdr:row>194</xdr:row>
      <xdr:rowOff>106680</xdr:rowOff>
    </xdr:to>
    <xdr:graphicFrame macro="">
      <xdr:nvGraphicFramePr>
        <xdr:cNvPr id="2352795" name="Chart 127">
          <a:extLst>
            <a:ext uri="{FF2B5EF4-FFF2-40B4-BE49-F238E27FC236}">
              <a16:creationId xmlns:a16="http://schemas.microsoft.com/office/drawing/2014/main" id="{00000000-0008-0000-0000-00009B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106680</xdr:colOff>
      <xdr:row>223</xdr:row>
      <xdr:rowOff>121920</xdr:rowOff>
    </xdr:from>
    <xdr:to>
      <xdr:col>5</xdr:col>
      <xdr:colOff>792480</xdr:colOff>
      <xdr:row>245</xdr:row>
      <xdr:rowOff>68580</xdr:rowOff>
    </xdr:to>
    <xdr:graphicFrame macro="">
      <xdr:nvGraphicFramePr>
        <xdr:cNvPr id="2352796" name="Chart 128">
          <a:extLst>
            <a:ext uri="{FF2B5EF4-FFF2-40B4-BE49-F238E27FC236}">
              <a16:creationId xmlns:a16="http://schemas.microsoft.com/office/drawing/2014/main" id="{00000000-0008-0000-0000-00009C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76200</xdr:colOff>
      <xdr:row>245</xdr:row>
      <xdr:rowOff>144780</xdr:rowOff>
    </xdr:from>
    <xdr:to>
      <xdr:col>5</xdr:col>
      <xdr:colOff>800100</xdr:colOff>
      <xdr:row>270</xdr:row>
      <xdr:rowOff>129540</xdr:rowOff>
    </xdr:to>
    <xdr:graphicFrame macro="">
      <xdr:nvGraphicFramePr>
        <xdr:cNvPr id="2352797" name="Chart 129">
          <a:extLst>
            <a:ext uri="{FF2B5EF4-FFF2-40B4-BE49-F238E27FC236}">
              <a16:creationId xmlns:a16="http://schemas.microsoft.com/office/drawing/2014/main" id="{00000000-0008-0000-0000-00009D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45720</xdr:colOff>
      <xdr:row>145</xdr:row>
      <xdr:rowOff>38100</xdr:rowOff>
    </xdr:from>
    <xdr:to>
      <xdr:col>3</xdr:col>
      <xdr:colOff>586740</xdr:colOff>
      <xdr:row>168</xdr:row>
      <xdr:rowOff>106680</xdr:rowOff>
    </xdr:to>
    <xdr:graphicFrame macro="">
      <xdr:nvGraphicFramePr>
        <xdr:cNvPr id="2352798" name="Chart 138">
          <a:extLst>
            <a:ext uri="{FF2B5EF4-FFF2-40B4-BE49-F238E27FC236}">
              <a16:creationId xmlns:a16="http://schemas.microsoft.com/office/drawing/2014/main" id="{00000000-0008-0000-0000-00009EE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15928</xdr:colOff>
      <xdr:row>6</xdr:row>
      <xdr:rowOff>36899</xdr:rowOff>
    </xdr:from>
    <xdr:to>
      <xdr:col>0</xdr:col>
      <xdr:colOff>925119</xdr:colOff>
      <xdr:row>8</xdr:row>
      <xdr:rowOff>98409</xdr:rowOff>
    </xdr:to>
    <xdr:sp macro="" textlink="">
      <xdr:nvSpPr>
        <xdr:cNvPr id="22710" name="Text Box 182">
          <a:extLst>
            <a:ext uri="{FF2B5EF4-FFF2-40B4-BE49-F238E27FC236}">
              <a16:creationId xmlns:a16="http://schemas.microsoft.com/office/drawing/2014/main" id="{00000000-0008-0000-0000-0000B6580000}"/>
            </a:ext>
          </a:extLst>
        </xdr:cNvPr>
        <xdr:cNvSpPr txBox="1">
          <a:spLocks noChangeArrowheads="1"/>
        </xdr:cNvSpPr>
      </xdr:nvSpPr>
      <xdr:spPr bwMode="auto">
        <a:xfrm>
          <a:off x="15928" y="1388008"/>
          <a:ext cx="909191" cy="721056"/>
        </a:xfrm>
        <a:prstGeom prst="rect">
          <a:avLst/>
        </a:prstGeom>
        <a:solidFill>
          <a:srgbClr val="FFFFFF"/>
        </a:solidFill>
        <a:ln w="9525">
          <a:solidFill>
            <a:srgbClr val="FFFFFF"/>
          </a:solidFill>
          <a:miter lim="800000"/>
          <a:headEnd/>
          <a:tailEnd/>
        </a:ln>
      </xdr:spPr>
      <xdr:txBody>
        <a:bodyPr vertOverflow="clip" wrap="square" lIns="36576" tIns="27432" rIns="36576" bIns="27432" anchor="ctr" upright="1"/>
        <a:lstStyle/>
        <a:p>
          <a:pPr algn="ctr" rtl="0">
            <a:defRPr sz="1000"/>
          </a:pPr>
          <a:r>
            <a:rPr lang="de-CH" sz="1200" b="1" i="0" u="none" strike="noStrike" baseline="0">
              <a:solidFill>
                <a:srgbClr val="000000"/>
              </a:solidFill>
              <a:latin typeface="Arial"/>
              <a:cs typeface="Arial"/>
            </a:rPr>
            <a:t>Preis</a:t>
          </a:r>
        </a:p>
      </xdr:txBody>
    </xdr:sp>
    <xdr:clientData/>
  </xdr:twoCellAnchor>
  <xdr:twoCellAnchor>
    <xdr:from>
      <xdr:col>0</xdr:col>
      <xdr:colOff>56030</xdr:colOff>
      <xdr:row>7</xdr:row>
      <xdr:rowOff>189754</xdr:rowOff>
    </xdr:from>
    <xdr:to>
      <xdr:col>0</xdr:col>
      <xdr:colOff>896994</xdr:colOff>
      <xdr:row>9</xdr:row>
      <xdr:rowOff>302979</xdr:rowOff>
    </xdr:to>
    <xdr:sp macro="" textlink="">
      <xdr:nvSpPr>
        <xdr:cNvPr id="22711" name="Text Box 183">
          <a:extLst>
            <a:ext uri="{FF2B5EF4-FFF2-40B4-BE49-F238E27FC236}">
              <a16:creationId xmlns:a16="http://schemas.microsoft.com/office/drawing/2014/main" id="{00000000-0008-0000-0000-0000B7580000}"/>
            </a:ext>
          </a:extLst>
        </xdr:cNvPr>
        <xdr:cNvSpPr txBox="1">
          <a:spLocks noChangeArrowheads="1"/>
        </xdr:cNvSpPr>
      </xdr:nvSpPr>
      <xdr:spPr bwMode="auto">
        <a:xfrm>
          <a:off x="56030" y="1937872"/>
          <a:ext cx="818029" cy="647439"/>
        </a:xfrm>
        <a:prstGeom prst="rect">
          <a:avLst/>
        </a:prstGeom>
        <a:solidFill>
          <a:srgbClr val="FFFFFF"/>
        </a:solidFill>
        <a:ln w="9525">
          <a:solidFill>
            <a:srgbClr val="FFFFFF"/>
          </a:solidFill>
          <a:miter lim="800000"/>
          <a:headEnd/>
          <a:tailEnd/>
        </a:ln>
      </xdr:spPr>
      <xdr:txBody>
        <a:bodyPr vertOverflow="clip" wrap="square" lIns="36576" tIns="27432" rIns="36576" bIns="27432" anchor="ctr" upright="1"/>
        <a:lstStyle/>
        <a:p>
          <a:pPr algn="ctr" rtl="0">
            <a:defRPr sz="1000"/>
          </a:pPr>
          <a:r>
            <a:rPr lang="de-CH" sz="1200" b="1" i="0" u="none" strike="noStrike" baseline="0">
              <a:solidFill>
                <a:srgbClr val="000000"/>
              </a:solidFill>
              <a:latin typeface="Arial"/>
              <a:cs typeface="Arial"/>
            </a:rPr>
            <a:t>Sortier-ergebnis 1. - 7. Stj.</a:t>
          </a:r>
        </a:p>
      </xdr:txBody>
    </xdr:sp>
    <xdr:clientData/>
  </xdr:twoCellAnchor>
  <xdr:twoCellAnchor>
    <xdr:from>
      <xdr:col>0</xdr:col>
      <xdr:colOff>861060</xdr:colOff>
      <xdr:row>8</xdr:row>
      <xdr:rowOff>60960</xdr:rowOff>
    </xdr:from>
    <xdr:to>
      <xdr:col>0</xdr:col>
      <xdr:colOff>891540</xdr:colOff>
      <xdr:row>9</xdr:row>
      <xdr:rowOff>342900</xdr:rowOff>
    </xdr:to>
    <xdr:sp macro="" textlink="">
      <xdr:nvSpPr>
        <xdr:cNvPr id="2352805" name="AutoShape 184">
          <a:extLst>
            <a:ext uri="{FF2B5EF4-FFF2-40B4-BE49-F238E27FC236}">
              <a16:creationId xmlns:a16="http://schemas.microsoft.com/office/drawing/2014/main" id="{00000000-0008-0000-0000-0000A5E62300}"/>
            </a:ext>
          </a:extLst>
        </xdr:cNvPr>
        <xdr:cNvSpPr>
          <a:spLocks/>
        </xdr:cNvSpPr>
      </xdr:nvSpPr>
      <xdr:spPr bwMode="auto">
        <a:xfrm>
          <a:off x="861060" y="2057400"/>
          <a:ext cx="30480" cy="533400"/>
        </a:xfrm>
        <a:prstGeom prst="leftBrace">
          <a:avLst>
            <a:gd name="adj1" fmla="val 1446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861060</xdr:colOff>
      <xdr:row>10</xdr:row>
      <xdr:rowOff>114300</xdr:rowOff>
    </xdr:from>
    <xdr:to>
      <xdr:col>0</xdr:col>
      <xdr:colOff>891540</xdr:colOff>
      <xdr:row>11</xdr:row>
      <xdr:rowOff>228600</xdr:rowOff>
    </xdr:to>
    <xdr:sp macro="" textlink="">
      <xdr:nvSpPr>
        <xdr:cNvPr id="2352806" name="AutoShape 185">
          <a:extLst>
            <a:ext uri="{FF2B5EF4-FFF2-40B4-BE49-F238E27FC236}">
              <a16:creationId xmlns:a16="http://schemas.microsoft.com/office/drawing/2014/main" id="{00000000-0008-0000-0000-0000A6E62300}"/>
            </a:ext>
          </a:extLst>
        </xdr:cNvPr>
        <xdr:cNvSpPr>
          <a:spLocks/>
        </xdr:cNvSpPr>
      </xdr:nvSpPr>
      <xdr:spPr bwMode="auto">
        <a:xfrm>
          <a:off x="861060" y="2705100"/>
          <a:ext cx="30480" cy="457200"/>
        </a:xfrm>
        <a:prstGeom prst="leftBrace">
          <a:avLst>
            <a:gd name="adj1" fmla="val 1247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1242060</xdr:colOff>
      <xdr:row>0</xdr:row>
      <xdr:rowOff>68580</xdr:rowOff>
    </xdr:from>
    <xdr:to>
      <xdr:col>9</xdr:col>
      <xdr:colOff>861060</xdr:colOff>
      <xdr:row>1</xdr:row>
      <xdr:rowOff>76200</xdr:rowOff>
    </xdr:to>
    <xdr:pic>
      <xdr:nvPicPr>
        <xdr:cNvPr id="2352811" name="Grafik 2">
          <a:extLst>
            <a:ext uri="{FF2B5EF4-FFF2-40B4-BE49-F238E27FC236}">
              <a16:creationId xmlns:a16="http://schemas.microsoft.com/office/drawing/2014/main" id="{00000000-0008-0000-0000-0000ABE623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9022080" y="68580"/>
          <a:ext cx="345948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864454</xdr:colOff>
      <xdr:row>6</xdr:row>
      <xdr:rowOff>121664</xdr:rowOff>
    </xdr:from>
    <xdr:to>
      <xdr:col>0</xdr:col>
      <xdr:colOff>894934</xdr:colOff>
      <xdr:row>8</xdr:row>
      <xdr:rowOff>192</xdr:rowOff>
    </xdr:to>
    <xdr:sp macro="" textlink="">
      <xdr:nvSpPr>
        <xdr:cNvPr id="28" name="AutoShape 184">
          <a:extLst>
            <a:ext uri="{FF2B5EF4-FFF2-40B4-BE49-F238E27FC236}">
              <a16:creationId xmlns:a16="http://schemas.microsoft.com/office/drawing/2014/main" id="{00000000-0008-0000-0000-00001C000000}"/>
            </a:ext>
          </a:extLst>
        </xdr:cNvPr>
        <xdr:cNvSpPr>
          <a:spLocks/>
        </xdr:cNvSpPr>
      </xdr:nvSpPr>
      <xdr:spPr bwMode="auto">
        <a:xfrm>
          <a:off x="864454" y="1472773"/>
          <a:ext cx="30480" cy="538074"/>
        </a:xfrm>
        <a:prstGeom prst="leftBrace">
          <a:avLst>
            <a:gd name="adj1" fmla="val 1446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624840</xdr:colOff>
      <xdr:row>0</xdr:row>
      <xdr:rowOff>281940</xdr:rowOff>
    </xdr:from>
    <xdr:to>
      <xdr:col>6</xdr:col>
      <xdr:colOff>998220</xdr:colOff>
      <xdr:row>1</xdr:row>
      <xdr:rowOff>152400</xdr:rowOff>
    </xdr:to>
    <xdr:pic>
      <xdr:nvPicPr>
        <xdr:cNvPr id="25476" name="Grafik 2">
          <a:extLst>
            <a:ext uri="{FF2B5EF4-FFF2-40B4-BE49-F238E27FC236}">
              <a16:creationId xmlns:a16="http://schemas.microsoft.com/office/drawing/2014/main" id="{00000000-0008-0000-0900-00008463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9120" y="281940"/>
          <a:ext cx="34823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251460</xdr:colOff>
      <xdr:row>0</xdr:row>
      <xdr:rowOff>251460</xdr:rowOff>
    </xdr:from>
    <xdr:to>
      <xdr:col>7</xdr:col>
      <xdr:colOff>617220</xdr:colOff>
      <xdr:row>1</xdr:row>
      <xdr:rowOff>251460</xdr:rowOff>
    </xdr:to>
    <xdr:pic>
      <xdr:nvPicPr>
        <xdr:cNvPr id="77004" name="Grafik 2">
          <a:extLst>
            <a:ext uri="{FF2B5EF4-FFF2-40B4-BE49-F238E27FC236}">
              <a16:creationId xmlns:a16="http://schemas.microsoft.com/office/drawing/2014/main" id="{00000000-0008-0000-0A00-0000CC2C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16580" y="251460"/>
          <a:ext cx="35356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60960</xdr:colOff>
      <xdr:row>0</xdr:row>
      <xdr:rowOff>220980</xdr:rowOff>
    </xdr:from>
    <xdr:to>
      <xdr:col>7</xdr:col>
      <xdr:colOff>419100</xdr:colOff>
      <xdr:row>1</xdr:row>
      <xdr:rowOff>251460</xdr:rowOff>
    </xdr:to>
    <xdr:pic>
      <xdr:nvPicPr>
        <xdr:cNvPr id="81089" name="Grafik 2">
          <a:extLst>
            <a:ext uri="{FF2B5EF4-FFF2-40B4-BE49-F238E27FC236}">
              <a16:creationId xmlns:a16="http://schemas.microsoft.com/office/drawing/2014/main" id="{00000000-0008-0000-0B00-0000C13C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6080" y="220980"/>
          <a:ext cx="352806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274320</xdr:colOff>
      <xdr:row>0</xdr:row>
      <xdr:rowOff>198120</xdr:rowOff>
    </xdr:from>
    <xdr:to>
      <xdr:col>7</xdr:col>
      <xdr:colOff>617220</xdr:colOff>
      <xdr:row>2</xdr:row>
      <xdr:rowOff>22860</xdr:rowOff>
    </xdr:to>
    <xdr:pic>
      <xdr:nvPicPr>
        <xdr:cNvPr id="79051" name="Grafik 2">
          <a:extLst>
            <a:ext uri="{FF2B5EF4-FFF2-40B4-BE49-F238E27FC236}">
              <a16:creationId xmlns:a16="http://schemas.microsoft.com/office/drawing/2014/main" id="{00000000-0008-0000-0C00-0000CB34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1760" y="198120"/>
          <a:ext cx="352044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228600</xdr:colOff>
      <xdr:row>0</xdr:row>
      <xdr:rowOff>205740</xdr:rowOff>
    </xdr:from>
    <xdr:to>
      <xdr:col>5</xdr:col>
      <xdr:colOff>1097280</xdr:colOff>
      <xdr:row>2</xdr:row>
      <xdr:rowOff>91440</xdr:rowOff>
    </xdr:to>
    <xdr:pic>
      <xdr:nvPicPr>
        <xdr:cNvPr id="4561" name="Grafik 2">
          <a:extLst>
            <a:ext uri="{FF2B5EF4-FFF2-40B4-BE49-F238E27FC236}">
              <a16:creationId xmlns:a16="http://schemas.microsoft.com/office/drawing/2014/main" id="{00000000-0008-0000-0D00-0000D1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0440" y="205740"/>
          <a:ext cx="348996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106</xdr:col>
      <xdr:colOff>1432560</xdr:colOff>
      <xdr:row>68</xdr:row>
      <xdr:rowOff>91440</xdr:rowOff>
    </xdr:from>
    <xdr:to>
      <xdr:col>109</xdr:col>
      <xdr:colOff>701040</xdr:colOff>
      <xdr:row>74</xdr:row>
      <xdr:rowOff>99060</xdr:rowOff>
    </xdr:to>
    <xdr:sp macro="" textlink="">
      <xdr:nvSpPr>
        <xdr:cNvPr id="338254" name="Line 300">
          <a:extLst>
            <a:ext uri="{FF2B5EF4-FFF2-40B4-BE49-F238E27FC236}">
              <a16:creationId xmlns:a16="http://schemas.microsoft.com/office/drawing/2014/main" id="{00000000-0008-0000-0E00-00004E290500}"/>
            </a:ext>
          </a:extLst>
        </xdr:cNvPr>
        <xdr:cNvSpPr>
          <a:spLocks noChangeShapeType="1"/>
        </xdr:cNvSpPr>
      </xdr:nvSpPr>
      <xdr:spPr bwMode="auto">
        <a:xfrm flipV="1">
          <a:off x="141198600" y="13746480"/>
          <a:ext cx="3078480" cy="11582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129540</xdr:colOff>
      <xdr:row>0</xdr:row>
      <xdr:rowOff>106680</xdr:rowOff>
    </xdr:from>
    <xdr:to>
      <xdr:col>5</xdr:col>
      <xdr:colOff>632460</xdr:colOff>
      <xdr:row>3</xdr:row>
      <xdr:rowOff>45720</xdr:rowOff>
    </xdr:to>
    <xdr:pic>
      <xdr:nvPicPr>
        <xdr:cNvPr id="338255" name="Grafik 2">
          <a:extLst>
            <a:ext uri="{FF2B5EF4-FFF2-40B4-BE49-F238E27FC236}">
              <a16:creationId xmlns:a16="http://schemas.microsoft.com/office/drawing/2014/main" id="{00000000-0008-0000-0E00-00004F290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5320" y="106680"/>
          <a:ext cx="347472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312420</xdr:colOff>
      <xdr:row>0</xdr:row>
      <xdr:rowOff>289560</xdr:rowOff>
    </xdr:from>
    <xdr:to>
      <xdr:col>6</xdr:col>
      <xdr:colOff>563880</xdr:colOff>
      <xdr:row>2</xdr:row>
      <xdr:rowOff>38100</xdr:rowOff>
    </xdr:to>
    <xdr:pic>
      <xdr:nvPicPr>
        <xdr:cNvPr id="5623" name="Grafik 2">
          <a:extLst>
            <a:ext uri="{FF2B5EF4-FFF2-40B4-BE49-F238E27FC236}">
              <a16:creationId xmlns:a16="http://schemas.microsoft.com/office/drawing/2014/main" id="{00000000-0008-0000-0F00-0000F71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0340" y="289560"/>
          <a:ext cx="347472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xdr:colOff>
      <xdr:row>4</xdr:row>
      <xdr:rowOff>60960</xdr:rowOff>
    </xdr:from>
    <xdr:to>
      <xdr:col>3</xdr:col>
      <xdr:colOff>1219200</xdr:colOff>
      <xdr:row>18</xdr:row>
      <xdr:rowOff>243840</xdr:rowOff>
    </xdr:to>
    <xdr:graphicFrame macro="">
      <xdr:nvGraphicFramePr>
        <xdr:cNvPr id="1404" name="Chart 4">
          <a:extLst>
            <a:ext uri="{FF2B5EF4-FFF2-40B4-BE49-F238E27FC236}">
              <a16:creationId xmlns:a16="http://schemas.microsoft.com/office/drawing/2014/main" id="{00000000-0008-0000-1000-00007C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22860</xdr:colOff>
      <xdr:row>0</xdr:row>
      <xdr:rowOff>236220</xdr:rowOff>
    </xdr:from>
    <xdr:to>
      <xdr:col>8</xdr:col>
      <xdr:colOff>236220</xdr:colOff>
      <xdr:row>2</xdr:row>
      <xdr:rowOff>45720</xdr:rowOff>
    </xdr:to>
    <xdr:pic>
      <xdr:nvPicPr>
        <xdr:cNvPr id="1405" name="Grafik 2">
          <a:extLst>
            <a:ext uri="{FF2B5EF4-FFF2-40B4-BE49-F238E27FC236}">
              <a16:creationId xmlns:a16="http://schemas.microsoft.com/office/drawing/2014/main" id="{00000000-0008-0000-1000-00007D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7620" y="236220"/>
          <a:ext cx="347472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548640</xdr:colOff>
      <xdr:row>0</xdr:row>
      <xdr:rowOff>167640</xdr:rowOff>
    </xdr:from>
    <xdr:to>
      <xdr:col>6</xdr:col>
      <xdr:colOff>527686</xdr:colOff>
      <xdr:row>1</xdr:row>
      <xdr:rowOff>38100</xdr:rowOff>
    </xdr:to>
    <xdr:pic>
      <xdr:nvPicPr>
        <xdr:cNvPr id="51603" name="Grafik 2">
          <a:extLst>
            <a:ext uri="{FF2B5EF4-FFF2-40B4-BE49-F238E27FC236}">
              <a16:creationId xmlns:a16="http://schemas.microsoft.com/office/drawing/2014/main" id="{00000000-0008-0000-0100-000093C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5240" y="167640"/>
          <a:ext cx="348234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274320</xdr:colOff>
      <xdr:row>0</xdr:row>
      <xdr:rowOff>53340</xdr:rowOff>
    </xdr:from>
    <xdr:to>
      <xdr:col>7</xdr:col>
      <xdr:colOff>647700</xdr:colOff>
      <xdr:row>0</xdr:row>
      <xdr:rowOff>480060</xdr:rowOff>
    </xdr:to>
    <xdr:pic>
      <xdr:nvPicPr>
        <xdr:cNvPr id="78036" name="Grafik 2">
          <a:extLst>
            <a:ext uri="{FF2B5EF4-FFF2-40B4-BE49-F238E27FC236}">
              <a16:creationId xmlns:a16="http://schemas.microsoft.com/office/drawing/2014/main" id="{00000000-0008-0000-0200-0000D430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6760" y="53340"/>
          <a:ext cx="354330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670560</xdr:colOff>
      <xdr:row>0</xdr:row>
      <xdr:rowOff>53340</xdr:rowOff>
    </xdr:from>
    <xdr:to>
      <xdr:col>7</xdr:col>
      <xdr:colOff>236220</xdr:colOff>
      <xdr:row>0</xdr:row>
      <xdr:rowOff>480060</xdr:rowOff>
    </xdr:to>
    <xdr:pic>
      <xdr:nvPicPr>
        <xdr:cNvPr id="82105" name="Grafik 2">
          <a:extLst>
            <a:ext uri="{FF2B5EF4-FFF2-40B4-BE49-F238E27FC236}">
              <a16:creationId xmlns:a16="http://schemas.microsoft.com/office/drawing/2014/main" id="{00000000-0008-0000-0300-0000B940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0" y="53340"/>
          <a:ext cx="352806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320040</xdr:colOff>
      <xdr:row>0</xdr:row>
      <xdr:rowOff>15240</xdr:rowOff>
    </xdr:from>
    <xdr:to>
      <xdr:col>6</xdr:col>
      <xdr:colOff>655320</xdr:colOff>
      <xdr:row>1</xdr:row>
      <xdr:rowOff>68580</xdr:rowOff>
    </xdr:to>
    <xdr:pic>
      <xdr:nvPicPr>
        <xdr:cNvPr id="80081" name="Grafik 2">
          <a:extLst>
            <a:ext uri="{FF2B5EF4-FFF2-40B4-BE49-F238E27FC236}">
              <a16:creationId xmlns:a16="http://schemas.microsoft.com/office/drawing/2014/main" id="{00000000-0008-0000-0400-0000D138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0" y="15240"/>
          <a:ext cx="351282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792480</xdr:colOff>
      <xdr:row>0</xdr:row>
      <xdr:rowOff>274320</xdr:rowOff>
    </xdr:from>
    <xdr:to>
      <xdr:col>5</xdr:col>
      <xdr:colOff>670560</xdr:colOff>
      <xdr:row>2</xdr:row>
      <xdr:rowOff>167640</xdr:rowOff>
    </xdr:to>
    <xdr:pic>
      <xdr:nvPicPr>
        <xdr:cNvPr id="52524" name="Grafik 2">
          <a:extLst>
            <a:ext uri="{FF2B5EF4-FFF2-40B4-BE49-F238E27FC236}">
              <a16:creationId xmlns:a16="http://schemas.microsoft.com/office/drawing/2014/main" id="{00000000-0008-0000-0500-00002CC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0380" y="274320"/>
          <a:ext cx="349758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106</xdr:col>
      <xdr:colOff>1440180</xdr:colOff>
      <xdr:row>67</xdr:row>
      <xdr:rowOff>106680</xdr:rowOff>
    </xdr:from>
    <xdr:to>
      <xdr:col>109</xdr:col>
      <xdr:colOff>701040</xdr:colOff>
      <xdr:row>73</xdr:row>
      <xdr:rowOff>99060</xdr:rowOff>
    </xdr:to>
    <xdr:sp macro="" textlink="">
      <xdr:nvSpPr>
        <xdr:cNvPr id="54027" name="Line 20">
          <a:extLst>
            <a:ext uri="{FF2B5EF4-FFF2-40B4-BE49-F238E27FC236}">
              <a16:creationId xmlns:a16="http://schemas.microsoft.com/office/drawing/2014/main" id="{00000000-0008-0000-0600-00000BD30000}"/>
            </a:ext>
          </a:extLst>
        </xdr:cNvPr>
        <xdr:cNvSpPr>
          <a:spLocks noChangeShapeType="1"/>
        </xdr:cNvSpPr>
      </xdr:nvSpPr>
      <xdr:spPr bwMode="auto">
        <a:xfrm flipV="1">
          <a:off x="139567920" y="13799820"/>
          <a:ext cx="3078480" cy="11353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228600</xdr:colOff>
      <xdr:row>0</xdr:row>
      <xdr:rowOff>144780</xdr:rowOff>
    </xdr:from>
    <xdr:to>
      <xdr:col>5</xdr:col>
      <xdr:colOff>746760</xdr:colOff>
      <xdr:row>3</xdr:row>
      <xdr:rowOff>76200</xdr:rowOff>
    </xdr:to>
    <xdr:pic>
      <xdr:nvPicPr>
        <xdr:cNvPr id="54028" name="Grafik 2">
          <a:extLst>
            <a:ext uri="{FF2B5EF4-FFF2-40B4-BE49-F238E27FC236}">
              <a16:creationId xmlns:a16="http://schemas.microsoft.com/office/drawing/2014/main" id="{00000000-0008-0000-0600-00000CD3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64380" y="144780"/>
          <a:ext cx="348996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388620</xdr:colOff>
      <xdr:row>0</xdr:row>
      <xdr:rowOff>228600</xdr:rowOff>
    </xdr:from>
    <xdr:to>
      <xdr:col>6</xdr:col>
      <xdr:colOff>685800</xdr:colOff>
      <xdr:row>1</xdr:row>
      <xdr:rowOff>251460</xdr:rowOff>
    </xdr:to>
    <xdr:pic>
      <xdr:nvPicPr>
        <xdr:cNvPr id="54630" name="Grafik 2">
          <a:extLst>
            <a:ext uri="{FF2B5EF4-FFF2-40B4-BE49-F238E27FC236}">
              <a16:creationId xmlns:a16="http://schemas.microsoft.com/office/drawing/2014/main" id="{00000000-0008-0000-0700-000066D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1260" y="228600"/>
          <a:ext cx="34975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45720</xdr:colOff>
      <xdr:row>4</xdr:row>
      <xdr:rowOff>68580</xdr:rowOff>
    </xdr:from>
    <xdr:to>
      <xdr:col>3</xdr:col>
      <xdr:colOff>1188720</xdr:colOff>
      <xdr:row>7</xdr:row>
      <xdr:rowOff>3055620</xdr:rowOff>
    </xdr:to>
    <xdr:graphicFrame macro="">
      <xdr:nvGraphicFramePr>
        <xdr:cNvPr id="55678" name="Chart 1">
          <a:extLst>
            <a:ext uri="{FF2B5EF4-FFF2-40B4-BE49-F238E27FC236}">
              <a16:creationId xmlns:a16="http://schemas.microsoft.com/office/drawing/2014/main" id="{00000000-0008-0000-0800-00007ED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914400</xdr:colOff>
      <xdr:row>0</xdr:row>
      <xdr:rowOff>144780</xdr:rowOff>
    </xdr:from>
    <xdr:to>
      <xdr:col>7</xdr:col>
      <xdr:colOff>655320</xdr:colOff>
      <xdr:row>2</xdr:row>
      <xdr:rowOff>15240</xdr:rowOff>
    </xdr:to>
    <xdr:pic>
      <xdr:nvPicPr>
        <xdr:cNvPr id="55679" name="Grafik 2">
          <a:extLst>
            <a:ext uri="{FF2B5EF4-FFF2-40B4-BE49-F238E27FC236}">
              <a16:creationId xmlns:a16="http://schemas.microsoft.com/office/drawing/2014/main" id="{00000000-0008-0000-0800-00007FD9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49440" y="144780"/>
          <a:ext cx="35204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1.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3.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Varianteneingeben">
    <tabColor indexed="10"/>
  </sheetPr>
  <dimension ref="A1:IV500"/>
  <sheetViews>
    <sheetView tabSelected="1" zoomScale="70" zoomScaleNormal="70" workbookViewId="0">
      <selection activeCell="N7" sqref="N7"/>
    </sheetView>
  </sheetViews>
  <sheetFormatPr baseColWidth="10" defaultRowHeight="12.75" x14ac:dyDescent="0.2"/>
  <cols>
    <col min="1" max="1" width="45.85546875" customWidth="1"/>
    <col min="2" max="2" width="19.5703125" style="10" customWidth="1"/>
    <col min="3" max="3" width="11.28515625" style="10" customWidth="1"/>
    <col min="4" max="4" width="20.28515625" style="49" customWidth="1"/>
    <col min="5" max="5" width="3.28515625" customWidth="1"/>
    <col min="6" max="6" width="13" customWidth="1"/>
    <col min="7" max="7" width="30.7109375" customWidth="1"/>
    <col min="8" max="8" width="15.7109375" customWidth="1"/>
    <col min="9" max="9" width="9.7109375" customWidth="1"/>
    <col min="10" max="10" width="18" customWidth="1"/>
    <col min="11" max="11" width="3.7109375" customWidth="1"/>
  </cols>
  <sheetData>
    <row r="1" spans="1:13" ht="32.25" customHeight="1" x14ac:dyDescent="0.4">
      <c r="A1" s="199" t="str">
        <f>'Standard Vorgaben'!A1</f>
        <v>Arbokost 2023</v>
      </c>
      <c r="B1" s="562" t="str">
        <f>'Standard Erstellung'!B1</f>
        <v>Tafelzwetschge</v>
      </c>
      <c r="C1" s="574" t="s">
        <v>357</v>
      </c>
      <c r="D1" s="569"/>
      <c r="E1" s="563"/>
      <c r="F1" s="564"/>
      <c r="G1" s="565"/>
      <c r="H1" s="566"/>
      <c r="I1" s="564"/>
      <c r="J1" s="564"/>
    </row>
    <row r="2" spans="1:13" ht="23.25" x14ac:dyDescent="0.35">
      <c r="A2" s="572"/>
      <c r="B2" s="567" t="str">
        <f>'Standard Vorgaben'!C11</f>
        <v>Niederstammanlage mit Drahtgerüst und Zaun</v>
      </c>
      <c r="C2" s="568"/>
      <c r="D2" s="569"/>
      <c r="E2" s="578" t="s">
        <v>358</v>
      </c>
      <c r="F2" s="567" t="str">
        <f>'Standard Vorgaben'!$B$9</f>
        <v>ÖLN</v>
      </c>
      <c r="G2" s="565">
        <f>'Standard Erstellung'!$B$2</f>
        <v>1125</v>
      </c>
      <c r="H2" s="570"/>
      <c r="I2" s="564"/>
      <c r="J2" s="570"/>
      <c r="K2" s="1"/>
    </row>
    <row r="3" spans="1:13" s="211" customFormat="1" ht="24.75" customHeight="1" x14ac:dyDescent="0.2">
      <c r="A3" s="571"/>
      <c r="B3" s="577" t="s">
        <v>359</v>
      </c>
      <c r="C3" s="575"/>
      <c r="D3" s="577" t="s">
        <v>360</v>
      </c>
      <c r="E3" s="576"/>
      <c r="F3" s="575"/>
    </row>
    <row r="4" spans="1:13" s="211" customFormat="1" ht="20.100000000000001" customHeight="1" x14ac:dyDescent="0.2">
      <c r="A4" s="1348" t="s">
        <v>693</v>
      </c>
      <c r="B4" s="1348"/>
      <c r="C4" s="1348"/>
      <c r="D4" s="1348"/>
      <c r="E4" s="1348"/>
      <c r="F4" s="1348"/>
      <c r="G4" s="1348"/>
      <c r="H4" s="1333"/>
      <c r="I4" s="1333"/>
      <c r="J4" s="1333"/>
      <c r="K4" s="1333"/>
      <c r="L4" s="1333"/>
      <c r="M4" s="1333"/>
    </row>
    <row r="5" spans="1:13" s="211" customFormat="1" ht="15.6" customHeight="1" thickBot="1" x14ac:dyDescent="0.25">
      <c r="A5" s="571" t="s">
        <v>692</v>
      </c>
      <c r="B5" s="577"/>
      <c r="C5" s="575"/>
      <c r="D5" s="577"/>
      <c r="E5" s="576"/>
      <c r="F5" s="575"/>
      <c r="G5" s="1349"/>
      <c r="H5" s="1349"/>
      <c r="I5" s="1349"/>
      <c r="J5" s="1349"/>
      <c r="K5" s="1349"/>
      <c r="L5" s="1349"/>
      <c r="M5" s="1349"/>
    </row>
    <row r="6" spans="1:13" ht="27" customHeight="1" thickBot="1" x14ac:dyDescent="0.35">
      <c r="A6" s="579"/>
      <c r="B6" s="1243" t="s">
        <v>75</v>
      </c>
      <c r="C6" s="132" t="s">
        <v>123</v>
      </c>
      <c r="D6" s="1263" t="s">
        <v>119</v>
      </c>
      <c r="E6" s="1"/>
      <c r="F6" s="538" t="s">
        <v>121</v>
      </c>
      <c r="G6" s="376"/>
      <c r="H6" s="573"/>
      <c r="I6" s="573"/>
      <c r="J6" s="573"/>
      <c r="K6" s="185"/>
    </row>
    <row r="7" spans="1:13" ht="30.6" customHeight="1" x14ac:dyDescent="0.25">
      <c r="A7" s="580" t="str">
        <f>'Standard Vorgaben'!B14</f>
        <v>Tafelzwetschgen 33 mm</v>
      </c>
      <c r="B7" s="1244">
        <f>'Standard Vorgaben'!B65</f>
        <v>1.84</v>
      </c>
      <c r="C7" s="227">
        <f t="shared" ref="C7:C13" si="0">IF(OR(B7=0,B7=""),0,(D7/B7)-1)</f>
        <v>0</v>
      </c>
      <c r="D7" s="1264">
        <v>1.84</v>
      </c>
      <c r="E7" s="1"/>
      <c r="F7" s="563"/>
      <c r="G7" s="563"/>
      <c r="H7" s="1228" t="s">
        <v>75</v>
      </c>
      <c r="I7" s="133" t="s">
        <v>122</v>
      </c>
      <c r="J7" s="1282" t="s">
        <v>119</v>
      </c>
      <c r="K7" s="15"/>
    </row>
    <row r="8" spans="1:13" ht="21.6" customHeight="1" x14ac:dyDescent="0.2">
      <c r="A8" s="581" t="str">
        <f>'Standard Vorgaben'!C14</f>
        <v>Sortierabgang</v>
      </c>
      <c r="B8" s="1245">
        <f>'Standard Vorgaben'!C65</f>
        <v>0</v>
      </c>
      <c r="C8" s="224">
        <f t="shared" si="0"/>
        <v>0</v>
      </c>
      <c r="D8" s="1265">
        <v>0</v>
      </c>
      <c r="E8" s="1"/>
      <c r="F8" s="368" t="s">
        <v>243</v>
      </c>
      <c r="G8" s="368"/>
      <c r="H8" s="1295">
        <f>H79</f>
        <v>14.061504478526491</v>
      </c>
      <c r="I8" s="227">
        <f>IF(OR(H8=0,H8=""),0,(J8/H8)-1)</f>
        <v>0</v>
      </c>
      <c r="J8" s="1295">
        <f>J79</f>
        <v>14.061504478526491</v>
      </c>
      <c r="K8" s="15"/>
    </row>
    <row r="9" spans="1:13" ht="20.25" customHeight="1" x14ac:dyDescent="0.2">
      <c r="A9" s="582" t="str">
        <f>A7</f>
        <v>Tafelzwetschgen 33 mm</v>
      </c>
      <c r="B9" s="1246">
        <f>'Standard Vorgaben'!B69</f>
        <v>0.9</v>
      </c>
      <c r="C9" s="224">
        <f t="shared" si="0"/>
        <v>0</v>
      </c>
      <c r="D9" s="1266">
        <v>0.9</v>
      </c>
      <c r="E9" s="1"/>
      <c r="F9" s="369" t="s">
        <v>338</v>
      </c>
      <c r="G9" s="369"/>
      <c r="H9" s="1296">
        <f>H76</f>
        <v>19.366005383183829</v>
      </c>
      <c r="I9" s="224">
        <f>IF(OR(H9=0,H9=""),0,(J9/H9)-1)</f>
        <v>0</v>
      </c>
      <c r="J9" s="1296">
        <f>J76</f>
        <v>19.366005383183829</v>
      </c>
      <c r="K9" s="15"/>
    </row>
    <row r="10" spans="1:13" ht="27" customHeight="1" x14ac:dyDescent="0.2">
      <c r="A10" s="581" t="str">
        <f>A8</f>
        <v>Sortierabgang</v>
      </c>
      <c r="B10" s="1247">
        <f>'Standard Vorgaben'!C69</f>
        <v>0.1</v>
      </c>
      <c r="C10" s="224">
        <f t="shared" si="0"/>
        <v>0</v>
      </c>
      <c r="D10" s="1267">
        <v>0.1</v>
      </c>
      <c r="E10" s="1"/>
      <c r="F10" s="368" t="s">
        <v>244</v>
      </c>
      <c r="G10" s="369"/>
      <c r="H10" s="1297">
        <f>B60</f>
        <v>2.1223824477505242</v>
      </c>
      <c r="I10" s="224">
        <f>IF(OR(H10=0,H10=""),0,(J10/H10)-1)</f>
        <v>0</v>
      </c>
      <c r="J10" s="1297">
        <f>D60</f>
        <v>2.1223824477505242</v>
      </c>
      <c r="K10" s="15"/>
    </row>
    <row r="11" spans="1:13" ht="27" customHeight="1" thickBot="1" x14ac:dyDescent="0.25">
      <c r="A11" s="582" t="str">
        <f>A9</f>
        <v>Tafelzwetschgen 33 mm</v>
      </c>
      <c r="B11" s="1247">
        <f>'Standard Vorgaben'!B76</f>
        <v>0.9</v>
      </c>
      <c r="C11" s="224">
        <f t="shared" si="0"/>
        <v>0</v>
      </c>
      <c r="D11" s="1267">
        <v>0.9</v>
      </c>
      <c r="E11" s="1"/>
      <c r="F11" s="369" t="s">
        <v>432</v>
      </c>
      <c r="G11" s="369"/>
      <c r="H11" s="1298">
        <f>B58</f>
        <v>1.9101442029754725</v>
      </c>
      <c r="I11" s="224">
        <f>IF(OR(H11=0,H11=""),0,(J11/H11)-1)</f>
        <v>0</v>
      </c>
      <c r="J11" s="1298">
        <f>D58</f>
        <v>1.9101442029754725</v>
      </c>
      <c r="K11" s="15"/>
    </row>
    <row r="12" spans="1:13" ht="27" customHeight="1" x14ac:dyDescent="0.2">
      <c r="A12" s="581" t="str">
        <f>A10</f>
        <v>Sortierabgang</v>
      </c>
      <c r="B12" s="1247">
        <f>'Standard Vorgaben'!C76</f>
        <v>0.1</v>
      </c>
      <c r="C12" s="224">
        <f t="shared" si="0"/>
        <v>0</v>
      </c>
      <c r="D12" s="1267">
        <v>0.1</v>
      </c>
      <c r="E12" s="1"/>
      <c r="F12" s="1211"/>
      <c r="K12" s="15"/>
    </row>
    <row r="13" spans="1:13" ht="25.5" customHeight="1" x14ac:dyDescent="0.2">
      <c r="A13" s="225" t="s">
        <v>654</v>
      </c>
      <c r="B13" s="1248">
        <f>'Standard Vorgaben'!D64</f>
        <v>25000</v>
      </c>
      <c r="C13" s="222">
        <f t="shared" si="0"/>
        <v>0</v>
      </c>
      <c r="D13" s="1268">
        <v>25000</v>
      </c>
      <c r="E13" s="1"/>
      <c r="K13" s="15"/>
    </row>
    <row r="14" spans="1:13" ht="14.1" customHeight="1" x14ac:dyDescent="0.2">
      <c r="A14" s="1306" t="s">
        <v>677</v>
      </c>
      <c r="B14" s="1317">
        <f>'Standard Vorgaben'!G40</f>
        <v>0.15</v>
      </c>
      <c r="C14" s="213"/>
      <c r="D14" s="1309">
        <v>0.15</v>
      </c>
      <c r="E14" s="1"/>
      <c r="F14" s="15"/>
      <c r="G14" s="15"/>
      <c r="H14" s="15"/>
      <c r="I14" s="15"/>
      <c r="J14" s="15"/>
      <c r="K14" s="15"/>
    </row>
    <row r="15" spans="1:13" ht="18.75" customHeight="1" x14ac:dyDescent="0.2">
      <c r="A15" s="226" t="s">
        <v>239</v>
      </c>
      <c r="B15" s="1249">
        <f>'Standard Vorgaben'!D85</f>
        <v>40</v>
      </c>
      <c r="C15" s="224">
        <f t="shared" ref="C15:C20" si="1">IF(OR(B15=0,B15=""),0,(D15/B15)-1)</f>
        <v>0</v>
      </c>
      <c r="D15" s="1270">
        <v>40</v>
      </c>
      <c r="E15" s="1"/>
      <c r="F15" s="15"/>
      <c r="G15" s="15"/>
      <c r="H15" s="15"/>
      <c r="I15" s="15"/>
      <c r="J15" s="15"/>
      <c r="K15" s="15"/>
    </row>
    <row r="16" spans="1:13" ht="18.75" customHeight="1" x14ac:dyDescent="0.2">
      <c r="A16" s="226" t="s">
        <v>415</v>
      </c>
      <c r="B16" s="1250">
        <f>'Standard Vorgaben'!C32</f>
        <v>41.4</v>
      </c>
      <c r="C16" s="224">
        <f t="shared" si="1"/>
        <v>0</v>
      </c>
      <c r="D16" s="1264">
        <v>41.4</v>
      </c>
      <c r="E16" s="1"/>
      <c r="F16" s="15"/>
      <c r="G16" s="15"/>
      <c r="H16" s="15"/>
      <c r="I16" s="15"/>
      <c r="J16" s="15"/>
      <c r="K16" s="15"/>
    </row>
    <row r="17" spans="1:11" ht="21.6" customHeight="1" x14ac:dyDescent="0.2">
      <c r="A17" s="221" t="s">
        <v>240</v>
      </c>
      <c r="B17" s="1250">
        <f>'Standard Vorgaben'!C33</f>
        <v>24</v>
      </c>
      <c r="C17" s="224">
        <f t="shared" si="1"/>
        <v>0</v>
      </c>
      <c r="D17" s="1264">
        <v>24</v>
      </c>
      <c r="E17" s="1"/>
      <c r="F17" s="15"/>
      <c r="G17" s="15"/>
      <c r="H17" s="15"/>
      <c r="I17" s="15"/>
      <c r="J17" s="15"/>
      <c r="K17" s="15"/>
    </row>
    <row r="18" spans="1:11" ht="20.25" customHeight="1" x14ac:dyDescent="0.2">
      <c r="A18" s="221" t="s">
        <v>241</v>
      </c>
      <c r="B18" s="1250">
        <f>'Standard Vorgaben'!C34</f>
        <v>21.5</v>
      </c>
      <c r="C18" s="224">
        <f t="shared" si="1"/>
        <v>0</v>
      </c>
      <c r="D18" s="1264">
        <v>21.5</v>
      </c>
      <c r="E18" s="1"/>
      <c r="F18" s="15"/>
      <c r="G18" s="15"/>
      <c r="H18" s="15"/>
      <c r="I18" s="15"/>
      <c r="J18" s="15"/>
      <c r="K18" s="15"/>
    </row>
    <row r="19" spans="1:11" ht="18" customHeight="1" x14ac:dyDescent="0.2">
      <c r="A19" s="228" t="s">
        <v>208</v>
      </c>
      <c r="B19" s="1247">
        <f>'Standard Vorgaben'!F33</f>
        <v>0.9</v>
      </c>
      <c r="C19" s="224">
        <f t="shared" si="1"/>
        <v>0</v>
      </c>
      <c r="D19" s="1271">
        <v>0.9</v>
      </c>
      <c r="E19" s="1"/>
      <c r="F19" s="15"/>
      <c r="G19" s="15"/>
      <c r="H19" s="15"/>
      <c r="I19" s="15"/>
      <c r="J19" s="15"/>
      <c r="K19" s="15"/>
    </row>
    <row r="20" spans="1:11" ht="19.5" customHeight="1" x14ac:dyDescent="0.2">
      <c r="A20" s="220" t="s">
        <v>242</v>
      </c>
      <c r="B20" s="1251">
        <f>'Standard Vorgaben'!E91</f>
        <v>100</v>
      </c>
      <c r="C20" s="224">
        <f t="shared" si="1"/>
        <v>0</v>
      </c>
      <c r="D20" s="1272">
        <v>100</v>
      </c>
      <c r="E20" s="1"/>
      <c r="F20" s="15"/>
      <c r="G20" s="15"/>
      <c r="H20" s="15"/>
      <c r="I20" s="15"/>
      <c r="J20" s="15"/>
      <c r="K20" s="15"/>
    </row>
    <row r="21" spans="1:11" ht="8.65" customHeight="1" x14ac:dyDescent="0.2">
      <c r="B21" s="1252"/>
      <c r="D21" s="1273"/>
      <c r="E21" s="1"/>
      <c r="F21" s="15"/>
      <c r="G21" s="15"/>
      <c r="H21" s="15"/>
      <c r="I21" s="15"/>
      <c r="J21" s="15"/>
      <c r="K21" s="15"/>
    </row>
    <row r="22" spans="1:11" x14ac:dyDescent="0.2">
      <c r="A22" s="225" t="s">
        <v>124</v>
      </c>
      <c r="B22" s="1253">
        <f>'Standard Vorgaben'!B24</f>
        <v>1125</v>
      </c>
      <c r="C22" s="223">
        <f>IF(OR(B22=0,B22=""),0,(D22/B22)-1)</f>
        <v>0</v>
      </c>
      <c r="D22" s="1274">
        <v>1125</v>
      </c>
      <c r="E22" s="1"/>
      <c r="F22" s="15"/>
      <c r="G22" s="15"/>
      <c r="H22" s="15"/>
      <c r="I22" s="15"/>
      <c r="J22" s="15"/>
      <c r="K22" s="15"/>
    </row>
    <row r="23" spans="1:11" x14ac:dyDescent="0.2">
      <c r="A23" s="225" t="s">
        <v>9</v>
      </c>
      <c r="B23" s="1254">
        <f>'Standard Vorgaben'!C31</f>
        <v>16</v>
      </c>
      <c r="C23" s="223">
        <f>IF(OR(B23=0,B23=""),0,(D23/B23)-1)</f>
        <v>0</v>
      </c>
      <c r="D23" s="1265">
        <v>16</v>
      </c>
      <c r="E23" s="1"/>
      <c r="F23" s="15"/>
      <c r="G23" s="15"/>
      <c r="H23" s="15"/>
      <c r="I23" s="15"/>
      <c r="J23" s="15"/>
      <c r="K23" s="15"/>
    </row>
    <row r="24" spans="1:11" x14ac:dyDescent="0.2">
      <c r="B24" s="1252"/>
      <c r="D24" s="1273"/>
      <c r="E24" s="1"/>
      <c r="F24" s="15"/>
      <c r="G24" s="15"/>
      <c r="H24" s="15"/>
      <c r="I24" s="15"/>
      <c r="J24" s="15"/>
      <c r="K24" s="15"/>
    </row>
    <row r="25" spans="1:11" ht="21.6" customHeight="1" x14ac:dyDescent="0.2">
      <c r="A25" s="226" t="s">
        <v>204</v>
      </c>
      <c r="B25" s="1255">
        <f>'Standard Ertragsphase'!F47</f>
        <v>6315</v>
      </c>
      <c r="C25" s="224">
        <f>IF(OR(B25=0,B25=""),0,(D25/B25)-1)</f>
        <v>0</v>
      </c>
      <c r="D25" s="1275">
        <v>6315</v>
      </c>
      <c r="E25" s="1"/>
      <c r="F25" s="15"/>
      <c r="G25" s="15"/>
      <c r="H25" s="15"/>
      <c r="I25" s="15"/>
      <c r="J25" s="15"/>
      <c r="K25" s="15"/>
    </row>
    <row r="26" spans="1:11" ht="19.5" customHeight="1" x14ac:dyDescent="0.2">
      <c r="A26" s="226" t="s">
        <v>205</v>
      </c>
      <c r="B26" s="1255">
        <f>'Standard Ertragsphase'!F22</f>
        <v>2560</v>
      </c>
      <c r="C26" s="224">
        <f>IF(OR(B26=0,B26=""),0,(D26/B26)-1)</f>
        <v>0</v>
      </c>
      <c r="D26" s="1275">
        <v>2560</v>
      </c>
      <c r="E26" s="1"/>
      <c r="F26" s="15"/>
      <c r="G26" s="15"/>
      <c r="H26" s="15"/>
      <c r="I26" s="15"/>
      <c r="J26" s="15"/>
      <c r="K26" s="15"/>
    </row>
    <row r="27" spans="1:11" ht="17.850000000000001" customHeight="1" x14ac:dyDescent="0.2">
      <c r="A27" s="210" t="s">
        <v>203</v>
      </c>
      <c r="B27" s="1255">
        <f>'Standard Ertragsphase'!F18</f>
        <v>670.25</v>
      </c>
      <c r="C27" s="224">
        <f>IF(OR(B27=0,B27=""),0,(D27/B27)-1)</f>
        <v>0</v>
      </c>
      <c r="D27" s="1275">
        <v>670.25</v>
      </c>
      <c r="E27" s="1"/>
      <c r="F27" s="15"/>
      <c r="G27" s="15"/>
      <c r="H27" s="15"/>
      <c r="I27" s="15"/>
      <c r="J27" s="15"/>
      <c r="K27" s="15"/>
    </row>
    <row r="28" spans="1:11" x14ac:dyDescent="0.2">
      <c r="A28" s="211"/>
      <c r="B28" s="1236"/>
      <c r="C28" s="224">
        <f t="shared" ref="C28:C38" si="2">IF(OR(B28=0,B28=""),0,(D28/B28)-1)</f>
        <v>0</v>
      </c>
      <c r="D28" s="1269"/>
      <c r="E28" s="1"/>
      <c r="F28" s="15"/>
      <c r="G28" s="15"/>
      <c r="H28" s="15"/>
      <c r="I28" s="15"/>
      <c r="J28" s="15"/>
      <c r="K28" s="15"/>
    </row>
    <row r="29" spans="1:11" ht="10.5" customHeight="1" x14ac:dyDescent="0.2">
      <c r="A29" s="226" t="s">
        <v>10</v>
      </c>
      <c r="B29" s="1256">
        <f>'Standard Vorgaben'!C40</f>
        <v>1.4999999999999999E-2</v>
      </c>
      <c r="C29" s="224">
        <f t="shared" si="2"/>
        <v>0</v>
      </c>
      <c r="D29" s="1276">
        <v>1.4999999999999999E-2</v>
      </c>
      <c r="E29" s="1"/>
      <c r="F29" s="15"/>
      <c r="G29" s="15"/>
      <c r="H29" s="15"/>
      <c r="I29" s="15"/>
      <c r="J29" s="15"/>
      <c r="K29" s="15"/>
    </row>
    <row r="30" spans="1:11" x14ac:dyDescent="0.2">
      <c r="A30" s="17" t="s">
        <v>425</v>
      </c>
      <c r="B30" s="1257">
        <f>'Standard Vorgaben'!G46</f>
        <v>0</v>
      </c>
      <c r="C30" s="224">
        <f t="shared" si="2"/>
        <v>0</v>
      </c>
      <c r="D30" s="1277">
        <v>0</v>
      </c>
      <c r="E30" s="1"/>
      <c r="F30" s="15"/>
      <c r="G30" s="15"/>
      <c r="H30" s="15"/>
      <c r="I30" s="15"/>
      <c r="J30" s="15"/>
      <c r="K30" s="15"/>
    </row>
    <row r="31" spans="1:11" x14ac:dyDescent="0.2">
      <c r="A31" s="912" t="s">
        <v>444</v>
      </c>
      <c r="B31" s="1258">
        <f>'Standard Vorgaben'!C177</f>
        <v>0</v>
      </c>
      <c r="C31" s="224">
        <f t="shared" si="2"/>
        <v>0</v>
      </c>
      <c r="D31" s="1278">
        <v>0</v>
      </c>
      <c r="E31" s="1"/>
      <c r="F31" s="15"/>
      <c r="G31" s="15"/>
      <c r="H31" s="15"/>
      <c r="I31" s="15"/>
      <c r="J31" s="15"/>
      <c r="K31" s="15"/>
    </row>
    <row r="32" spans="1:11" x14ac:dyDescent="0.2">
      <c r="A32" s="912" t="s">
        <v>453</v>
      </c>
      <c r="B32" s="1259">
        <f>'Standard Vorgaben'!C178</f>
        <v>0</v>
      </c>
      <c r="C32" s="224">
        <f t="shared" si="2"/>
        <v>0</v>
      </c>
      <c r="D32" s="1278">
        <v>0</v>
      </c>
      <c r="E32" s="1"/>
      <c r="F32" s="15"/>
      <c r="G32" s="15"/>
      <c r="H32" s="15"/>
      <c r="I32" s="15"/>
      <c r="J32" s="15"/>
    </row>
    <row r="33" spans="1:256" ht="12.75" customHeight="1" x14ac:dyDescent="0.2">
      <c r="A33" s="912" t="s">
        <v>583</v>
      </c>
      <c r="B33" s="1260">
        <f>'Standard Hagel'!C95</f>
        <v>41400</v>
      </c>
      <c r="C33" s="224">
        <f t="shared" si="2"/>
        <v>0</v>
      </c>
      <c r="D33" s="1279">
        <v>41400</v>
      </c>
      <c r="E33" s="901"/>
      <c r="F33" s="901"/>
      <c r="G33" s="901"/>
      <c r="H33" s="901"/>
      <c r="I33" s="901"/>
      <c r="J33" s="901"/>
      <c r="K33" s="901"/>
      <c r="L33" s="901"/>
      <c r="M33" s="901"/>
      <c r="N33" s="901"/>
      <c r="O33" s="901"/>
      <c r="P33" s="901"/>
      <c r="Q33" s="901"/>
      <c r="R33" s="901"/>
      <c r="S33" s="901"/>
      <c r="T33" s="901"/>
      <c r="U33" s="901"/>
      <c r="V33" s="901"/>
      <c r="W33" s="901"/>
      <c r="X33" s="901"/>
      <c r="Y33" s="901"/>
      <c r="Z33" s="901"/>
      <c r="AA33" s="901"/>
      <c r="AB33" s="901"/>
      <c r="AC33" s="901"/>
      <c r="AD33" s="901"/>
      <c r="AE33" s="901"/>
      <c r="AF33" s="901"/>
      <c r="AG33" s="901"/>
      <c r="AH33" s="901"/>
      <c r="AI33" s="901"/>
      <c r="AJ33" s="901"/>
      <c r="AK33" s="901"/>
      <c r="AL33" s="901"/>
      <c r="AM33" s="901"/>
      <c r="AN33" s="901"/>
      <c r="AO33" s="901"/>
      <c r="AP33" s="901"/>
      <c r="AQ33" s="901"/>
      <c r="AR33" s="901"/>
      <c r="AS33" s="901"/>
      <c r="AT33" s="901"/>
      <c r="AU33" s="901"/>
      <c r="AV33" s="901"/>
      <c r="AW33" s="901"/>
      <c r="AX33" s="901"/>
      <c r="AY33" s="901"/>
      <c r="AZ33" s="901"/>
      <c r="BA33" s="901"/>
      <c r="BB33" s="901"/>
      <c r="BC33" s="901"/>
      <c r="BD33" s="901"/>
      <c r="BE33" s="901"/>
      <c r="BF33" s="901"/>
      <c r="BG33" s="901"/>
      <c r="BH33" s="901"/>
      <c r="BI33" s="901"/>
      <c r="BJ33" s="901"/>
      <c r="BK33" s="901"/>
      <c r="BL33" s="901"/>
      <c r="BM33" s="901"/>
      <c r="BN33" s="901"/>
      <c r="BO33" s="901"/>
      <c r="BP33" s="901"/>
      <c r="BQ33" s="901"/>
      <c r="BR33" s="901"/>
      <c r="BS33" s="901"/>
      <c r="BT33" s="901"/>
      <c r="BU33" s="901"/>
      <c r="BV33" s="901"/>
      <c r="BW33" s="901"/>
      <c r="BX33" s="901"/>
      <c r="BY33" s="901"/>
      <c r="BZ33" s="901"/>
      <c r="CA33" s="901"/>
      <c r="CB33" s="901"/>
      <c r="CC33" s="901"/>
      <c r="CD33" s="901"/>
      <c r="CE33" s="901"/>
      <c r="CF33" s="901"/>
      <c r="CG33" s="901"/>
      <c r="CH33" s="901"/>
      <c r="CI33" s="901"/>
      <c r="CJ33" s="901"/>
      <c r="CK33" s="901"/>
      <c r="CL33" s="901"/>
      <c r="CM33" s="901"/>
      <c r="CN33" s="901"/>
      <c r="CO33" s="901"/>
      <c r="CP33" s="901"/>
      <c r="CQ33" s="901"/>
      <c r="CR33" s="901"/>
      <c r="CS33" s="901"/>
      <c r="CT33" s="901"/>
      <c r="CU33" s="901"/>
      <c r="CV33" s="901"/>
      <c r="CW33" s="901"/>
      <c r="CX33" s="901"/>
      <c r="CY33" s="901"/>
      <c r="CZ33" s="901"/>
      <c r="DA33" s="901"/>
      <c r="DB33" s="901"/>
      <c r="DC33" s="901"/>
      <c r="DD33" s="901"/>
      <c r="DE33" s="901"/>
      <c r="DF33" s="901"/>
      <c r="DG33" s="901"/>
      <c r="DH33" s="901"/>
      <c r="DI33" s="901"/>
      <c r="DJ33" s="901"/>
      <c r="DK33" s="901"/>
      <c r="DL33" s="901"/>
      <c r="DM33" s="901"/>
      <c r="DN33" s="901"/>
      <c r="DO33" s="901"/>
      <c r="DP33" s="901"/>
      <c r="DQ33" s="901"/>
      <c r="DR33" s="901"/>
      <c r="DS33" s="901"/>
      <c r="DT33" s="901"/>
      <c r="DU33" s="901"/>
      <c r="DV33" s="901"/>
      <c r="DW33" s="901"/>
      <c r="DX33" s="901"/>
      <c r="DY33" s="901"/>
      <c r="DZ33" s="901"/>
      <c r="EA33" s="901"/>
      <c r="EB33" s="901"/>
      <c r="EC33" s="901"/>
      <c r="ED33" s="901"/>
      <c r="EE33" s="901"/>
      <c r="EF33" s="901"/>
      <c r="EG33" s="901"/>
      <c r="EH33" s="901"/>
      <c r="EI33" s="901"/>
      <c r="EJ33" s="901"/>
      <c r="EK33" s="901"/>
      <c r="EL33" s="901"/>
      <c r="EM33" s="901"/>
      <c r="EN33" s="901"/>
      <c r="EO33" s="901"/>
      <c r="EP33" s="901"/>
      <c r="EQ33" s="901"/>
      <c r="ER33" s="901"/>
      <c r="ES33" s="901"/>
      <c r="ET33" s="901"/>
      <c r="EU33" s="901"/>
      <c r="EV33" s="901"/>
      <c r="EW33" s="901"/>
      <c r="EX33" s="901"/>
      <c r="EY33" s="901"/>
      <c r="EZ33" s="901"/>
      <c r="FA33" s="901"/>
      <c r="FB33" s="901"/>
      <c r="FC33" s="901"/>
      <c r="FD33" s="901"/>
      <c r="FE33" s="901"/>
      <c r="FF33" s="901"/>
      <c r="FG33" s="901"/>
      <c r="FH33" s="901"/>
      <c r="FI33" s="901"/>
      <c r="FJ33" s="901"/>
      <c r="FK33" s="901"/>
      <c r="FL33" s="901"/>
      <c r="FM33" s="901"/>
      <c r="FN33" s="901"/>
      <c r="FO33" s="901"/>
      <c r="FP33" s="901"/>
      <c r="FQ33" s="901"/>
      <c r="FR33" s="901"/>
      <c r="FS33" s="901"/>
      <c r="FT33" s="901"/>
      <c r="FU33" s="901"/>
      <c r="FV33" s="901"/>
      <c r="FW33" s="901"/>
      <c r="FX33" s="901"/>
      <c r="FY33" s="901"/>
      <c r="FZ33" s="901"/>
      <c r="GA33" s="901"/>
      <c r="GB33" s="901"/>
      <c r="GC33" s="901"/>
      <c r="GD33" s="901"/>
      <c r="GE33" s="901"/>
      <c r="GF33" s="901"/>
      <c r="GG33" s="901"/>
      <c r="GH33" s="901"/>
      <c r="GI33" s="901"/>
      <c r="GJ33" s="901"/>
      <c r="GK33" s="901"/>
      <c r="GL33" s="901"/>
      <c r="GM33" s="901"/>
      <c r="GN33" s="901"/>
      <c r="GO33" s="901"/>
      <c r="GP33" s="901"/>
      <c r="GQ33" s="901"/>
      <c r="GR33" s="901"/>
      <c r="GS33" s="901"/>
      <c r="GT33" s="901"/>
      <c r="GU33" s="901"/>
      <c r="GV33" s="901"/>
      <c r="GW33" s="901"/>
      <c r="GX33" s="901"/>
      <c r="GY33" s="901"/>
      <c r="GZ33" s="901"/>
      <c r="HA33" s="901"/>
      <c r="HB33" s="901"/>
      <c r="HC33" s="901"/>
      <c r="HD33" s="901"/>
      <c r="HE33" s="901"/>
      <c r="HF33" s="901"/>
      <c r="HG33" s="901"/>
      <c r="HH33" s="901"/>
      <c r="HI33" s="901"/>
      <c r="HJ33" s="901"/>
      <c r="HK33" s="901"/>
      <c r="HL33" s="901"/>
      <c r="HM33" s="901"/>
      <c r="HN33" s="901"/>
      <c r="HO33" s="901"/>
      <c r="HP33" s="901"/>
      <c r="HQ33" s="901"/>
      <c r="HR33" s="901"/>
      <c r="HS33" s="901"/>
      <c r="HT33" s="901"/>
      <c r="HU33" s="901"/>
      <c r="HV33" s="901"/>
      <c r="HW33" s="901"/>
      <c r="HX33" s="901"/>
      <c r="HY33" s="901"/>
      <c r="HZ33" s="901"/>
      <c r="IA33" s="901"/>
      <c r="IB33" s="901"/>
      <c r="IC33" s="901"/>
      <c r="ID33" s="901"/>
      <c r="IE33" s="901"/>
      <c r="IF33" s="901"/>
      <c r="IG33" s="901"/>
      <c r="IH33" s="901"/>
      <c r="II33" s="901"/>
      <c r="IJ33" s="901"/>
      <c r="IK33" s="901"/>
      <c r="IL33" s="901"/>
      <c r="IM33" s="901"/>
      <c r="IN33" s="901"/>
      <c r="IO33" s="901"/>
      <c r="IP33" s="901"/>
      <c r="IQ33" s="901"/>
      <c r="IR33" s="901"/>
      <c r="IS33" s="901"/>
      <c r="IT33" s="901"/>
      <c r="IU33" s="901"/>
      <c r="IV33" s="901"/>
    </row>
    <row r="34" spans="1:256" ht="12.75" customHeight="1" x14ac:dyDescent="0.2">
      <c r="A34" s="912" t="s">
        <v>454</v>
      </c>
      <c r="B34" s="1313">
        <f>'Standard Vorgaben'!C183</f>
        <v>1.5</v>
      </c>
      <c r="C34" s="224">
        <f t="shared" si="2"/>
        <v>0</v>
      </c>
      <c r="D34" s="1307">
        <v>1.5</v>
      </c>
      <c r="E34" s="901"/>
      <c r="F34" s="901"/>
      <c r="G34" s="901"/>
      <c r="H34" s="901"/>
      <c r="I34" s="901"/>
      <c r="J34" s="901"/>
      <c r="K34" s="901"/>
      <c r="L34" s="901"/>
      <c r="M34" s="901"/>
      <c r="N34" s="901"/>
      <c r="O34" s="901"/>
      <c r="P34" s="901"/>
      <c r="Q34" s="901"/>
      <c r="R34" s="901"/>
      <c r="S34" s="901"/>
      <c r="T34" s="901"/>
      <c r="U34" s="901"/>
      <c r="V34" s="901"/>
      <c r="W34" s="901"/>
      <c r="X34" s="901"/>
      <c r="Y34" s="901"/>
      <c r="Z34" s="901"/>
      <c r="AA34" s="901"/>
      <c r="AB34" s="901"/>
      <c r="AC34" s="901"/>
      <c r="AD34" s="901"/>
      <c r="AE34" s="901"/>
      <c r="AF34" s="901"/>
      <c r="AG34" s="901"/>
      <c r="AH34" s="901"/>
      <c r="AI34" s="901"/>
      <c r="AJ34" s="901"/>
      <c r="AK34" s="901"/>
      <c r="AL34" s="901"/>
      <c r="AM34" s="901"/>
      <c r="AN34" s="901"/>
      <c r="AO34" s="901"/>
      <c r="AP34" s="901"/>
      <c r="AQ34" s="901"/>
      <c r="AR34" s="901"/>
      <c r="AS34" s="901"/>
      <c r="AT34" s="901"/>
      <c r="AU34" s="901"/>
      <c r="AV34" s="901"/>
      <c r="AW34" s="901"/>
      <c r="AX34" s="901"/>
      <c r="AY34" s="901"/>
      <c r="AZ34" s="901"/>
      <c r="BA34" s="901"/>
      <c r="BB34" s="901"/>
      <c r="BC34" s="901"/>
      <c r="BD34" s="901"/>
      <c r="BE34" s="901"/>
      <c r="BF34" s="901"/>
      <c r="BG34" s="901"/>
      <c r="BH34" s="901"/>
      <c r="BI34" s="901"/>
      <c r="BJ34" s="901"/>
      <c r="BK34" s="901"/>
      <c r="BL34" s="901"/>
      <c r="BM34" s="901"/>
      <c r="BN34" s="901"/>
      <c r="BO34" s="901"/>
      <c r="BP34" s="901"/>
      <c r="BQ34" s="901"/>
      <c r="BR34" s="901"/>
      <c r="BS34" s="901"/>
      <c r="BT34" s="901"/>
      <c r="BU34" s="901"/>
      <c r="BV34" s="901"/>
      <c r="BW34" s="901"/>
      <c r="BX34" s="901"/>
      <c r="BY34" s="901"/>
      <c r="BZ34" s="901"/>
      <c r="CA34" s="901"/>
      <c r="CB34" s="901"/>
      <c r="CC34" s="901"/>
      <c r="CD34" s="901"/>
      <c r="CE34" s="901"/>
      <c r="CF34" s="901"/>
      <c r="CG34" s="901"/>
      <c r="CH34" s="901"/>
      <c r="CI34" s="901"/>
      <c r="CJ34" s="901"/>
      <c r="CK34" s="901"/>
      <c r="CL34" s="901"/>
      <c r="CM34" s="901"/>
      <c r="CN34" s="901"/>
      <c r="CO34" s="901"/>
      <c r="CP34" s="901"/>
      <c r="CQ34" s="901"/>
      <c r="CR34" s="901"/>
      <c r="CS34" s="901"/>
      <c r="CT34" s="901"/>
      <c r="CU34" s="901"/>
      <c r="CV34" s="901"/>
      <c r="CW34" s="901"/>
      <c r="CX34" s="901"/>
      <c r="CY34" s="901"/>
      <c r="CZ34" s="901"/>
      <c r="DA34" s="901"/>
      <c r="DB34" s="901"/>
      <c r="DC34" s="901"/>
      <c r="DD34" s="901"/>
      <c r="DE34" s="901"/>
      <c r="DF34" s="901"/>
      <c r="DG34" s="901"/>
      <c r="DH34" s="901"/>
      <c r="DI34" s="901"/>
      <c r="DJ34" s="901"/>
      <c r="DK34" s="901"/>
      <c r="DL34" s="901"/>
      <c r="DM34" s="901"/>
      <c r="DN34" s="901"/>
      <c r="DO34" s="901"/>
      <c r="DP34" s="901"/>
      <c r="DQ34" s="901"/>
      <c r="DR34" s="901"/>
      <c r="DS34" s="901"/>
      <c r="DT34" s="901"/>
      <c r="DU34" s="901"/>
      <c r="DV34" s="901"/>
      <c r="DW34" s="901"/>
      <c r="DX34" s="901"/>
      <c r="DY34" s="901"/>
      <c r="DZ34" s="901"/>
      <c r="EA34" s="901"/>
      <c r="EB34" s="901"/>
      <c r="EC34" s="901"/>
      <c r="ED34" s="901"/>
      <c r="EE34" s="901"/>
      <c r="EF34" s="901"/>
      <c r="EG34" s="901"/>
      <c r="EH34" s="901"/>
      <c r="EI34" s="901"/>
      <c r="EJ34" s="901"/>
      <c r="EK34" s="901"/>
      <c r="EL34" s="901"/>
      <c r="EM34" s="901"/>
      <c r="EN34" s="901"/>
      <c r="EO34" s="901"/>
      <c r="EP34" s="901"/>
      <c r="EQ34" s="901"/>
      <c r="ER34" s="901"/>
      <c r="ES34" s="901"/>
      <c r="ET34" s="901"/>
      <c r="EU34" s="901"/>
      <c r="EV34" s="901"/>
      <c r="EW34" s="901"/>
      <c r="EX34" s="901"/>
      <c r="EY34" s="901"/>
      <c r="EZ34" s="901"/>
      <c r="FA34" s="901"/>
      <c r="FB34" s="901"/>
      <c r="FC34" s="901"/>
      <c r="FD34" s="901"/>
      <c r="FE34" s="901"/>
      <c r="FF34" s="901"/>
      <c r="FG34" s="901"/>
      <c r="FH34" s="901"/>
      <c r="FI34" s="901"/>
      <c r="FJ34" s="901"/>
      <c r="FK34" s="901"/>
      <c r="FL34" s="901"/>
      <c r="FM34" s="901"/>
      <c r="FN34" s="901"/>
      <c r="FO34" s="901"/>
      <c r="FP34" s="901"/>
      <c r="FQ34" s="901"/>
      <c r="FR34" s="901"/>
      <c r="FS34" s="901"/>
      <c r="FT34" s="901"/>
      <c r="FU34" s="901"/>
      <c r="FV34" s="901"/>
      <c r="FW34" s="901"/>
      <c r="FX34" s="901"/>
      <c r="FY34" s="901"/>
      <c r="FZ34" s="901"/>
      <c r="GA34" s="901"/>
      <c r="GB34" s="901"/>
      <c r="GC34" s="901"/>
      <c r="GD34" s="901"/>
      <c r="GE34" s="901"/>
      <c r="GF34" s="901"/>
      <c r="GG34" s="901"/>
      <c r="GH34" s="901"/>
      <c r="GI34" s="901"/>
      <c r="GJ34" s="901"/>
      <c r="GK34" s="901"/>
      <c r="GL34" s="901"/>
      <c r="GM34" s="901"/>
      <c r="GN34" s="901"/>
      <c r="GO34" s="901"/>
      <c r="GP34" s="901"/>
      <c r="GQ34" s="901"/>
      <c r="GR34" s="901"/>
      <c r="GS34" s="901"/>
      <c r="GT34" s="901"/>
      <c r="GU34" s="901"/>
      <c r="GV34" s="901"/>
      <c r="GW34" s="901"/>
      <c r="GX34" s="901"/>
      <c r="GY34" s="901"/>
      <c r="GZ34" s="901"/>
      <c r="HA34" s="901"/>
      <c r="HB34" s="901"/>
      <c r="HC34" s="901"/>
      <c r="HD34" s="901"/>
      <c r="HE34" s="901"/>
      <c r="HF34" s="901"/>
      <c r="HG34" s="901"/>
      <c r="HH34" s="901"/>
      <c r="HI34" s="901"/>
      <c r="HJ34" s="901"/>
      <c r="HK34" s="901"/>
      <c r="HL34" s="901"/>
      <c r="HM34" s="901"/>
      <c r="HN34" s="901"/>
      <c r="HO34" s="901"/>
      <c r="HP34" s="901"/>
      <c r="HQ34" s="901"/>
      <c r="HR34" s="901"/>
      <c r="HS34" s="901"/>
      <c r="HT34" s="901"/>
      <c r="HU34" s="901"/>
      <c r="HV34" s="901"/>
      <c r="HW34" s="901"/>
      <c r="HX34" s="901"/>
      <c r="HY34" s="901"/>
      <c r="HZ34" s="901"/>
      <c r="IA34" s="901"/>
      <c r="IB34" s="901"/>
      <c r="IC34" s="901"/>
      <c r="ID34" s="901"/>
      <c r="IE34" s="901"/>
      <c r="IF34" s="901"/>
      <c r="IG34" s="901"/>
      <c r="IH34" s="901"/>
      <c r="II34" s="901"/>
      <c r="IJ34" s="901"/>
      <c r="IK34" s="901"/>
      <c r="IL34" s="901"/>
      <c r="IM34" s="901"/>
      <c r="IN34" s="901"/>
      <c r="IO34" s="901"/>
      <c r="IP34" s="901"/>
      <c r="IQ34" s="901"/>
      <c r="IR34" s="901"/>
      <c r="IS34" s="901"/>
      <c r="IT34" s="901"/>
      <c r="IU34" s="901"/>
      <c r="IV34" s="901"/>
    </row>
    <row r="35" spans="1:256" ht="12.75" customHeight="1" x14ac:dyDescent="0.2">
      <c r="A35" s="912" t="s">
        <v>455</v>
      </c>
      <c r="B35" s="1261">
        <f>'Standard Vorgaben'!C184</f>
        <v>500</v>
      </c>
      <c r="C35" s="224">
        <f t="shared" si="2"/>
        <v>0</v>
      </c>
      <c r="D35" s="1280">
        <v>500</v>
      </c>
      <c r="E35" s="901"/>
      <c r="F35" s="901"/>
      <c r="G35" s="901"/>
      <c r="H35" s="901"/>
      <c r="I35" s="901"/>
      <c r="J35" s="901"/>
      <c r="K35" s="901"/>
      <c r="L35" s="901"/>
      <c r="M35" s="901"/>
      <c r="N35" s="901"/>
      <c r="O35" s="901"/>
      <c r="P35" s="901"/>
      <c r="Q35" s="901"/>
      <c r="R35" s="901"/>
      <c r="S35" s="901"/>
      <c r="T35" s="901"/>
      <c r="U35" s="901"/>
      <c r="V35" s="901"/>
      <c r="W35" s="901"/>
      <c r="X35" s="901"/>
      <c r="Y35" s="901"/>
      <c r="Z35" s="901"/>
      <c r="AA35" s="901"/>
      <c r="AB35" s="901"/>
      <c r="AC35" s="901"/>
      <c r="AD35" s="901"/>
      <c r="AE35" s="901"/>
      <c r="AF35" s="901"/>
      <c r="AG35" s="901"/>
      <c r="AH35" s="901"/>
      <c r="AI35" s="901"/>
      <c r="AJ35" s="901"/>
      <c r="AK35" s="901"/>
      <c r="AL35" s="901"/>
      <c r="AM35" s="901"/>
      <c r="AN35" s="901"/>
      <c r="AO35" s="901"/>
      <c r="AP35" s="901"/>
      <c r="AQ35" s="901"/>
      <c r="AR35" s="901"/>
      <c r="AS35" s="901"/>
      <c r="AT35" s="901"/>
      <c r="AU35" s="901"/>
      <c r="AV35" s="901"/>
      <c r="AW35" s="901"/>
      <c r="AX35" s="901"/>
      <c r="AY35" s="901"/>
      <c r="AZ35" s="901"/>
      <c r="BA35" s="901"/>
      <c r="BB35" s="901"/>
      <c r="BC35" s="901"/>
      <c r="BD35" s="901"/>
      <c r="BE35" s="901"/>
      <c r="BF35" s="901"/>
      <c r="BG35" s="901"/>
      <c r="BH35" s="901"/>
      <c r="BI35" s="901"/>
      <c r="BJ35" s="901"/>
      <c r="BK35" s="901"/>
      <c r="BL35" s="901"/>
      <c r="BM35" s="901"/>
      <c r="BN35" s="901"/>
      <c r="BO35" s="901"/>
      <c r="BP35" s="901"/>
      <c r="BQ35" s="901"/>
      <c r="BR35" s="901"/>
      <c r="BS35" s="901"/>
      <c r="BT35" s="901"/>
      <c r="BU35" s="901"/>
      <c r="BV35" s="901"/>
      <c r="BW35" s="901"/>
      <c r="BX35" s="901"/>
      <c r="BY35" s="901"/>
      <c r="BZ35" s="901"/>
      <c r="CA35" s="901"/>
      <c r="CB35" s="901"/>
      <c r="CC35" s="901"/>
      <c r="CD35" s="901"/>
      <c r="CE35" s="901"/>
      <c r="CF35" s="901"/>
      <c r="CG35" s="901"/>
      <c r="CH35" s="901"/>
      <c r="CI35" s="901"/>
      <c r="CJ35" s="901"/>
      <c r="CK35" s="901"/>
      <c r="CL35" s="901"/>
      <c r="CM35" s="901"/>
      <c r="CN35" s="901"/>
      <c r="CO35" s="901"/>
      <c r="CP35" s="901"/>
      <c r="CQ35" s="901"/>
      <c r="CR35" s="901"/>
      <c r="CS35" s="901"/>
      <c r="CT35" s="901"/>
      <c r="CU35" s="901"/>
      <c r="CV35" s="901"/>
      <c r="CW35" s="901"/>
      <c r="CX35" s="901"/>
      <c r="CY35" s="901"/>
      <c r="CZ35" s="901"/>
      <c r="DA35" s="901"/>
      <c r="DB35" s="901"/>
      <c r="DC35" s="901"/>
      <c r="DD35" s="901"/>
      <c r="DE35" s="901"/>
      <c r="DF35" s="901"/>
      <c r="DG35" s="901"/>
      <c r="DH35" s="901"/>
      <c r="DI35" s="901"/>
      <c r="DJ35" s="901"/>
      <c r="DK35" s="901"/>
      <c r="DL35" s="901"/>
      <c r="DM35" s="901"/>
      <c r="DN35" s="901"/>
      <c r="DO35" s="901"/>
      <c r="DP35" s="901"/>
      <c r="DQ35" s="901"/>
      <c r="DR35" s="901"/>
      <c r="DS35" s="901"/>
      <c r="DT35" s="901"/>
      <c r="DU35" s="901"/>
      <c r="DV35" s="901"/>
      <c r="DW35" s="901"/>
      <c r="DX35" s="901"/>
      <c r="DY35" s="901"/>
      <c r="DZ35" s="901"/>
      <c r="EA35" s="901"/>
      <c r="EB35" s="901"/>
      <c r="EC35" s="901"/>
      <c r="ED35" s="901"/>
      <c r="EE35" s="901"/>
      <c r="EF35" s="901"/>
      <c r="EG35" s="901"/>
      <c r="EH35" s="901"/>
      <c r="EI35" s="901"/>
      <c r="EJ35" s="901"/>
      <c r="EK35" s="901"/>
      <c r="EL35" s="901"/>
      <c r="EM35" s="901"/>
      <c r="EN35" s="901"/>
      <c r="EO35" s="901"/>
      <c r="EP35" s="901"/>
      <c r="EQ35" s="901"/>
      <c r="ER35" s="901"/>
      <c r="ES35" s="901"/>
      <c r="ET35" s="901"/>
      <c r="EU35" s="901"/>
      <c r="EV35" s="901"/>
      <c r="EW35" s="901"/>
      <c r="EX35" s="901"/>
      <c r="EY35" s="901"/>
      <c r="EZ35" s="901"/>
      <c r="FA35" s="901"/>
      <c r="FB35" s="901"/>
      <c r="FC35" s="901"/>
      <c r="FD35" s="901"/>
      <c r="FE35" s="901"/>
      <c r="FF35" s="901"/>
      <c r="FG35" s="901"/>
      <c r="FH35" s="901"/>
      <c r="FI35" s="901"/>
      <c r="FJ35" s="901"/>
      <c r="FK35" s="901"/>
      <c r="FL35" s="901"/>
      <c r="FM35" s="901"/>
      <c r="FN35" s="901"/>
      <c r="FO35" s="901"/>
      <c r="FP35" s="901"/>
      <c r="FQ35" s="901"/>
      <c r="FR35" s="901"/>
      <c r="FS35" s="901"/>
      <c r="FT35" s="901"/>
      <c r="FU35" s="901"/>
      <c r="FV35" s="901"/>
      <c r="FW35" s="901"/>
      <c r="FX35" s="901"/>
      <c r="FY35" s="901"/>
      <c r="FZ35" s="901"/>
      <c r="GA35" s="901"/>
      <c r="GB35" s="901"/>
      <c r="GC35" s="901"/>
      <c r="GD35" s="901"/>
      <c r="GE35" s="901"/>
      <c r="GF35" s="901"/>
      <c r="GG35" s="901"/>
      <c r="GH35" s="901"/>
      <c r="GI35" s="901"/>
      <c r="GJ35" s="901"/>
      <c r="GK35" s="901"/>
      <c r="GL35" s="901"/>
      <c r="GM35" s="901"/>
      <c r="GN35" s="901"/>
      <c r="GO35" s="901"/>
      <c r="GP35" s="901"/>
      <c r="GQ35" s="901"/>
      <c r="GR35" s="901"/>
      <c r="GS35" s="901"/>
      <c r="GT35" s="901"/>
      <c r="GU35" s="901"/>
      <c r="GV35" s="901"/>
      <c r="GW35" s="901"/>
      <c r="GX35" s="901"/>
      <c r="GY35" s="901"/>
      <c r="GZ35" s="901"/>
      <c r="HA35" s="901"/>
      <c r="HB35" s="901"/>
      <c r="HC35" s="901"/>
      <c r="HD35" s="901"/>
      <c r="HE35" s="901"/>
      <c r="HF35" s="901"/>
      <c r="HG35" s="901"/>
      <c r="HH35" s="901"/>
      <c r="HI35" s="901"/>
      <c r="HJ35" s="901"/>
      <c r="HK35" s="901"/>
      <c r="HL35" s="901"/>
      <c r="HM35" s="901"/>
      <c r="HN35" s="901"/>
      <c r="HO35" s="901"/>
      <c r="HP35" s="901"/>
      <c r="HQ35" s="901"/>
      <c r="HR35" s="901"/>
      <c r="HS35" s="901"/>
      <c r="HT35" s="901"/>
      <c r="HU35" s="901"/>
      <c r="HV35" s="901"/>
      <c r="HW35" s="901"/>
      <c r="HX35" s="901"/>
      <c r="HY35" s="901"/>
      <c r="HZ35" s="901"/>
      <c r="IA35" s="901"/>
      <c r="IB35" s="901"/>
      <c r="IC35" s="901"/>
      <c r="ID35" s="901"/>
      <c r="IE35" s="901"/>
      <c r="IF35" s="901"/>
      <c r="IG35" s="901"/>
      <c r="IH35" s="901"/>
      <c r="II35" s="901"/>
      <c r="IJ35" s="901"/>
      <c r="IK35" s="901"/>
      <c r="IL35" s="901"/>
      <c r="IM35" s="901"/>
      <c r="IN35" s="901"/>
      <c r="IO35" s="901"/>
      <c r="IP35" s="901"/>
      <c r="IQ35" s="901"/>
      <c r="IR35" s="901"/>
      <c r="IS35" s="901"/>
      <c r="IT35" s="901"/>
      <c r="IU35" s="901"/>
      <c r="IV35" s="901"/>
    </row>
    <row r="36" spans="1:256" ht="12.75" customHeight="1" x14ac:dyDescent="0.2">
      <c r="A36" s="912" t="s">
        <v>456</v>
      </c>
      <c r="B36" s="1259">
        <f>'Standard Vorgaben'!C185</f>
        <v>0</v>
      </c>
      <c r="C36" s="224">
        <f t="shared" si="2"/>
        <v>0</v>
      </c>
      <c r="D36" s="1278">
        <v>0</v>
      </c>
      <c r="E36" s="901"/>
      <c r="F36" s="901"/>
      <c r="G36" s="901"/>
      <c r="H36" s="901"/>
      <c r="I36" s="901"/>
      <c r="J36" s="901"/>
      <c r="K36" s="901"/>
      <c r="L36" s="901"/>
      <c r="M36" s="901"/>
      <c r="N36" s="901"/>
      <c r="O36" s="901"/>
      <c r="P36" s="901"/>
      <c r="Q36" s="901"/>
      <c r="R36" s="901"/>
      <c r="S36" s="901"/>
      <c r="T36" s="901"/>
      <c r="U36" s="901"/>
      <c r="V36" s="901"/>
      <c r="W36" s="901"/>
      <c r="X36" s="901"/>
      <c r="Y36" s="901"/>
      <c r="Z36" s="901"/>
      <c r="AA36" s="901"/>
      <c r="AB36" s="901"/>
      <c r="AC36" s="901"/>
      <c r="AD36" s="901"/>
      <c r="AE36" s="901"/>
      <c r="AF36" s="901"/>
      <c r="AG36" s="901"/>
      <c r="AH36" s="901"/>
      <c r="AI36" s="901"/>
      <c r="AJ36" s="901"/>
      <c r="AK36" s="901"/>
      <c r="AL36" s="901"/>
      <c r="AM36" s="901"/>
      <c r="AN36" s="901"/>
      <c r="AO36" s="901"/>
      <c r="AP36" s="901"/>
      <c r="AQ36" s="901"/>
      <c r="AR36" s="901"/>
      <c r="AS36" s="901"/>
      <c r="AT36" s="901"/>
      <c r="AU36" s="901"/>
      <c r="AV36" s="901"/>
      <c r="AW36" s="901"/>
      <c r="AX36" s="901"/>
      <c r="AY36" s="901"/>
      <c r="AZ36" s="901"/>
      <c r="BA36" s="901"/>
      <c r="BB36" s="901"/>
      <c r="BC36" s="901"/>
      <c r="BD36" s="901"/>
      <c r="BE36" s="901"/>
      <c r="BF36" s="901"/>
      <c r="BG36" s="901"/>
      <c r="BH36" s="901"/>
      <c r="BI36" s="901"/>
      <c r="BJ36" s="901"/>
      <c r="BK36" s="901"/>
      <c r="BL36" s="901"/>
      <c r="BM36" s="901"/>
      <c r="BN36" s="901"/>
      <c r="BO36" s="901"/>
      <c r="BP36" s="901"/>
      <c r="BQ36" s="901"/>
      <c r="BR36" s="901"/>
      <c r="BS36" s="901"/>
      <c r="BT36" s="901"/>
      <c r="BU36" s="901"/>
      <c r="BV36" s="901"/>
      <c r="BW36" s="901"/>
      <c r="BX36" s="901"/>
      <c r="BY36" s="901"/>
      <c r="BZ36" s="901"/>
      <c r="CA36" s="901"/>
      <c r="CB36" s="901"/>
      <c r="CC36" s="901"/>
      <c r="CD36" s="901"/>
      <c r="CE36" s="901"/>
      <c r="CF36" s="901"/>
      <c r="CG36" s="901"/>
      <c r="CH36" s="901"/>
      <c r="CI36" s="901"/>
      <c r="CJ36" s="901"/>
      <c r="CK36" s="901"/>
      <c r="CL36" s="901"/>
      <c r="CM36" s="901"/>
      <c r="CN36" s="901"/>
      <c r="CO36" s="901"/>
      <c r="CP36" s="901"/>
      <c r="CQ36" s="901"/>
      <c r="CR36" s="901"/>
      <c r="CS36" s="901"/>
      <c r="CT36" s="901"/>
      <c r="CU36" s="901"/>
      <c r="CV36" s="901"/>
      <c r="CW36" s="901"/>
      <c r="CX36" s="901"/>
      <c r="CY36" s="901"/>
      <c r="CZ36" s="901"/>
      <c r="DA36" s="901"/>
      <c r="DB36" s="901"/>
      <c r="DC36" s="901"/>
      <c r="DD36" s="901"/>
      <c r="DE36" s="901"/>
      <c r="DF36" s="901"/>
      <c r="DG36" s="901"/>
      <c r="DH36" s="901"/>
      <c r="DI36" s="901"/>
      <c r="DJ36" s="901"/>
      <c r="DK36" s="901"/>
      <c r="DL36" s="901"/>
      <c r="DM36" s="901"/>
      <c r="DN36" s="901"/>
      <c r="DO36" s="901"/>
      <c r="DP36" s="901"/>
      <c r="DQ36" s="901"/>
      <c r="DR36" s="901"/>
      <c r="DS36" s="901"/>
      <c r="DT36" s="901"/>
      <c r="DU36" s="901"/>
      <c r="DV36" s="901"/>
      <c r="DW36" s="901"/>
      <c r="DX36" s="901"/>
      <c r="DY36" s="901"/>
      <c r="DZ36" s="901"/>
      <c r="EA36" s="901"/>
      <c r="EB36" s="901"/>
      <c r="EC36" s="901"/>
      <c r="ED36" s="901"/>
      <c r="EE36" s="901"/>
      <c r="EF36" s="901"/>
      <c r="EG36" s="901"/>
      <c r="EH36" s="901"/>
      <c r="EI36" s="901"/>
      <c r="EJ36" s="901"/>
      <c r="EK36" s="901"/>
      <c r="EL36" s="901"/>
      <c r="EM36" s="901"/>
      <c r="EN36" s="901"/>
      <c r="EO36" s="901"/>
      <c r="EP36" s="901"/>
      <c r="EQ36" s="901"/>
      <c r="ER36" s="901"/>
      <c r="ES36" s="901"/>
      <c r="ET36" s="901"/>
      <c r="EU36" s="901"/>
      <c r="EV36" s="901"/>
      <c r="EW36" s="901"/>
      <c r="EX36" s="901"/>
      <c r="EY36" s="901"/>
      <c r="EZ36" s="901"/>
      <c r="FA36" s="901"/>
      <c r="FB36" s="901"/>
      <c r="FC36" s="901"/>
      <c r="FD36" s="901"/>
      <c r="FE36" s="901"/>
      <c r="FF36" s="901"/>
      <c r="FG36" s="901"/>
      <c r="FH36" s="901"/>
      <c r="FI36" s="901"/>
      <c r="FJ36" s="901"/>
      <c r="FK36" s="901"/>
      <c r="FL36" s="901"/>
      <c r="FM36" s="901"/>
      <c r="FN36" s="901"/>
      <c r="FO36" s="901"/>
      <c r="FP36" s="901"/>
      <c r="FQ36" s="901"/>
      <c r="FR36" s="901"/>
      <c r="FS36" s="901"/>
      <c r="FT36" s="901"/>
      <c r="FU36" s="901"/>
      <c r="FV36" s="901"/>
      <c r="FW36" s="901"/>
      <c r="FX36" s="901"/>
      <c r="FY36" s="901"/>
      <c r="FZ36" s="901"/>
      <c r="GA36" s="901"/>
      <c r="GB36" s="901"/>
      <c r="GC36" s="901"/>
      <c r="GD36" s="901"/>
      <c r="GE36" s="901"/>
      <c r="GF36" s="901"/>
      <c r="GG36" s="901"/>
      <c r="GH36" s="901"/>
      <c r="GI36" s="901"/>
      <c r="GJ36" s="901"/>
      <c r="GK36" s="901"/>
      <c r="GL36" s="901"/>
      <c r="GM36" s="901"/>
      <c r="GN36" s="901"/>
      <c r="GO36" s="901"/>
      <c r="GP36" s="901"/>
      <c r="GQ36" s="901"/>
      <c r="GR36" s="901"/>
      <c r="GS36" s="901"/>
      <c r="GT36" s="901"/>
      <c r="GU36" s="901"/>
      <c r="GV36" s="901"/>
      <c r="GW36" s="901"/>
      <c r="GX36" s="901"/>
      <c r="GY36" s="901"/>
      <c r="GZ36" s="901"/>
      <c r="HA36" s="901"/>
      <c r="HB36" s="901"/>
      <c r="HC36" s="901"/>
      <c r="HD36" s="901"/>
      <c r="HE36" s="901"/>
      <c r="HF36" s="901"/>
      <c r="HG36" s="901"/>
      <c r="HH36" s="901"/>
      <c r="HI36" s="901"/>
      <c r="HJ36" s="901"/>
      <c r="HK36" s="901"/>
      <c r="HL36" s="901"/>
      <c r="HM36" s="901"/>
      <c r="HN36" s="901"/>
      <c r="HO36" s="901"/>
      <c r="HP36" s="901"/>
      <c r="HQ36" s="901"/>
      <c r="HR36" s="901"/>
      <c r="HS36" s="901"/>
      <c r="HT36" s="901"/>
      <c r="HU36" s="901"/>
      <c r="HV36" s="901"/>
      <c r="HW36" s="901"/>
      <c r="HX36" s="901"/>
      <c r="HY36" s="901"/>
      <c r="HZ36" s="901"/>
      <c r="IA36" s="901"/>
      <c r="IB36" s="901"/>
      <c r="IC36" s="901"/>
      <c r="ID36" s="901"/>
      <c r="IE36" s="901"/>
      <c r="IF36" s="901"/>
      <c r="IG36" s="901"/>
      <c r="IH36" s="901"/>
      <c r="II36" s="901"/>
      <c r="IJ36" s="901"/>
      <c r="IK36" s="901"/>
      <c r="IL36" s="901"/>
      <c r="IM36" s="901"/>
      <c r="IN36" s="901"/>
      <c r="IO36" s="901"/>
      <c r="IP36" s="901"/>
      <c r="IQ36" s="901"/>
      <c r="IR36" s="901"/>
      <c r="IS36" s="901"/>
      <c r="IT36" s="901"/>
      <c r="IU36" s="901"/>
      <c r="IV36" s="901"/>
    </row>
    <row r="37" spans="1:256" ht="12.75" customHeight="1" x14ac:dyDescent="0.2">
      <c r="A37" s="912" t="s">
        <v>582</v>
      </c>
      <c r="B37" s="1259">
        <f>'Standard Vorgaben'!C186</f>
        <v>1</v>
      </c>
      <c r="C37" s="224">
        <f t="shared" si="2"/>
        <v>0</v>
      </c>
      <c r="D37" s="1278">
        <v>1</v>
      </c>
      <c r="E37" s="901"/>
      <c r="F37" s="901"/>
      <c r="G37" s="901"/>
      <c r="H37" s="901"/>
      <c r="I37" s="901"/>
      <c r="J37" s="901"/>
      <c r="K37" s="901"/>
      <c r="L37" s="901"/>
      <c r="M37" s="901"/>
      <c r="N37" s="901"/>
      <c r="O37" s="901"/>
      <c r="P37" s="901"/>
      <c r="Q37" s="901"/>
      <c r="R37" s="901"/>
      <c r="S37" s="901"/>
      <c r="T37" s="901"/>
      <c r="U37" s="901"/>
      <c r="V37" s="901"/>
      <c r="W37" s="901"/>
      <c r="X37" s="901"/>
      <c r="Y37" s="901"/>
      <c r="Z37" s="901"/>
      <c r="AA37" s="901"/>
      <c r="AB37" s="901"/>
      <c r="AC37" s="901"/>
      <c r="AD37" s="901"/>
      <c r="AE37" s="901"/>
      <c r="AF37" s="901"/>
      <c r="AG37" s="901"/>
      <c r="AH37" s="901"/>
      <c r="AI37" s="901"/>
      <c r="AJ37" s="901"/>
      <c r="AK37" s="901"/>
      <c r="AL37" s="901"/>
      <c r="AM37" s="901"/>
      <c r="AN37" s="901"/>
      <c r="AO37" s="901"/>
      <c r="AP37" s="901"/>
      <c r="AQ37" s="901"/>
      <c r="AR37" s="901"/>
      <c r="AS37" s="901"/>
      <c r="AT37" s="901"/>
      <c r="AU37" s="901"/>
      <c r="AV37" s="901"/>
      <c r="AW37" s="901"/>
      <c r="AX37" s="901"/>
      <c r="AY37" s="901"/>
      <c r="AZ37" s="901"/>
      <c r="BA37" s="901"/>
      <c r="BB37" s="901"/>
      <c r="BC37" s="901"/>
      <c r="BD37" s="901"/>
      <c r="BE37" s="901"/>
      <c r="BF37" s="901"/>
      <c r="BG37" s="901"/>
      <c r="BH37" s="901"/>
      <c r="BI37" s="901"/>
      <c r="BJ37" s="901"/>
      <c r="BK37" s="901"/>
      <c r="BL37" s="901"/>
      <c r="BM37" s="901"/>
      <c r="BN37" s="901"/>
      <c r="BO37" s="901"/>
      <c r="BP37" s="901"/>
      <c r="BQ37" s="901"/>
      <c r="BR37" s="901"/>
      <c r="BS37" s="901"/>
      <c r="BT37" s="901"/>
      <c r="BU37" s="901"/>
      <c r="BV37" s="901"/>
      <c r="BW37" s="901"/>
      <c r="BX37" s="901"/>
      <c r="BY37" s="901"/>
      <c r="BZ37" s="901"/>
      <c r="CA37" s="901"/>
      <c r="CB37" s="901"/>
      <c r="CC37" s="901"/>
      <c r="CD37" s="901"/>
      <c r="CE37" s="901"/>
      <c r="CF37" s="901"/>
      <c r="CG37" s="901"/>
      <c r="CH37" s="901"/>
      <c r="CI37" s="901"/>
      <c r="CJ37" s="901"/>
      <c r="CK37" s="901"/>
      <c r="CL37" s="901"/>
      <c r="CM37" s="901"/>
      <c r="CN37" s="901"/>
      <c r="CO37" s="901"/>
      <c r="CP37" s="901"/>
      <c r="CQ37" s="901"/>
      <c r="CR37" s="901"/>
      <c r="CS37" s="901"/>
      <c r="CT37" s="901"/>
      <c r="CU37" s="901"/>
      <c r="CV37" s="901"/>
      <c r="CW37" s="901"/>
      <c r="CX37" s="901"/>
      <c r="CY37" s="901"/>
      <c r="CZ37" s="901"/>
      <c r="DA37" s="901"/>
      <c r="DB37" s="901"/>
      <c r="DC37" s="901"/>
      <c r="DD37" s="901"/>
      <c r="DE37" s="901"/>
      <c r="DF37" s="901"/>
      <c r="DG37" s="901"/>
      <c r="DH37" s="901"/>
      <c r="DI37" s="901"/>
      <c r="DJ37" s="901"/>
      <c r="DK37" s="901"/>
      <c r="DL37" s="901"/>
      <c r="DM37" s="901"/>
      <c r="DN37" s="901"/>
      <c r="DO37" s="901"/>
      <c r="DP37" s="901"/>
      <c r="DQ37" s="901"/>
      <c r="DR37" s="901"/>
      <c r="DS37" s="901"/>
      <c r="DT37" s="901"/>
      <c r="DU37" s="901"/>
      <c r="DV37" s="901"/>
      <c r="DW37" s="901"/>
      <c r="DX37" s="901"/>
      <c r="DY37" s="901"/>
      <c r="DZ37" s="901"/>
      <c r="EA37" s="901"/>
      <c r="EB37" s="901"/>
      <c r="EC37" s="901"/>
      <c r="ED37" s="901"/>
      <c r="EE37" s="901"/>
      <c r="EF37" s="901"/>
      <c r="EG37" s="901"/>
      <c r="EH37" s="901"/>
      <c r="EI37" s="901"/>
      <c r="EJ37" s="901"/>
      <c r="EK37" s="901"/>
      <c r="EL37" s="901"/>
      <c r="EM37" s="901"/>
      <c r="EN37" s="901"/>
      <c r="EO37" s="901"/>
      <c r="EP37" s="901"/>
      <c r="EQ37" s="901"/>
      <c r="ER37" s="901"/>
      <c r="ES37" s="901"/>
      <c r="ET37" s="901"/>
      <c r="EU37" s="901"/>
      <c r="EV37" s="901"/>
      <c r="EW37" s="901"/>
      <c r="EX37" s="901"/>
      <c r="EY37" s="901"/>
      <c r="EZ37" s="901"/>
      <c r="FA37" s="901"/>
      <c r="FB37" s="901"/>
      <c r="FC37" s="901"/>
      <c r="FD37" s="901"/>
      <c r="FE37" s="901"/>
      <c r="FF37" s="901"/>
      <c r="FG37" s="901"/>
      <c r="FH37" s="901"/>
      <c r="FI37" s="901"/>
      <c r="FJ37" s="901"/>
      <c r="FK37" s="901"/>
      <c r="FL37" s="901"/>
      <c r="FM37" s="901"/>
      <c r="FN37" s="901"/>
      <c r="FO37" s="901"/>
      <c r="FP37" s="901"/>
      <c r="FQ37" s="901"/>
      <c r="FR37" s="901"/>
      <c r="FS37" s="901"/>
      <c r="FT37" s="901"/>
      <c r="FU37" s="901"/>
      <c r="FV37" s="901"/>
      <c r="FW37" s="901"/>
      <c r="FX37" s="901"/>
      <c r="FY37" s="901"/>
      <c r="FZ37" s="901"/>
      <c r="GA37" s="901"/>
      <c r="GB37" s="901"/>
      <c r="GC37" s="901"/>
      <c r="GD37" s="901"/>
      <c r="GE37" s="901"/>
      <c r="GF37" s="901"/>
      <c r="GG37" s="901"/>
      <c r="GH37" s="901"/>
      <c r="GI37" s="901"/>
      <c r="GJ37" s="901"/>
      <c r="GK37" s="901"/>
      <c r="GL37" s="901"/>
      <c r="GM37" s="901"/>
      <c r="GN37" s="901"/>
      <c r="GO37" s="901"/>
      <c r="GP37" s="901"/>
      <c r="GQ37" s="901"/>
      <c r="GR37" s="901"/>
      <c r="GS37" s="901"/>
      <c r="GT37" s="901"/>
      <c r="GU37" s="901"/>
      <c r="GV37" s="901"/>
      <c r="GW37" s="901"/>
      <c r="GX37" s="901"/>
      <c r="GY37" s="901"/>
      <c r="GZ37" s="901"/>
      <c r="HA37" s="901"/>
      <c r="HB37" s="901"/>
      <c r="HC37" s="901"/>
      <c r="HD37" s="901"/>
      <c r="HE37" s="901"/>
      <c r="HF37" s="901"/>
      <c r="HG37" s="901"/>
      <c r="HH37" s="901"/>
      <c r="HI37" s="901"/>
      <c r="HJ37" s="901"/>
      <c r="HK37" s="901"/>
      <c r="HL37" s="901"/>
      <c r="HM37" s="901"/>
      <c r="HN37" s="901"/>
      <c r="HO37" s="901"/>
      <c r="HP37" s="901"/>
      <c r="HQ37" s="901"/>
      <c r="HR37" s="901"/>
      <c r="HS37" s="901"/>
      <c r="HT37" s="901"/>
      <c r="HU37" s="901"/>
      <c r="HV37" s="901"/>
      <c r="HW37" s="901"/>
      <c r="HX37" s="901"/>
      <c r="HY37" s="901"/>
      <c r="HZ37" s="901"/>
      <c r="IA37" s="901"/>
      <c r="IB37" s="901"/>
      <c r="IC37" s="901"/>
      <c r="ID37" s="901"/>
      <c r="IE37" s="901"/>
      <c r="IF37" s="901"/>
      <c r="IG37" s="901"/>
      <c r="IH37" s="901"/>
      <c r="II37" s="901"/>
      <c r="IJ37" s="901"/>
      <c r="IK37" s="901"/>
      <c r="IL37" s="901"/>
      <c r="IM37" s="901"/>
      <c r="IN37" s="901"/>
      <c r="IO37" s="901"/>
      <c r="IP37" s="901"/>
      <c r="IQ37" s="901"/>
      <c r="IR37" s="901"/>
      <c r="IS37" s="901"/>
      <c r="IT37" s="901"/>
      <c r="IU37" s="901"/>
      <c r="IV37" s="901"/>
    </row>
    <row r="38" spans="1:256" ht="12.75" customHeight="1" thickBot="1" x14ac:dyDescent="0.25">
      <c r="A38" s="226" t="s">
        <v>431</v>
      </c>
      <c r="B38" s="1262">
        <f>'Standard Vorgaben'!C181</f>
        <v>0</v>
      </c>
      <c r="C38" s="224">
        <f t="shared" si="2"/>
        <v>0</v>
      </c>
      <c r="D38" s="1281">
        <v>0</v>
      </c>
      <c r="E38" s="901"/>
      <c r="F38" s="901"/>
      <c r="G38" s="901"/>
      <c r="H38" s="901"/>
      <c r="I38" s="901"/>
      <c r="J38" s="901"/>
      <c r="K38" s="901"/>
      <c r="L38" s="901"/>
      <c r="M38" s="901"/>
      <c r="N38" s="901"/>
      <c r="O38" s="901"/>
      <c r="P38" s="901"/>
      <c r="Q38" s="901"/>
      <c r="R38" s="901"/>
      <c r="S38" s="901"/>
      <c r="T38" s="901"/>
      <c r="U38" s="901"/>
      <c r="V38" s="901"/>
      <c r="W38" s="901"/>
      <c r="X38" s="901"/>
      <c r="Y38" s="901"/>
      <c r="Z38" s="901"/>
      <c r="AA38" s="901"/>
      <c r="AB38" s="901"/>
      <c r="AC38" s="901"/>
      <c r="AD38" s="901"/>
      <c r="AE38" s="901"/>
      <c r="AF38" s="901"/>
      <c r="AG38" s="901"/>
      <c r="AH38" s="901"/>
      <c r="AI38" s="901"/>
      <c r="AJ38" s="901"/>
      <c r="AK38" s="901"/>
      <c r="AL38" s="901"/>
      <c r="AM38" s="901"/>
      <c r="AN38" s="901"/>
      <c r="AO38" s="901"/>
      <c r="AP38" s="901"/>
      <c r="AQ38" s="901"/>
      <c r="AR38" s="901"/>
      <c r="AS38" s="901"/>
      <c r="AT38" s="901"/>
      <c r="AU38" s="901"/>
      <c r="AV38" s="901"/>
      <c r="AW38" s="901"/>
      <c r="AX38" s="901"/>
      <c r="AY38" s="901"/>
      <c r="AZ38" s="901"/>
      <c r="BA38" s="901"/>
      <c r="BB38" s="901"/>
      <c r="BC38" s="901"/>
      <c r="BD38" s="901"/>
      <c r="BE38" s="901"/>
      <c r="BF38" s="901"/>
      <c r="BG38" s="901"/>
      <c r="BH38" s="901"/>
      <c r="BI38" s="901"/>
      <c r="BJ38" s="901"/>
      <c r="BK38" s="901"/>
      <c r="BL38" s="901"/>
      <c r="BM38" s="901"/>
      <c r="BN38" s="901"/>
      <c r="BO38" s="901"/>
      <c r="BP38" s="901"/>
      <c r="BQ38" s="901"/>
      <c r="BR38" s="901"/>
      <c r="BS38" s="901"/>
      <c r="BT38" s="901"/>
      <c r="BU38" s="901"/>
      <c r="BV38" s="901"/>
      <c r="BW38" s="901"/>
      <c r="BX38" s="901"/>
      <c r="BY38" s="901"/>
      <c r="BZ38" s="901"/>
      <c r="CA38" s="901"/>
      <c r="CB38" s="901"/>
      <c r="CC38" s="901"/>
      <c r="CD38" s="901"/>
      <c r="CE38" s="901"/>
      <c r="CF38" s="901"/>
      <c r="CG38" s="901"/>
      <c r="CH38" s="901"/>
      <c r="CI38" s="901"/>
      <c r="CJ38" s="901"/>
      <c r="CK38" s="901"/>
      <c r="CL38" s="901"/>
      <c r="CM38" s="901"/>
      <c r="CN38" s="901"/>
      <c r="CO38" s="901"/>
      <c r="CP38" s="901"/>
      <c r="CQ38" s="901"/>
      <c r="CR38" s="901"/>
      <c r="CS38" s="901"/>
      <c r="CT38" s="901"/>
      <c r="CU38" s="901"/>
      <c r="CV38" s="901"/>
      <c r="CW38" s="901"/>
      <c r="CX38" s="901"/>
      <c r="CY38" s="901"/>
      <c r="CZ38" s="901"/>
      <c r="DA38" s="901"/>
      <c r="DB38" s="901"/>
      <c r="DC38" s="901"/>
      <c r="DD38" s="901"/>
      <c r="DE38" s="901"/>
      <c r="DF38" s="901"/>
      <c r="DG38" s="901"/>
      <c r="DH38" s="901"/>
      <c r="DI38" s="901"/>
      <c r="DJ38" s="901"/>
      <c r="DK38" s="901"/>
      <c r="DL38" s="901"/>
      <c r="DM38" s="901"/>
      <c r="DN38" s="901"/>
      <c r="DO38" s="901"/>
      <c r="DP38" s="901"/>
      <c r="DQ38" s="901"/>
      <c r="DR38" s="901"/>
      <c r="DS38" s="901"/>
      <c r="DT38" s="901"/>
      <c r="DU38" s="901"/>
      <c r="DV38" s="901"/>
      <c r="DW38" s="901"/>
      <c r="DX38" s="901"/>
      <c r="DY38" s="901"/>
      <c r="DZ38" s="901"/>
      <c r="EA38" s="901"/>
      <c r="EB38" s="901"/>
      <c r="EC38" s="901"/>
      <c r="ED38" s="901"/>
      <c r="EE38" s="901"/>
      <c r="EF38" s="901"/>
      <c r="EG38" s="901"/>
      <c r="EH38" s="901"/>
      <c r="EI38" s="901"/>
      <c r="EJ38" s="901"/>
      <c r="EK38" s="901"/>
      <c r="EL38" s="901"/>
      <c r="EM38" s="901"/>
      <c r="EN38" s="901"/>
      <c r="EO38" s="901"/>
      <c r="EP38" s="901"/>
      <c r="EQ38" s="901"/>
      <c r="ER38" s="901"/>
      <c r="ES38" s="901"/>
      <c r="ET38" s="901"/>
      <c r="EU38" s="901"/>
      <c r="EV38" s="901"/>
      <c r="EW38" s="901"/>
      <c r="EX38" s="901"/>
      <c r="EY38" s="901"/>
      <c r="EZ38" s="901"/>
      <c r="FA38" s="901"/>
      <c r="FB38" s="901"/>
      <c r="FC38" s="901"/>
      <c r="FD38" s="901"/>
      <c r="FE38" s="901"/>
      <c r="FF38" s="901"/>
      <c r="FG38" s="901"/>
      <c r="FH38" s="901"/>
      <c r="FI38" s="901"/>
      <c r="FJ38" s="901"/>
      <c r="FK38" s="901"/>
      <c r="FL38" s="901"/>
      <c r="FM38" s="901"/>
      <c r="FN38" s="901"/>
      <c r="FO38" s="901"/>
      <c r="FP38" s="901"/>
      <c r="FQ38" s="901"/>
      <c r="FR38" s="901"/>
      <c r="FS38" s="901"/>
      <c r="FT38" s="901"/>
      <c r="FU38" s="901"/>
      <c r="FV38" s="901"/>
      <c r="FW38" s="901"/>
      <c r="FX38" s="901"/>
      <c r="FY38" s="901"/>
      <c r="FZ38" s="901"/>
      <c r="GA38" s="901"/>
      <c r="GB38" s="901"/>
      <c r="GC38" s="901"/>
      <c r="GD38" s="901"/>
      <c r="GE38" s="901"/>
      <c r="GF38" s="901"/>
      <c r="GG38" s="901"/>
      <c r="GH38" s="901"/>
      <c r="GI38" s="901"/>
      <c r="GJ38" s="901"/>
      <c r="GK38" s="901"/>
      <c r="GL38" s="901"/>
      <c r="GM38" s="901"/>
      <c r="GN38" s="901"/>
      <c r="GO38" s="901"/>
      <c r="GP38" s="901"/>
      <c r="GQ38" s="901"/>
      <c r="GR38" s="901"/>
      <c r="GS38" s="901"/>
      <c r="GT38" s="901"/>
      <c r="GU38" s="901"/>
      <c r="GV38" s="901"/>
      <c r="GW38" s="901"/>
      <c r="GX38" s="901"/>
      <c r="GY38" s="901"/>
      <c r="GZ38" s="901"/>
      <c r="HA38" s="901"/>
      <c r="HB38" s="901"/>
      <c r="HC38" s="901"/>
      <c r="HD38" s="901"/>
      <c r="HE38" s="901"/>
      <c r="HF38" s="901"/>
      <c r="HG38" s="901"/>
      <c r="HH38" s="901"/>
      <c r="HI38" s="901"/>
      <c r="HJ38" s="901"/>
      <c r="HK38" s="901"/>
      <c r="HL38" s="901"/>
      <c r="HM38" s="901"/>
      <c r="HN38" s="901"/>
      <c r="HO38" s="901"/>
      <c r="HP38" s="901"/>
      <c r="HQ38" s="901"/>
      <c r="HR38" s="901"/>
      <c r="HS38" s="901"/>
      <c r="HT38" s="901"/>
      <c r="HU38" s="901"/>
      <c r="HV38" s="901"/>
      <c r="HW38" s="901"/>
      <c r="HX38" s="901"/>
      <c r="HY38" s="901"/>
      <c r="HZ38" s="901"/>
      <c r="IA38" s="901"/>
      <c r="IB38" s="901"/>
      <c r="IC38" s="901"/>
      <c r="ID38" s="901"/>
      <c r="IE38" s="901"/>
      <c r="IF38" s="901"/>
      <c r="IG38" s="901"/>
      <c r="IH38" s="901"/>
      <c r="II38" s="901"/>
      <c r="IJ38" s="901"/>
      <c r="IK38" s="901"/>
      <c r="IL38" s="901"/>
      <c r="IM38" s="901"/>
      <c r="IN38" s="901"/>
      <c r="IO38" s="901"/>
      <c r="IP38" s="901"/>
      <c r="IQ38" s="901"/>
      <c r="IR38" s="901"/>
      <c r="IS38" s="901"/>
      <c r="IT38" s="901"/>
      <c r="IU38" s="901"/>
      <c r="IV38" s="901"/>
    </row>
    <row r="39" spans="1:256" ht="12.75" customHeight="1" x14ac:dyDescent="0.2">
      <c r="A39" s="901"/>
      <c r="B39" s="901"/>
      <c r="C39" s="901"/>
      <c r="D39" s="901"/>
      <c r="E39" s="901"/>
      <c r="F39" s="901"/>
      <c r="G39" s="901"/>
      <c r="H39" s="901"/>
      <c r="I39" s="901"/>
      <c r="J39" s="901"/>
      <c r="K39" s="901"/>
      <c r="L39" s="901"/>
      <c r="M39" s="901"/>
      <c r="N39" s="901"/>
      <c r="O39" s="901"/>
      <c r="P39" s="901"/>
      <c r="Q39" s="901"/>
      <c r="R39" s="901"/>
      <c r="S39" s="901"/>
      <c r="T39" s="901"/>
      <c r="U39" s="901"/>
      <c r="V39" s="901"/>
      <c r="W39" s="901"/>
      <c r="X39" s="901"/>
      <c r="Y39" s="901"/>
      <c r="Z39" s="901"/>
      <c r="AA39" s="901"/>
      <c r="AB39" s="901"/>
      <c r="AC39" s="901"/>
      <c r="AD39" s="901"/>
      <c r="AE39" s="901"/>
      <c r="AF39" s="901"/>
      <c r="AG39" s="901"/>
      <c r="AH39" s="901"/>
      <c r="AI39" s="901"/>
      <c r="AJ39" s="901"/>
      <c r="AK39" s="901"/>
      <c r="AL39" s="901"/>
      <c r="AM39" s="901"/>
      <c r="AN39" s="901"/>
      <c r="AO39" s="901"/>
      <c r="AP39" s="901"/>
      <c r="AQ39" s="901"/>
      <c r="AR39" s="901"/>
      <c r="AS39" s="901"/>
      <c r="AT39" s="901"/>
      <c r="AU39" s="901"/>
      <c r="AV39" s="901"/>
      <c r="AW39" s="901"/>
      <c r="AX39" s="901"/>
      <c r="AY39" s="901"/>
      <c r="AZ39" s="901"/>
      <c r="BA39" s="901"/>
      <c r="BB39" s="901"/>
      <c r="BC39" s="901"/>
      <c r="BD39" s="901"/>
      <c r="BE39" s="901"/>
      <c r="BF39" s="901"/>
      <c r="BG39" s="901"/>
      <c r="BH39" s="901"/>
      <c r="BI39" s="901"/>
      <c r="BJ39" s="901"/>
      <c r="BK39" s="901"/>
      <c r="BL39" s="901"/>
      <c r="BM39" s="901"/>
      <c r="BN39" s="901"/>
      <c r="BO39" s="901"/>
      <c r="BP39" s="901"/>
      <c r="BQ39" s="901"/>
      <c r="BR39" s="901"/>
      <c r="BS39" s="901"/>
      <c r="BT39" s="901"/>
      <c r="BU39" s="901"/>
      <c r="BV39" s="901"/>
      <c r="BW39" s="901"/>
      <c r="BX39" s="901"/>
      <c r="BY39" s="901"/>
      <c r="BZ39" s="901"/>
      <c r="CA39" s="901"/>
      <c r="CB39" s="901"/>
      <c r="CC39" s="901"/>
      <c r="CD39" s="901"/>
      <c r="CE39" s="901"/>
      <c r="CF39" s="901"/>
      <c r="CG39" s="901"/>
      <c r="CH39" s="901"/>
      <c r="CI39" s="901"/>
      <c r="CJ39" s="901"/>
      <c r="CK39" s="901"/>
      <c r="CL39" s="901"/>
      <c r="CM39" s="901"/>
      <c r="CN39" s="901"/>
      <c r="CO39" s="901"/>
      <c r="CP39" s="901"/>
      <c r="CQ39" s="901"/>
      <c r="CR39" s="901"/>
      <c r="CS39" s="901"/>
      <c r="CT39" s="901"/>
      <c r="CU39" s="901"/>
      <c r="CV39" s="901"/>
      <c r="CW39" s="901"/>
      <c r="CX39" s="901"/>
      <c r="CY39" s="901"/>
      <c r="CZ39" s="901"/>
      <c r="DA39" s="901"/>
      <c r="DB39" s="901"/>
      <c r="DC39" s="901"/>
      <c r="DD39" s="901"/>
      <c r="DE39" s="901"/>
      <c r="DF39" s="901"/>
      <c r="DG39" s="901"/>
      <c r="DH39" s="901"/>
      <c r="DI39" s="901"/>
      <c r="DJ39" s="901"/>
      <c r="DK39" s="901"/>
      <c r="DL39" s="901"/>
      <c r="DM39" s="901"/>
      <c r="DN39" s="901"/>
      <c r="DO39" s="901"/>
      <c r="DP39" s="901"/>
      <c r="DQ39" s="901"/>
      <c r="DR39" s="901"/>
      <c r="DS39" s="901"/>
      <c r="DT39" s="901"/>
      <c r="DU39" s="901"/>
      <c r="DV39" s="901"/>
      <c r="DW39" s="901"/>
      <c r="DX39" s="901"/>
      <c r="DY39" s="901"/>
      <c r="DZ39" s="901"/>
      <c r="EA39" s="901"/>
      <c r="EB39" s="901"/>
      <c r="EC39" s="901"/>
      <c r="ED39" s="901"/>
      <c r="EE39" s="901"/>
      <c r="EF39" s="901"/>
      <c r="EG39" s="901"/>
      <c r="EH39" s="901"/>
      <c r="EI39" s="901"/>
      <c r="EJ39" s="901"/>
      <c r="EK39" s="901"/>
      <c r="EL39" s="901"/>
      <c r="EM39" s="901"/>
      <c r="EN39" s="901"/>
      <c r="EO39" s="901"/>
      <c r="EP39" s="901"/>
      <c r="EQ39" s="901"/>
      <c r="ER39" s="901"/>
      <c r="ES39" s="901"/>
      <c r="ET39" s="901"/>
      <c r="EU39" s="901"/>
      <c r="EV39" s="901"/>
      <c r="EW39" s="901"/>
      <c r="EX39" s="901"/>
      <c r="EY39" s="901"/>
      <c r="EZ39" s="901"/>
      <c r="FA39" s="901"/>
      <c r="FB39" s="901"/>
      <c r="FC39" s="901"/>
      <c r="FD39" s="901"/>
      <c r="FE39" s="901"/>
      <c r="FF39" s="901"/>
      <c r="FG39" s="901"/>
      <c r="FH39" s="901"/>
      <c r="FI39" s="901"/>
      <c r="FJ39" s="901"/>
      <c r="FK39" s="901"/>
      <c r="FL39" s="901"/>
      <c r="FM39" s="901"/>
      <c r="FN39" s="901"/>
      <c r="FO39" s="901"/>
      <c r="FP39" s="901"/>
      <c r="FQ39" s="901"/>
      <c r="FR39" s="901"/>
      <c r="FS39" s="901"/>
      <c r="FT39" s="901"/>
      <c r="FU39" s="901"/>
      <c r="FV39" s="901"/>
      <c r="FW39" s="901"/>
      <c r="FX39" s="901"/>
      <c r="FY39" s="901"/>
      <c r="FZ39" s="901"/>
      <c r="GA39" s="901"/>
      <c r="GB39" s="901"/>
      <c r="GC39" s="901"/>
      <c r="GD39" s="901"/>
      <c r="GE39" s="901"/>
      <c r="GF39" s="901"/>
      <c r="GG39" s="901"/>
      <c r="GH39" s="901"/>
      <c r="GI39" s="901"/>
      <c r="GJ39" s="901"/>
      <c r="GK39" s="901"/>
      <c r="GL39" s="901"/>
      <c r="GM39" s="901"/>
      <c r="GN39" s="901"/>
      <c r="GO39" s="901"/>
      <c r="GP39" s="901"/>
      <c r="GQ39" s="901"/>
      <c r="GR39" s="901"/>
      <c r="GS39" s="901"/>
      <c r="GT39" s="901"/>
      <c r="GU39" s="901"/>
      <c r="GV39" s="901"/>
      <c r="GW39" s="901"/>
      <c r="GX39" s="901"/>
      <c r="GY39" s="901"/>
      <c r="GZ39" s="901"/>
      <c r="HA39" s="901"/>
      <c r="HB39" s="901"/>
      <c r="HC39" s="901"/>
      <c r="HD39" s="901"/>
      <c r="HE39" s="901"/>
      <c r="HF39" s="901"/>
      <c r="HG39" s="901"/>
      <c r="HH39" s="901"/>
      <c r="HI39" s="901"/>
      <c r="HJ39" s="901"/>
      <c r="HK39" s="901"/>
      <c r="HL39" s="901"/>
      <c r="HM39" s="901"/>
      <c r="HN39" s="901"/>
      <c r="HO39" s="901"/>
      <c r="HP39" s="901"/>
      <c r="HQ39" s="901"/>
      <c r="HR39" s="901"/>
      <c r="HS39" s="901"/>
      <c r="HT39" s="901"/>
      <c r="HU39" s="901"/>
      <c r="HV39" s="901"/>
      <c r="HW39" s="901"/>
      <c r="HX39" s="901"/>
      <c r="HY39" s="901"/>
      <c r="HZ39" s="901"/>
      <c r="IA39" s="901"/>
      <c r="IB39" s="901"/>
      <c r="IC39" s="901"/>
      <c r="ID39" s="901"/>
      <c r="IE39" s="901"/>
      <c r="IF39" s="901"/>
      <c r="IG39" s="901"/>
      <c r="IH39" s="901"/>
      <c r="II39" s="901"/>
      <c r="IJ39" s="901"/>
      <c r="IK39" s="901"/>
      <c r="IL39" s="901"/>
      <c r="IM39" s="901"/>
      <c r="IN39" s="901"/>
      <c r="IO39" s="901"/>
      <c r="IP39" s="901"/>
      <c r="IQ39" s="901"/>
      <c r="IR39" s="901"/>
      <c r="IS39" s="901"/>
      <c r="IT39" s="901"/>
      <c r="IU39" s="901"/>
      <c r="IV39" s="901"/>
    </row>
    <row r="40" spans="1:256" ht="12.75" customHeight="1" x14ac:dyDescent="0.2">
      <c r="A40" s="901"/>
      <c r="B40" s="901"/>
      <c r="C40" s="901"/>
      <c r="D40" s="901"/>
      <c r="E40" s="901"/>
      <c r="F40" s="901"/>
      <c r="G40" s="901"/>
      <c r="H40" s="901"/>
      <c r="I40" s="901"/>
      <c r="J40" s="901"/>
      <c r="K40" s="901"/>
      <c r="L40" s="901"/>
      <c r="M40" s="901"/>
      <c r="N40" s="901"/>
      <c r="O40" s="901"/>
      <c r="P40" s="901"/>
      <c r="Q40" s="901"/>
      <c r="R40" s="901"/>
      <c r="S40" s="901"/>
      <c r="T40" s="901"/>
      <c r="U40" s="901"/>
      <c r="V40" s="901"/>
      <c r="W40" s="901"/>
      <c r="X40" s="901"/>
      <c r="Y40" s="901"/>
      <c r="Z40" s="901"/>
      <c r="AA40" s="901"/>
      <c r="AB40" s="901"/>
      <c r="AC40" s="901"/>
      <c r="AD40" s="901"/>
      <c r="AE40" s="901"/>
      <c r="AF40" s="901"/>
      <c r="AG40" s="901"/>
      <c r="AH40" s="901"/>
      <c r="AI40" s="901"/>
      <c r="AJ40" s="901"/>
      <c r="AK40" s="901"/>
      <c r="AL40" s="901"/>
      <c r="AM40" s="901"/>
      <c r="AN40" s="901"/>
      <c r="AO40" s="901"/>
      <c r="AP40" s="901"/>
      <c r="AQ40" s="901"/>
      <c r="AR40" s="901"/>
      <c r="AS40" s="901"/>
      <c r="AT40" s="901"/>
      <c r="AU40" s="901"/>
      <c r="AV40" s="901"/>
      <c r="AW40" s="901"/>
      <c r="AX40" s="901"/>
      <c r="AY40" s="901"/>
      <c r="AZ40" s="901"/>
      <c r="BA40" s="901"/>
      <c r="BB40" s="901"/>
      <c r="BC40" s="901"/>
      <c r="BD40" s="901"/>
      <c r="BE40" s="901"/>
      <c r="BF40" s="901"/>
      <c r="BG40" s="901"/>
      <c r="BH40" s="901"/>
      <c r="BI40" s="901"/>
      <c r="BJ40" s="901"/>
      <c r="BK40" s="901"/>
      <c r="BL40" s="901"/>
      <c r="BM40" s="901"/>
      <c r="BN40" s="901"/>
      <c r="BO40" s="901"/>
      <c r="BP40" s="901"/>
      <c r="BQ40" s="901"/>
      <c r="BR40" s="901"/>
      <c r="BS40" s="901"/>
      <c r="BT40" s="901"/>
      <c r="BU40" s="901"/>
      <c r="BV40" s="901"/>
      <c r="BW40" s="901"/>
      <c r="BX40" s="901"/>
      <c r="BY40" s="901"/>
      <c r="BZ40" s="901"/>
      <c r="CA40" s="901"/>
      <c r="CB40" s="901"/>
      <c r="CC40" s="901"/>
      <c r="CD40" s="901"/>
      <c r="CE40" s="901"/>
      <c r="CF40" s="901"/>
      <c r="CG40" s="901"/>
      <c r="CH40" s="901"/>
      <c r="CI40" s="901"/>
      <c r="CJ40" s="901"/>
      <c r="CK40" s="901"/>
      <c r="CL40" s="901"/>
      <c r="CM40" s="901"/>
      <c r="CN40" s="901"/>
      <c r="CO40" s="901"/>
      <c r="CP40" s="901"/>
      <c r="CQ40" s="901"/>
      <c r="CR40" s="901"/>
      <c r="CS40" s="901"/>
      <c r="CT40" s="901"/>
      <c r="CU40" s="901"/>
      <c r="CV40" s="901"/>
      <c r="CW40" s="901"/>
      <c r="CX40" s="901"/>
      <c r="CY40" s="901"/>
      <c r="CZ40" s="901"/>
      <c r="DA40" s="901"/>
      <c r="DB40" s="901"/>
      <c r="DC40" s="901"/>
      <c r="DD40" s="901"/>
      <c r="DE40" s="901"/>
      <c r="DF40" s="901"/>
      <c r="DG40" s="901"/>
      <c r="DH40" s="901"/>
      <c r="DI40" s="901"/>
      <c r="DJ40" s="901"/>
      <c r="DK40" s="901"/>
      <c r="DL40" s="901"/>
      <c r="DM40" s="901"/>
      <c r="DN40" s="901"/>
      <c r="DO40" s="901"/>
      <c r="DP40" s="901"/>
      <c r="DQ40" s="901"/>
      <c r="DR40" s="901"/>
      <c r="DS40" s="901"/>
      <c r="DT40" s="901"/>
      <c r="DU40" s="901"/>
      <c r="DV40" s="901"/>
      <c r="DW40" s="901"/>
      <c r="DX40" s="901"/>
      <c r="DY40" s="901"/>
      <c r="DZ40" s="901"/>
      <c r="EA40" s="901"/>
      <c r="EB40" s="901"/>
      <c r="EC40" s="901"/>
      <c r="ED40" s="901"/>
      <c r="EE40" s="901"/>
      <c r="EF40" s="901"/>
      <c r="EG40" s="901"/>
      <c r="EH40" s="901"/>
      <c r="EI40" s="901"/>
      <c r="EJ40" s="901"/>
      <c r="EK40" s="901"/>
      <c r="EL40" s="901"/>
      <c r="EM40" s="901"/>
      <c r="EN40" s="901"/>
      <c r="EO40" s="901"/>
      <c r="EP40" s="901"/>
      <c r="EQ40" s="901"/>
      <c r="ER40" s="901"/>
      <c r="ES40" s="901"/>
      <c r="ET40" s="901"/>
      <c r="EU40" s="901"/>
      <c r="EV40" s="901"/>
      <c r="EW40" s="901"/>
      <c r="EX40" s="901"/>
      <c r="EY40" s="901"/>
      <c r="EZ40" s="901"/>
      <c r="FA40" s="901"/>
      <c r="FB40" s="901"/>
      <c r="FC40" s="901"/>
      <c r="FD40" s="901"/>
      <c r="FE40" s="901"/>
      <c r="FF40" s="901"/>
      <c r="FG40" s="901"/>
      <c r="FH40" s="901"/>
      <c r="FI40" s="901"/>
      <c r="FJ40" s="901"/>
      <c r="FK40" s="901"/>
      <c r="FL40" s="901"/>
      <c r="FM40" s="901"/>
      <c r="FN40" s="901"/>
      <c r="FO40" s="901"/>
      <c r="FP40" s="901"/>
      <c r="FQ40" s="901"/>
      <c r="FR40" s="901"/>
      <c r="FS40" s="901"/>
      <c r="FT40" s="901"/>
      <c r="FU40" s="901"/>
      <c r="FV40" s="901"/>
      <c r="FW40" s="901"/>
      <c r="FX40" s="901"/>
      <c r="FY40" s="901"/>
      <c r="FZ40" s="901"/>
      <c r="GA40" s="901"/>
      <c r="GB40" s="901"/>
      <c r="GC40" s="901"/>
      <c r="GD40" s="901"/>
      <c r="GE40" s="901"/>
      <c r="GF40" s="901"/>
      <c r="GG40" s="901"/>
      <c r="GH40" s="901"/>
      <c r="GI40" s="901"/>
      <c r="GJ40" s="901"/>
      <c r="GK40" s="901"/>
      <c r="GL40" s="901"/>
      <c r="GM40" s="901"/>
      <c r="GN40" s="901"/>
      <c r="GO40" s="901"/>
      <c r="GP40" s="901"/>
      <c r="GQ40" s="901"/>
      <c r="GR40" s="901"/>
      <c r="GS40" s="901"/>
      <c r="GT40" s="901"/>
      <c r="GU40" s="901"/>
      <c r="GV40" s="901"/>
      <c r="GW40" s="901"/>
      <c r="GX40" s="901"/>
      <c r="GY40" s="901"/>
      <c r="GZ40" s="901"/>
      <c r="HA40" s="901"/>
      <c r="HB40" s="901"/>
      <c r="HC40" s="901"/>
      <c r="HD40" s="901"/>
      <c r="HE40" s="901"/>
      <c r="HF40" s="901"/>
      <c r="HG40" s="901"/>
      <c r="HH40" s="901"/>
      <c r="HI40" s="901"/>
      <c r="HJ40" s="901"/>
      <c r="HK40" s="901"/>
      <c r="HL40" s="901"/>
      <c r="HM40" s="901"/>
      <c r="HN40" s="901"/>
      <c r="HO40" s="901"/>
      <c r="HP40" s="901"/>
      <c r="HQ40" s="901"/>
      <c r="HR40" s="901"/>
      <c r="HS40" s="901"/>
      <c r="HT40" s="901"/>
      <c r="HU40" s="901"/>
      <c r="HV40" s="901"/>
      <c r="HW40" s="901"/>
      <c r="HX40" s="901"/>
      <c r="HY40" s="901"/>
      <c r="HZ40" s="901"/>
      <c r="IA40" s="901"/>
      <c r="IB40" s="901"/>
      <c r="IC40" s="901"/>
      <c r="ID40" s="901"/>
      <c r="IE40" s="901"/>
      <c r="IF40" s="901"/>
      <c r="IG40" s="901"/>
      <c r="IH40" s="901"/>
      <c r="II40" s="901"/>
      <c r="IJ40" s="901"/>
      <c r="IK40" s="901"/>
      <c r="IL40" s="901"/>
      <c r="IM40" s="901"/>
      <c r="IN40" s="901"/>
      <c r="IO40" s="901"/>
      <c r="IP40" s="901"/>
      <c r="IQ40" s="901"/>
      <c r="IR40" s="901"/>
      <c r="IS40" s="901"/>
      <c r="IT40" s="901"/>
      <c r="IU40" s="901"/>
      <c r="IV40" s="901"/>
    </row>
    <row r="41" spans="1:256" ht="12.75" customHeight="1" x14ac:dyDescent="0.2">
      <c r="A41" s="901"/>
      <c r="B41" s="901"/>
      <c r="C41" s="901"/>
      <c r="D41" s="901"/>
      <c r="E41" s="901"/>
      <c r="F41" s="901"/>
      <c r="G41" s="901"/>
      <c r="H41" s="901"/>
      <c r="I41" s="901"/>
      <c r="J41" s="901"/>
      <c r="K41" s="901"/>
      <c r="L41" s="901"/>
      <c r="M41" s="901"/>
      <c r="N41" s="901"/>
      <c r="O41" s="901"/>
      <c r="P41" s="901"/>
      <c r="Q41" s="901"/>
      <c r="R41" s="901"/>
      <c r="S41" s="901"/>
      <c r="T41" s="901"/>
      <c r="U41" s="901"/>
      <c r="V41" s="901"/>
      <c r="W41" s="901"/>
      <c r="X41" s="901"/>
      <c r="Y41" s="901"/>
      <c r="Z41" s="901"/>
      <c r="AA41" s="901"/>
      <c r="AB41" s="901"/>
      <c r="AC41" s="901"/>
      <c r="AD41" s="901"/>
      <c r="AE41" s="901"/>
      <c r="AF41" s="901"/>
      <c r="AG41" s="901"/>
      <c r="AH41" s="901"/>
      <c r="AI41" s="901"/>
      <c r="AJ41" s="901"/>
      <c r="AK41" s="901"/>
      <c r="AL41" s="901"/>
      <c r="AM41" s="901"/>
      <c r="AN41" s="901"/>
      <c r="AO41" s="901"/>
      <c r="AP41" s="901"/>
      <c r="AQ41" s="901"/>
      <c r="AR41" s="901"/>
      <c r="AS41" s="901"/>
      <c r="AT41" s="901"/>
      <c r="AU41" s="901"/>
      <c r="AV41" s="901"/>
      <c r="AW41" s="901"/>
      <c r="AX41" s="901"/>
      <c r="AY41" s="901"/>
      <c r="AZ41" s="901"/>
      <c r="BA41" s="901"/>
      <c r="BB41" s="901"/>
      <c r="BC41" s="901"/>
      <c r="BD41" s="901"/>
      <c r="BE41" s="901"/>
      <c r="BF41" s="901"/>
      <c r="BG41" s="901"/>
      <c r="BH41" s="901"/>
      <c r="BI41" s="901"/>
      <c r="BJ41" s="901"/>
      <c r="BK41" s="901"/>
      <c r="BL41" s="901"/>
      <c r="BM41" s="901"/>
      <c r="BN41" s="901"/>
      <c r="BO41" s="901"/>
      <c r="BP41" s="901"/>
      <c r="BQ41" s="901"/>
      <c r="BR41" s="901"/>
      <c r="BS41" s="901"/>
      <c r="BT41" s="901"/>
      <c r="BU41" s="901"/>
      <c r="BV41" s="901"/>
      <c r="BW41" s="901"/>
      <c r="BX41" s="901"/>
      <c r="BY41" s="901"/>
      <c r="BZ41" s="901"/>
      <c r="CA41" s="901"/>
      <c r="CB41" s="901"/>
      <c r="CC41" s="901"/>
      <c r="CD41" s="901"/>
      <c r="CE41" s="901"/>
      <c r="CF41" s="901"/>
      <c r="CG41" s="901"/>
      <c r="CH41" s="901"/>
      <c r="CI41" s="901"/>
      <c r="CJ41" s="901"/>
      <c r="CK41" s="901"/>
      <c r="CL41" s="901"/>
      <c r="CM41" s="901"/>
      <c r="CN41" s="901"/>
      <c r="CO41" s="901"/>
      <c r="CP41" s="901"/>
      <c r="CQ41" s="901"/>
      <c r="CR41" s="901"/>
      <c r="CS41" s="901"/>
      <c r="CT41" s="901"/>
      <c r="CU41" s="901"/>
      <c r="CV41" s="901"/>
      <c r="CW41" s="901"/>
      <c r="CX41" s="901"/>
      <c r="CY41" s="901"/>
      <c r="CZ41" s="901"/>
      <c r="DA41" s="901"/>
      <c r="DB41" s="901"/>
      <c r="DC41" s="901"/>
      <c r="DD41" s="901"/>
      <c r="DE41" s="901"/>
      <c r="DF41" s="901"/>
      <c r="DG41" s="901"/>
      <c r="DH41" s="901"/>
      <c r="DI41" s="901"/>
      <c r="DJ41" s="901"/>
      <c r="DK41" s="901"/>
      <c r="DL41" s="901"/>
      <c r="DM41" s="901"/>
      <c r="DN41" s="901"/>
      <c r="DO41" s="901"/>
      <c r="DP41" s="901"/>
      <c r="DQ41" s="901"/>
      <c r="DR41" s="901"/>
      <c r="DS41" s="901"/>
      <c r="DT41" s="901"/>
      <c r="DU41" s="901"/>
      <c r="DV41" s="901"/>
      <c r="DW41" s="901"/>
      <c r="DX41" s="901"/>
      <c r="DY41" s="901"/>
      <c r="DZ41" s="901"/>
      <c r="EA41" s="901"/>
      <c r="EB41" s="901"/>
      <c r="EC41" s="901"/>
      <c r="ED41" s="901"/>
      <c r="EE41" s="901"/>
      <c r="EF41" s="901"/>
      <c r="EG41" s="901"/>
      <c r="EH41" s="901"/>
      <c r="EI41" s="901"/>
      <c r="EJ41" s="901"/>
      <c r="EK41" s="901"/>
      <c r="EL41" s="901"/>
      <c r="EM41" s="901"/>
      <c r="EN41" s="901"/>
      <c r="EO41" s="901"/>
      <c r="EP41" s="901"/>
      <c r="EQ41" s="901"/>
      <c r="ER41" s="901"/>
      <c r="ES41" s="901"/>
      <c r="ET41" s="901"/>
      <c r="EU41" s="901"/>
      <c r="EV41" s="901"/>
      <c r="EW41" s="901"/>
      <c r="EX41" s="901"/>
      <c r="EY41" s="901"/>
      <c r="EZ41" s="901"/>
      <c r="FA41" s="901"/>
      <c r="FB41" s="901"/>
      <c r="FC41" s="901"/>
      <c r="FD41" s="901"/>
      <c r="FE41" s="901"/>
      <c r="FF41" s="901"/>
      <c r="FG41" s="901"/>
      <c r="FH41" s="901"/>
      <c r="FI41" s="901"/>
      <c r="FJ41" s="901"/>
      <c r="FK41" s="901"/>
      <c r="FL41" s="901"/>
      <c r="FM41" s="901"/>
      <c r="FN41" s="901"/>
      <c r="FO41" s="901"/>
      <c r="FP41" s="901"/>
      <c r="FQ41" s="901"/>
      <c r="FR41" s="901"/>
      <c r="FS41" s="901"/>
      <c r="FT41" s="901"/>
      <c r="FU41" s="901"/>
      <c r="FV41" s="901"/>
      <c r="FW41" s="901"/>
      <c r="FX41" s="901"/>
      <c r="FY41" s="901"/>
      <c r="FZ41" s="901"/>
      <c r="GA41" s="901"/>
      <c r="GB41" s="901"/>
      <c r="GC41" s="901"/>
      <c r="GD41" s="901"/>
      <c r="GE41" s="901"/>
      <c r="GF41" s="901"/>
      <c r="GG41" s="901"/>
      <c r="GH41" s="901"/>
      <c r="GI41" s="901"/>
      <c r="GJ41" s="901"/>
      <c r="GK41" s="901"/>
      <c r="GL41" s="901"/>
      <c r="GM41" s="901"/>
      <c r="GN41" s="901"/>
      <c r="GO41" s="901"/>
      <c r="GP41" s="901"/>
      <c r="GQ41" s="901"/>
      <c r="GR41" s="901"/>
      <c r="GS41" s="901"/>
      <c r="GT41" s="901"/>
      <c r="GU41" s="901"/>
      <c r="GV41" s="901"/>
      <c r="GW41" s="901"/>
      <c r="GX41" s="901"/>
      <c r="GY41" s="901"/>
      <c r="GZ41" s="901"/>
      <c r="HA41" s="901"/>
      <c r="HB41" s="901"/>
      <c r="HC41" s="901"/>
      <c r="HD41" s="901"/>
      <c r="HE41" s="901"/>
      <c r="HF41" s="901"/>
      <c r="HG41" s="901"/>
      <c r="HH41" s="901"/>
      <c r="HI41" s="901"/>
      <c r="HJ41" s="901"/>
      <c r="HK41" s="901"/>
      <c r="HL41" s="901"/>
      <c r="HM41" s="901"/>
      <c r="HN41" s="901"/>
      <c r="HO41" s="901"/>
      <c r="HP41" s="901"/>
      <c r="HQ41" s="901"/>
      <c r="HR41" s="901"/>
      <c r="HS41" s="901"/>
      <c r="HT41" s="901"/>
      <c r="HU41" s="901"/>
      <c r="HV41" s="901"/>
      <c r="HW41" s="901"/>
      <c r="HX41" s="901"/>
      <c r="HY41" s="901"/>
      <c r="HZ41" s="901"/>
      <c r="IA41" s="901"/>
      <c r="IB41" s="901"/>
      <c r="IC41" s="901"/>
      <c r="ID41" s="901"/>
      <c r="IE41" s="901"/>
      <c r="IF41" s="901"/>
      <c r="IG41" s="901"/>
      <c r="IH41" s="901"/>
      <c r="II41" s="901"/>
      <c r="IJ41" s="901"/>
      <c r="IK41" s="901"/>
      <c r="IL41" s="901"/>
      <c r="IM41" s="901"/>
      <c r="IN41" s="901"/>
      <c r="IO41" s="901"/>
      <c r="IP41" s="901"/>
      <c r="IQ41" s="901"/>
      <c r="IR41" s="901"/>
      <c r="IS41" s="901"/>
      <c r="IT41" s="901"/>
      <c r="IU41" s="901"/>
      <c r="IV41" s="901"/>
    </row>
    <row r="42" spans="1:256" x14ac:dyDescent="0.2">
      <c r="A42" s="230"/>
      <c r="B42" s="213"/>
      <c r="C42" s="224"/>
      <c r="D42" s="229"/>
      <c r="E42" s="1"/>
      <c r="F42" s="15"/>
      <c r="G42" s="15"/>
      <c r="H42" s="15"/>
      <c r="I42" s="15"/>
      <c r="J42" s="15"/>
    </row>
    <row r="43" spans="1:256" x14ac:dyDescent="0.2">
      <c r="E43" s="1"/>
      <c r="F43" s="15"/>
      <c r="G43" s="15"/>
      <c r="H43" s="15"/>
      <c r="I43" s="15"/>
      <c r="J43" s="15"/>
    </row>
    <row r="44" spans="1:256" x14ac:dyDescent="0.2">
      <c r="B44" s="231"/>
      <c r="C44" s="224"/>
      <c r="D44" s="232"/>
      <c r="E44" s="1"/>
    </row>
    <row r="45" spans="1:256" s="211" customFormat="1" ht="54" customHeight="1" thickBot="1" x14ac:dyDescent="0.25">
      <c r="A45" s="1350" t="s">
        <v>365</v>
      </c>
      <c r="B45" s="1351"/>
      <c r="C45" s="1351"/>
      <c r="D45" s="1351"/>
      <c r="E45" s="233"/>
      <c r="F45" s="1350" t="s">
        <v>245</v>
      </c>
      <c r="G45" s="1351"/>
      <c r="H45" s="1351"/>
      <c r="I45" s="1351"/>
      <c r="J45" s="1351"/>
    </row>
    <row r="46" spans="1:256" s="211" customFormat="1" ht="33" customHeight="1" x14ac:dyDescent="0.2">
      <c r="A46" s="234"/>
      <c r="B46" s="1228" t="s">
        <v>75</v>
      </c>
      <c r="C46" s="235" t="s">
        <v>122</v>
      </c>
      <c r="D46" s="1282" t="s">
        <v>119</v>
      </c>
      <c r="E46" s="216"/>
      <c r="F46" s="216"/>
      <c r="H46" s="1228" t="s">
        <v>75</v>
      </c>
      <c r="I46" s="235" t="s">
        <v>122</v>
      </c>
      <c r="J46" s="1282" t="s">
        <v>119</v>
      </c>
    </row>
    <row r="47" spans="1:256" s="1" customFormat="1" ht="6.75" customHeight="1" x14ac:dyDescent="0.25">
      <c r="A47" s="98"/>
      <c r="B47" s="1229"/>
      <c r="C47" s="193"/>
      <c r="D47" s="1283"/>
      <c r="H47" s="1292"/>
      <c r="I47" s="73"/>
      <c r="J47" s="1292"/>
    </row>
    <row r="48" spans="1:256" s="211" customFormat="1" ht="38.25" customHeight="1" x14ac:dyDescent="0.2">
      <c r="A48" s="583" t="s">
        <v>348</v>
      </c>
      <c r="B48" s="1230">
        <f>'Standard Ertragsphase'!F12</f>
        <v>42500.000000000015</v>
      </c>
      <c r="C48" s="222">
        <f>IF(OR(B48=0,B48=""),0,(D48/B48)-1)</f>
        <v>0</v>
      </c>
      <c r="D48" s="1230">
        <f>'Var Ertragsphase'!F12</f>
        <v>42500.000000000015</v>
      </c>
      <c r="E48" s="216"/>
      <c r="F48" s="216"/>
      <c r="G48" s="586" t="s">
        <v>350</v>
      </c>
      <c r="H48" s="1293">
        <f>'Standard Ertragsphase'!F75</f>
        <v>28033.96</v>
      </c>
      <c r="I48" s="222">
        <f>IF(OR(H48=0,H48=""),0,(J48/H48)-1)</f>
        <v>0</v>
      </c>
      <c r="J48" s="1293">
        <f>'Var Ertragsphase'!F73</f>
        <v>28033.96</v>
      </c>
    </row>
    <row r="49" spans="1:10" s="211" customFormat="1" ht="12.6" customHeight="1" x14ac:dyDescent="0.2">
      <c r="B49" s="1231"/>
      <c r="D49" s="1231"/>
      <c r="E49" s="216"/>
      <c r="F49" s="216"/>
      <c r="G49" s="252"/>
      <c r="H49" s="1288"/>
      <c r="I49" s="252"/>
      <c r="J49" s="1288"/>
    </row>
    <row r="50" spans="1:10" s="211" customFormat="1" ht="32.25" customHeight="1" x14ac:dyDescent="0.2">
      <c r="A50" s="237" t="s">
        <v>252</v>
      </c>
      <c r="B50" s="1232">
        <f>'Standard Ertragsphase'!F8</f>
        <v>41400.000000000015</v>
      </c>
      <c r="C50" s="224">
        <f>IF(OR(B50=0,B50=""),0,(D50/B50)-1)</f>
        <v>0</v>
      </c>
      <c r="D50" s="1232">
        <f>'Var Ertragsphase'!F8</f>
        <v>41400.000000000015</v>
      </c>
      <c r="E50" s="216"/>
      <c r="F50" s="216"/>
      <c r="G50" s="544" t="s">
        <v>246</v>
      </c>
      <c r="H50" s="1289">
        <f>'Standard Ertragsphase'!F67</f>
        <v>-5253.6050743867963</v>
      </c>
      <c r="I50" s="542">
        <f>((J50+ABS(H50)))/ABS(H50)</f>
        <v>0</v>
      </c>
      <c r="J50" s="1289">
        <f>'Var Ertragsphase'!F65</f>
        <v>-5253.6050743867963</v>
      </c>
    </row>
    <row r="51" spans="1:10" s="211" customFormat="1" ht="32.25" customHeight="1" x14ac:dyDescent="0.2">
      <c r="A51" s="237"/>
      <c r="B51" s="1232"/>
      <c r="C51" s="224"/>
      <c r="D51" s="1232"/>
      <c r="E51" s="216"/>
      <c r="F51" s="216"/>
      <c r="G51" s="544"/>
      <c r="H51" s="1289"/>
      <c r="I51" s="542"/>
      <c r="J51" s="1289"/>
    </row>
    <row r="52" spans="1:10" s="211" customFormat="1" ht="18" customHeight="1" x14ac:dyDescent="0.2">
      <c r="A52" s="237" t="s">
        <v>253</v>
      </c>
      <c r="B52" s="1232">
        <f>'Standard Ertragsphase'!F9</f>
        <v>0</v>
      </c>
      <c r="C52" s="224">
        <f>IF(OR(B52=0,B52=""),0,(D52/B52)-1)</f>
        <v>0</v>
      </c>
      <c r="D52" s="1232">
        <f>'Var Ertragsphase'!F9</f>
        <v>0</v>
      </c>
      <c r="E52" s="216"/>
      <c r="F52" s="216"/>
      <c r="G52" s="252"/>
      <c r="H52" s="1288"/>
      <c r="I52" s="252"/>
      <c r="J52" s="1288"/>
    </row>
    <row r="53" spans="1:10" s="211" customFormat="1" ht="43.5" customHeight="1" x14ac:dyDescent="0.2">
      <c r="A53" s="237"/>
      <c r="B53" s="1232"/>
      <c r="C53" s="224"/>
      <c r="D53" s="1232"/>
      <c r="E53" s="216"/>
      <c r="F53" s="216"/>
      <c r="G53" s="588" t="s">
        <v>351</v>
      </c>
      <c r="H53" s="1290">
        <f>'Standard Ertragsphase'!F68</f>
        <v>0.88998516308448039</v>
      </c>
      <c r="I53" s="223">
        <f>IF(OR(H53=0,H53=""),0,(J53/H53)-1)</f>
        <v>0</v>
      </c>
      <c r="J53" s="1294">
        <f>'Var Ertragsphase'!F66</f>
        <v>0.88998516308448039</v>
      </c>
    </row>
    <row r="54" spans="1:10" s="211" customFormat="1" ht="18" customHeight="1" x14ac:dyDescent="0.2">
      <c r="A54" s="237" t="s">
        <v>247</v>
      </c>
      <c r="B54" s="1232">
        <f>'Standard Ertragsphase'!F11</f>
        <v>1100</v>
      </c>
      <c r="C54" s="224">
        <f>IF(OR(B54=0,B54=""),0,(D54/B54)-1)</f>
        <v>0</v>
      </c>
      <c r="D54" s="1232">
        <f>'Var Ertragsphase'!F11</f>
        <v>1100</v>
      </c>
      <c r="E54" s="216"/>
      <c r="F54" s="216"/>
      <c r="G54" s="252"/>
      <c r="H54" s="1288"/>
      <c r="I54" s="252"/>
      <c r="J54" s="1288"/>
    </row>
    <row r="55" spans="1:10" s="211" customFormat="1" ht="6" customHeight="1" x14ac:dyDescent="0.2">
      <c r="A55" s="238"/>
      <c r="B55" s="1232"/>
      <c r="C55" s="224"/>
      <c r="D55" s="1232"/>
      <c r="E55" s="216"/>
      <c r="F55" s="216"/>
      <c r="G55" s="252"/>
      <c r="H55" s="1288"/>
      <c r="I55" s="252"/>
      <c r="J55" s="1288"/>
    </row>
    <row r="56" spans="1:10" s="211" customFormat="1" ht="12.75" customHeight="1" x14ac:dyDescent="0.2">
      <c r="B56" s="1233"/>
      <c r="C56" s="224"/>
      <c r="D56" s="1233"/>
      <c r="E56" s="216"/>
      <c r="F56" s="216"/>
      <c r="G56" s="252"/>
      <c r="H56" s="1288"/>
      <c r="I56" s="252"/>
      <c r="J56" s="1288"/>
    </row>
    <row r="57" spans="1:10" s="211" customFormat="1" ht="19.5" customHeight="1" x14ac:dyDescent="0.2">
      <c r="A57" s="584" t="s">
        <v>349</v>
      </c>
      <c r="B57" s="1234">
        <f>'Standard Ertragsphase'!F66</f>
        <v>47753.605074386811</v>
      </c>
      <c r="C57" s="223">
        <f>IF(OR(B57=0,B57=""),0,(D57/B57)-1)</f>
        <v>0</v>
      </c>
      <c r="D57" s="1234">
        <f>'Var Ertragsphase'!F64</f>
        <v>47753.605074386811</v>
      </c>
      <c r="E57" s="216"/>
      <c r="F57" s="216"/>
      <c r="G57" s="252"/>
      <c r="H57" s="1288"/>
      <c r="I57" s="252"/>
      <c r="J57" s="1288"/>
    </row>
    <row r="58" spans="1:10" s="211" customFormat="1" ht="59.25" customHeight="1" thickBot="1" x14ac:dyDescent="0.25">
      <c r="A58" s="543"/>
      <c r="B58" s="1235">
        <f>'Standard Ertragsphase'!F79</f>
        <v>1.9101442029754725</v>
      </c>
      <c r="C58" s="224">
        <f>IF(OR(B58=0,B58=""),0,(D58/B58)-1)</f>
        <v>0</v>
      </c>
      <c r="D58" s="1284">
        <f>'Var Ertragsphase'!F77</f>
        <v>1.9101442029754725</v>
      </c>
      <c r="E58" s="216"/>
      <c r="F58" s="216"/>
      <c r="G58" s="591" t="s">
        <v>352</v>
      </c>
      <c r="H58" s="1291">
        <f>'Standard Ertragsphase'!F78</f>
        <v>-4.7050944932990564E-2</v>
      </c>
      <c r="I58" s="592">
        <f>((J58+ABS(H58)))/ABS(H58)</f>
        <v>0</v>
      </c>
      <c r="J58" s="1291">
        <f>'Var Ertragsphase'!F76</f>
        <v>-4.7050944932990564E-2</v>
      </c>
    </row>
    <row r="59" spans="1:10" s="211" customFormat="1" ht="5.0999999999999996" customHeight="1" x14ac:dyDescent="0.2">
      <c r="A59" s="241"/>
      <c r="B59" s="1236"/>
      <c r="C59" s="224"/>
      <c r="D59" s="1285"/>
      <c r="E59" s="216"/>
      <c r="F59" s="216"/>
      <c r="G59" s="252"/>
      <c r="I59" s="252"/>
    </row>
    <row r="60" spans="1:10" s="211" customFormat="1" ht="21.75" customHeight="1" x14ac:dyDescent="0.2">
      <c r="A60" s="585" t="s">
        <v>396</v>
      </c>
      <c r="B60" s="1237">
        <f>'Standard Ertragsphase'!F81</f>
        <v>2.1223824477505242</v>
      </c>
      <c r="C60" s="223">
        <f>IF(OR(B60=0,B60=""),0,(D60/B60)-1)</f>
        <v>0</v>
      </c>
      <c r="D60" s="1237">
        <f>'Var Ertragsphase'!F79</f>
        <v>2.1223824477505242</v>
      </c>
      <c r="E60" s="216"/>
      <c r="F60" s="216"/>
      <c r="G60" s="252"/>
      <c r="I60" s="252"/>
    </row>
    <row r="61" spans="1:10" s="211" customFormat="1" ht="18" customHeight="1" x14ac:dyDescent="0.2">
      <c r="A61" s="239" t="s">
        <v>195</v>
      </c>
      <c r="B61" s="1238">
        <f>'Standard Ertragsphase'!F82</f>
        <v>0</v>
      </c>
      <c r="C61" s="224">
        <f>IF(OR(B61=0,B61=""),0,(D61/B61)-1)</f>
        <v>0</v>
      </c>
      <c r="D61" s="1286">
        <f>'Var Ertragsphase'!F80</f>
        <v>0</v>
      </c>
      <c r="E61" s="216"/>
      <c r="F61" s="216"/>
      <c r="G61" s="252"/>
      <c r="I61" s="252"/>
    </row>
    <row r="62" spans="1:10" s="211" customFormat="1" ht="18" customHeight="1" x14ac:dyDescent="0.2">
      <c r="B62" s="1239"/>
      <c r="C62" s="240"/>
      <c r="D62" s="1287"/>
      <c r="E62" s="216"/>
      <c r="F62" s="216"/>
      <c r="G62" s="252"/>
      <c r="I62" s="252"/>
    </row>
    <row r="63" spans="1:10" s="211" customFormat="1" ht="36" customHeight="1" x14ac:dyDescent="0.2">
      <c r="A63" s="242" t="s">
        <v>248</v>
      </c>
      <c r="B63" s="1240">
        <f>'Standard Erstellung'!G171</f>
        <v>63543.933666666664</v>
      </c>
      <c r="C63" s="243">
        <f>IF(OR(B63=0,B63=""),0,(D63/B63)-1)</f>
        <v>0</v>
      </c>
      <c r="D63" s="1240">
        <f>'Var Erstellung'!G171</f>
        <v>63543.933666666664</v>
      </c>
      <c r="E63" s="216"/>
      <c r="F63" s="216"/>
      <c r="G63" s="252"/>
      <c r="I63" s="252"/>
    </row>
    <row r="64" spans="1:10" s="211" customFormat="1" ht="63" customHeight="1" x14ac:dyDescent="0.2">
      <c r="A64" s="242" t="s">
        <v>249</v>
      </c>
      <c r="B64" s="1240">
        <f>'Standard Ertragsphase'!C30</f>
        <v>93729.108058169775</v>
      </c>
      <c r="C64" s="243">
        <f>IF(OR(B64=0,B64=""),0,(D64/B64)-1)</f>
        <v>0</v>
      </c>
      <c r="D64" s="1240">
        <f>'Var Ertragsphase'!C30</f>
        <v>93729.108058169775</v>
      </c>
      <c r="E64" s="216"/>
      <c r="F64" s="216"/>
      <c r="G64" s="252"/>
      <c r="I64" s="252"/>
    </row>
    <row r="65" spans="1:10" s="211" customFormat="1" ht="44.85" customHeight="1" x14ac:dyDescent="0.2">
      <c r="A65" s="244" t="s">
        <v>250</v>
      </c>
      <c r="B65" s="1241">
        <f>'Standard Ertragsphase'!F30</f>
        <v>6694.9362898692698</v>
      </c>
      <c r="C65" s="245">
        <f>IF(OR(B65=0,B65=""),0,(D65/B65)-1)</f>
        <v>0</v>
      </c>
      <c r="D65" s="1241">
        <f>'Var Ertragsphase'!F30</f>
        <v>6694.9362898692698</v>
      </c>
      <c r="E65" s="216"/>
      <c r="F65" s="216"/>
      <c r="G65" s="589" t="s">
        <v>353</v>
      </c>
      <c r="H65" s="590">
        <f>'Standard Ertragsphase'!F69</f>
        <v>1441.3312154824735</v>
      </c>
      <c r="I65" s="223">
        <f>IF(OR(H65=0,H65=""),0,(J65/H65)-1)</f>
        <v>0</v>
      </c>
      <c r="J65" s="590">
        <f>'Var Ertragsphase'!F67</f>
        <v>1441.3312154824735</v>
      </c>
    </row>
    <row r="66" spans="1:10" ht="23.1" customHeight="1" thickBot="1" x14ac:dyDescent="0.25">
      <c r="A66" s="244" t="s">
        <v>251</v>
      </c>
      <c r="B66" s="1242">
        <f>'Standard Ertragsphase'!F64</f>
        <v>1503.5619725235279</v>
      </c>
      <c r="C66" s="245">
        <f>IF(OR(B66=0,B66=""),0,(D66/B66)-1)</f>
        <v>0</v>
      </c>
      <c r="D66" s="1242">
        <f>'Var Ertragsphase'!F62</f>
        <v>1503.5619725235279</v>
      </c>
      <c r="E66" s="1"/>
    </row>
    <row r="67" spans="1:10" s="211" customFormat="1" ht="14.1" customHeight="1" x14ac:dyDescent="0.2">
      <c r="A67" s="238"/>
      <c r="B67" s="209"/>
      <c r="C67" s="224"/>
      <c r="D67" s="209"/>
      <c r="E67" s="216"/>
      <c r="F67" s="216"/>
    </row>
    <row r="68" spans="1:10" s="211" customFormat="1" ht="54" customHeight="1" x14ac:dyDescent="0.2">
      <c r="A68" s="1350" t="s">
        <v>364</v>
      </c>
      <c r="B68" s="1351"/>
      <c r="C68" s="1351"/>
      <c r="D68" s="1351"/>
      <c r="E68" s="252"/>
      <c r="F68" s="1350" t="s">
        <v>245</v>
      </c>
      <c r="G68" s="1351"/>
      <c r="H68" s="1351"/>
      <c r="I68" s="1351"/>
      <c r="J68" s="1351"/>
    </row>
    <row r="69" spans="1:10" s="211" customFormat="1" ht="33" customHeight="1" x14ac:dyDescent="0.2">
      <c r="A69" s="234"/>
      <c r="B69" s="131" t="s">
        <v>75</v>
      </c>
      <c r="C69" s="235" t="s">
        <v>122</v>
      </c>
      <c r="D69" s="236" t="s">
        <v>119</v>
      </c>
      <c r="E69" s="216"/>
      <c r="F69" s="216"/>
      <c r="H69" s="131" t="s">
        <v>75</v>
      </c>
      <c r="I69" s="235" t="s">
        <v>122</v>
      </c>
      <c r="J69" s="236" t="s">
        <v>119</v>
      </c>
    </row>
    <row r="70" spans="1:10" s="216" customFormat="1" ht="8.85" customHeight="1" x14ac:dyDescent="0.2">
      <c r="A70" s="238"/>
      <c r="B70" s="209"/>
      <c r="C70" s="224"/>
      <c r="D70" s="209"/>
    </row>
    <row r="71" spans="1:10" s="211" customFormat="1" ht="51.75" customHeight="1" x14ac:dyDescent="0.2">
      <c r="A71" s="586" t="s">
        <v>354</v>
      </c>
      <c r="B71" s="587">
        <f>'Standard Ertragsphase'!F74</f>
        <v>25983.956898136727</v>
      </c>
      <c r="C71" s="223">
        <f>IF(OR(B71=0,B71=""),0,(D71/B71)-1)</f>
        <v>0</v>
      </c>
      <c r="D71" s="587">
        <f>'Var Ertragsphase'!F72</f>
        <v>25983.956898136727</v>
      </c>
      <c r="E71" s="593"/>
      <c r="F71" s="593"/>
      <c r="G71" s="589" t="s">
        <v>356</v>
      </c>
      <c r="H71" s="590">
        <f>'Standard Cashflow'!C41</f>
        <v>-80689.681314046</v>
      </c>
      <c r="I71" s="592">
        <f>((J71+ABS(H71)))/ABS(H71)</f>
        <v>0</v>
      </c>
      <c r="J71" s="590">
        <f>'Var Cashflow'!C31</f>
        <v>-80689.681314046</v>
      </c>
    </row>
    <row r="72" spans="1:10" s="216" customFormat="1" ht="33" customHeight="1" x14ac:dyDescent="0.2">
      <c r="A72" s="238" t="s">
        <v>264</v>
      </c>
      <c r="B72" s="246">
        <f>'Standard Ertragsphase'!F32</f>
        <v>16516.043101863288</v>
      </c>
      <c r="C72" s="245">
        <f>IF(OR(B72=0,B72=""),0,(D72/B72)-1)</f>
        <v>0</v>
      </c>
      <c r="D72" s="246">
        <f>'Var Ertragsphase'!F32</f>
        <v>16516.043101863288</v>
      </c>
      <c r="E72" s="252"/>
      <c r="F72" s="252"/>
      <c r="G72" s="544"/>
      <c r="H72" s="550"/>
      <c r="I72" s="224"/>
      <c r="J72" s="550"/>
    </row>
    <row r="73" spans="1:10" s="216" customFormat="1" ht="27.75" customHeight="1" x14ac:dyDescent="0.2">
      <c r="A73" s="238" t="s">
        <v>265</v>
      </c>
      <c r="B73" s="246">
        <f>'Standard Ertragsphase'!F65</f>
        <v>31237.561972523526</v>
      </c>
      <c r="C73" s="245">
        <f>IF(OR(B73=0,B73=""),0,(D73/B73)-1)</f>
        <v>0</v>
      </c>
      <c r="D73" s="246">
        <f>'Var Ertragsphase'!F63</f>
        <v>31237.561972523526</v>
      </c>
      <c r="E73" s="252"/>
      <c r="F73" s="252"/>
      <c r="G73" s="544"/>
      <c r="H73" s="550"/>
      <c r="I73" s="224"/>
      <c r="J73" s="550"/>
    </row>
    <row r="74" spans="1:10" s="211" customFormat="1" ht="12.75" customHeight="1" x14ac:dyDescent="0.2">
      <c r="A74" s="238"/>
      <c r="B74" s="209"/>
      <c r="C74" s="224"/>
      <c r="D74" s="209"/>
      <c r="E74" s="252"/>
      <c r="F74" s="252"/>
      <c r="G74" s="252"/>
      <c r="H74" s="252"/>
      <c r="I74" s="252"/>
      <c r="J74" s="252"/>
    </row>
    <row r="75" spans="1:10" ht="30.75" customHeight="1" x14ac:dyDescent="0.2">
      <c r="A75" s="247" t="s">
        <v>73</v>
      </c>
      <c r="B75" s="246">
        <f>'Standard Ertragsphase'!F70</f>
        <v>24780.105074386811</v>
      </c>
      <c r="C75" s="245">
        <f t="shared" ref="C75:C80" si="3">IF(OR(B75=0,B75=""),0,(D75/B75)-1)</f>
        <v>0</v>
      </c>
      <c r="D75" s="246">
        <f>'Var Ertragsphase'!F68</f>
        <v>24780.105074386811</v>
      </c>
      <c r="E75" s="73"/>
      <c r="F75" s="73"/>
      <c r="G75" s="73"/>
      <c r="H75" s="73"/>
      <c r="I75" s="73"/>
      <c r="J75" s="73"/>
    </row>
    <row r="76" spans="1:10" ht="61.5" customHeight="1" x14ac:dyDescent="0.2">
      <c r="A76" s="598" t="s">
        <v>362</v>
      </c>
      <c r="B76" s="594">
        <f>'Standard Ertragsphase'!F71</f>
        <v>17719.894925613204</v>
      </c>
      <c r="C76" s="595">
        <f t="shared" si="3"/>
        <v>0</v>
      </c>
      <c r="D76" s="594">
        <f>'Var Ertragsphase'!F69</f>
        <v>17719.894925613204</v>
      </c>
      <c r="E76" s="73"/>
      <c r="F76" s="73"/>
      <c r="G76" s="597" t="s">
        <v>270</v>
      </c>
      <c r="H76" s="596">
        <f>'Standard Ertragsphase'!F72</f>
        <v>19.366005383183829</v>
      </c>
      <c r="I76" s="223">
        <f>IF(OR(H76=0,H76=""),0,(J76/H76)-1)</f>
        <v>0</v>
      </c>
      <c r="J76" s="596">
        <f>'Var Ertragsphase'!F70</f>
        <v>19.366005383183829</v>
      </c>
    </row>
    <row r="77" spans="1:10" s="211" customFormat="1" ht="34.5" customHeight="1" x14ac:dyDescent="0.2">
      <c r="A77" s="248" t="s">
        <v>164</v>
      </c>
      <c r="B77" s="551">
        <f>'Standard Ertragsphase'!D61</f>
        <v>915</v>
      </c>
      <c r="C77" s="243">
        <f t="shared" si="3"/>
        <v>0</v>
      </c>
      <c r="D77" s="551">
        <f>'Var Ertragsphase'!D59</f>
        <v>915</v>
      </c>
      <c r="E77" s="252"/>
      <c r="F77" s="252"/>
      <c r="G77" s="252"/>
      <c r="H77" s="252"/>
      <c r="I77" s="252"/>
      <c r="J77" s="252"/>
    </row>
    <row r="78" spans="1:10" s="211" customFormat="1" ht="34.5" customHeight="1" x14ac:dyDescent="0.2">
      <c r="A78" s="237" t="s">
        <v>266</v>
      </c>
      <c r="B78" s="552">
        <f>'Standard Ertragsphase'!B61*'Standard Vorgaben'!C34</f>
        <v>14028.75</v>
      </c>
      <c r="C78" s="245">
        <f t="shared" si="3"/>
        <v>0</v>
      </c>
      <c r="D78" s="552">
        <f>'Var Ertragsphase'!B59*'Var Vorgaben'!C34</f>
        <v>14028.75</v>
      </c>
      <c r="E78" s="252"/>
      <c r="F78" s="252"/>
      <c r="G78" s="252"/>
      <c r="H78" s="252"/>
      <c r="I78" s="252"/>
      <c r="J78" s="252"/>
    </row>
    <row r="79" spans="1:10" s="211" customFormat="1" ht="69" customHeight="1" x14ac:dyDescent="0.2">
      <c r="A79" s="583" t="s">
        <v>355</v>
      </c>
      <c r="B79" s="594">
        <f>B76-B78</f>
        <v>3691.1449256132037</v>
      </c>
      <c r="C79" s="595">
        <f t="shared" si="3"/>
        <v>0</v>
      </c>
      <c r="D79" s="594">
        <f>D76-D78</f>
        <v>3691.1449256132037</v>
      </c>
      <c r="E79" s="252"/>
      <c r="F79" s="252"/>
      <c r="G79" s="598" t="s">
        <v>361</v>
      </c>
      <c r="H79" s="596">
        <f>'Standard Ertragsphase'!F73</f>
        <v>14.061504478526491</v>
      </c>
      <c r="I79" s="223">
        <f>IF(OR(H79=0,H79=""),0,(J79/H79)-1)</f>
        <v>0</v>
      </c>
      <c r="J79" s="596">
        <f>'Var Ertragsphase'!F71</f>
        <v>14.061504478526491</v>
      </c>
    </row>
    <row r="80" spans="1:10" s="211" customFormat="1" ht="25.5" customHeight="1" x14ac:dyDescent="0.2">
      <c r="A80" s="249" t="s">
        <v>165</v>
      </c>
      <c r="B80" s="549">
        <f>'Standard Ertragsphase'!D61-'Standard Ertragsphase'!B61</f>
        <v>262.5</v>
      </c>
      <c r="C80" s="245">
        <f t="shared" si="3"/>
        <v>0</v>
      </c>
      <c r="D80" s="549">
        <f>'Var Ertragsphase'!D59-'Var Ertragsphase'!B59</f>
        <v>262.5</v>
      </c>
      <c r="E80" s="252"/>
      <c r="F80" s="252"/>
      <c r="G80" s="252"/>
      <c r="H80" s="252"/>
      <c r="I80" s="252"/>
      <c r="J80" s="252"/>
    </row>
    <row r="81" spans="1:11" s="211" customFormat="1" ht="9" customHeight="1" x14ac:dyDescent="0.2">
      <c r="B81" s="252"/>
      <c r="C81" s="252"/>
      <c r="D81" s="252"/>
      <c r="E81" s="252"/>
      <c r="F81" s="252"/>
      <c r="G81" s="252"/>
      <c r="H81" s="252"/>
      <c r="I81" s="252"/>
      <c r="J81" s="252"/>
    </row>
    <row r="82" spans="1:11" s="211" customFormat="1" ht="51" customHeight="1" x14ac:dyDescent="0.2">
      <c r="A82" s="250" t="s">
        <v>271</v>
      </c>
      <c r="B82" s="251">
        <f>'Standard Vorgaben'!F33</f>
        <v>0.9</v>
      </c>
      <c r="C82" s="245">
        <f>IF(OR(B82=0,B82=""),0,(D82/B82)-1)</f>
        <v>0</v>
      </c>
      <c r="D82" s="251">
        <f>'Var Vorgaben'!F34</f>
        <v>0.9</v>
      </c>
      <c r="E82" s="252"/>
      <c r="F82" s="252"/>
      <c r="G82" s="599" t="s">
        <v>363</v>
      </c>
      <c r="H82" s="553">
        <f>'Standard Ertragsphase'!F77</f>
        <v>24.590163934426236</v>
      </c>
      <c r="I82" s="224">
        <f>IF(OR(H82=0,H82=""),0,(J82/H82)-1)</f>
        <v>0</v>
      </c>
      <c r="J82" s="553">
        <f>'Var Ertragsphase'!F75</f>
        <v>24.590163934426236</v>
      </c>
    </row>
    <row r="83" spans="1:11" s="211" customFormat="1" ht="27" customHeight="1" x14ac:dyDescent="0.2">
      <c r="A83" s="237" t="s">
        <v>269</v>
      </c>
      <c r="B83" s="554">
        <f>'Standard Ertragsphase'!B61</f>
        <v>652.5</v>
      </c>
      <c r="C83" s="245">
        <f>IF(OR(B83=0,B83=""),0,(D83/B83)-1)</f>
        <v>0</v>
      </c>
      <c r="D83" s="554">
        <f>'Var Ertragsphase'!B59</f>
        <v>652.5</v>
      </c>
      <c r="E83" s="252"/>
      <c r="F83" s="252"/>
      <c r="G83" s="548" t="s">
        <v>273</v>
      </c>
      <c r="H83" s="555">
        <f>'Standard Ertragsphase'!F76</f>
        <v>46.448087431694006</v>
      </c>
      <c r="I83" s="224">
        <f>IF(OR(H83=0,H83=""),0,(J83/H83)-1)</f>
        <v>0</v>
      </c>
      <c r="J83" s="555">
        <f>'Var Ertragsphase'!F74</f>
        <v>46.448087431694006</v>
      </c>
    </row>
    <row r="84" spans="1:11" s="211" customFormat="1" ht="18" customHeight="1" x14ac:dyDescent="0.2">
      <c r="B84" s="252"/>
      <c r="C84" s="252"/>
      <c r="D84" s="252"/>
      <c r="E84" s="252"/>
      <c r="F84" s="252"/>
      <c r="G84" s="252"/>
      <c r="H84" s="252"/>
      <c r="I84" s="252"/>
      <c r="J84" s="252"/>
    </row>
    <row r="85" spans="1:11" ht="18" customHeight="1" x14ac:dyDescent="0.2">
      <c r="A85" s="237" t="s">
        <v>268</v>
      </c>
      <c r="B85" s="556">
        <f>B86/B77</f>
        <v>0.68306010928961747</v>
      </c>
      <c r="C85" s="245">
        <f>IF(OR(B85=0,B85=""),0,(D85/B85)-1)</f>
        <v>0</v>
      </c>
      <c r="D85" s="556">
        <f>D86/D77</f>
        <v>0.68306010928961747</v>
      </c>
      <c r="E85" s="73"/>
      <c r="F85" s="73"/>
      <c r="G85" s="73"/>
      <c r="H85" s="73"/>
      <c r="I85" s="73"/>
      <c r="J85" s="73"/>
    </row>
    <row r="86" spans="1:11" s="15" customFormat="1" ht="18" customHeight="1" x14ac:dyDescent="0.2">
      <c r="A86" s="290" t="s">
        <v>267</v>
      </c>
      <c r="B86" s="557">
        <f>'Standard Ertragsphase'!D59</f>
        <v>625</v>
      </c>
      <c r="C86" s="245">
        <f>IF(OR(B86=0,B86=""),0,(D86/B86)-1)</f>
        <v>0</v>
      </c>
      <c r="D86" s="557">
        <f>'Var Ertragsphase'!D57</f>
        <v>625</v>
      </c>
      <c r="E86" s="171"/>
      <c r="F86" s="171"/>
      <c r="G86" s="171"/>
      <c r="H86" s="171"/>
      <c r="I86" s="171"/>
      <c r="J86" s="171"/>
    </row>
    <row r="87" spans="1:11" s="15" customFormat="1" x14ac:dyDescent="0.2">
      <c r="B87" s="11"/>
      <c r="C87" s="11"/>
      <c r="D87" s="76"/>
    </row>
    <row r="88" spans="1:11" ht="27" customHeight="1" x14ac:dyDescent="0.3">
      <c r="A88" s="600" t="s">
        <v>221</v>
      </c>
      <c r="B88" s="341"/>
      <c r="C88" s="341"/>
      <c r="D88" s="341"/>
      <c r="E88" s="341"/>
      <c r="F88" s="421"/>
      <c r="G88" s="341"/>
      <c r="H88" s="341"/>
      <c r="I88" s="341"/>
      <c r="J88" s="392"/>
      <c r="K88" s="16"/>
    </row>
    <row r="89" spans="1:11" s="1" customFormat="1" ht="18" x14ac:dyDescent="0.25">
      <c r="A89" s="114"/>
      <c r="F89" s="219"/>
      <c r="J89" s="34"/>
      <c r="K89" s="141"/>
    </row>
    <row r="90" spans="1:11" s="1" customFormat="1" ht="18" x14ac:dyDescent="0.25">
      <c r="A90" s="114"/>
      <c r="F90" s="219"/>
      <c r="H90" s="131" t="s">
        <v>75</v>
      </c>
      <c r="I90" s="133" t="s">
        <v>122</v>
      </c>
      <c r="J90" s="236" t="s">
        <v>119</v>
      </c>
      <c r="K90" s="141"/>
    </row>
    <row r="91" spans="1:11" s="1" customFormat="1" ht="18" x14ac:dyDescent="0.25">
      <c r="A91" s="114"/>
      <c r="F91" s="219"/>
      <c r="G91" s="288" t="str">
        <f>'Standard Ertragsphase'!A88</f>
        <v>Arbeitskosten</v>
      </c>
      <c r="H91" s="261">
        <f>'Standard Ertragsphase'!B88</f>
        <v>22973.5</v>
      </c>
      <c r="I91" s="546">
        <f>IF(OR(H91=0,H91=""),0,(J91/H91)-1)</f>
        <v>0</v>
      </c>
      <c r="J91" s="261">
        <f>'Var Ertragsphase'!B86</f>
        <v>22973.5</v>
      </c>
      <c r="K91" s="141"/>
    </row>
    <row r="92" spans="1:11" s="1" customFormat="1" ht="18" x14ac:dyDescent="0.25">
      <c r="A92" s="114"/>
      <c r="F92" s="219"/>
      <c r="G92" s="252" t="str">
        <f>'Standard Ertragsphase'!A89</f>
        <v>Kapitalkosten</v>
      </c>
      <c r="H92" s="253">
        <f>'Standard Ertragsphase'!B89</f>
        <v>1503.5619725235279</v>
      </c>
      <c r="I92" s="546">
        <f>IF(OR(H92=0,H92=""),0,(J92/H92)-1)</f>
        <v>0</v>
      </c>
      <c r="J92" s="253">
        <f>'Var Ertragsphase'!B87</f>
        <v>1503.5619725235279</v>
      </c>
      <c r="K92" s="141"/>
    </row>
    <row r="93" spans="1:11" s="1" customFormat="1" ht="18.75" thickBot="1" x14ac:dyDescent="0.3">
      <c r="A93" s="114"/>
      <c r="F93" s="219"/>
      <c r="G93" s="254" t="str">
        <f>'Standard Ertragsphase'!A90</f>
        <v>Sachkosten</v>
      </c>
      <c r="H93" s="255">
        <f>'Standard Ertragsphase'!B90</f>
        <v>23276.543101863284</v>
      </c>
      <c r="I93" s="547">
        <f>IF(OR(H93=0,H93=""),0,(J93/H93)-1)</f>
        <v>0</v>
      </c>
      <c r="J93" s="255">
        <f>'Var Ertragsphase'!B88</f>
        <v>23276.543101863284</v>
      </c>
      <c r="K93" s="141"/>
    </row>
    <row r="94" spans="1:11" s="1" customFormat="1" ht="30.75" x14ac:dyDescent="0.25">
      <c r="A94" s="114"/>
      <c r="F94" s="219"/>
      <c r="G94" s="256" t="s">
        <v>276</v>
      </c>
      <c r="H94" s="253"/>
      <c r="I94" s="546">
        <f>IF(OR(H94=0,H94=""),0,(J94/H94)-1)</f>
        <v>0</v>
      </c>
      <c r="J94" s="253"/>
      <c r="K94" s="141"/>
    </row>
    <row r="95" spans="1:11" s="1" customFormat="1" ht="18" x14ac:dyDescent="0.25">
      <c r="A95" s="114"/>
      <c r="F95" s="219"/>
      <c r="I95" s="73"/>
      <c r="K95" s="141"/>
    </row>
    <row r="96" spans="1:11" s="1" customFormat="1" ht="18" x14ac:dyDescent="0.25">
      <c r="A96" s="114"/>
      <c r="F96" s="219"/>
      <c r="G96" s="252" t="str">
        <f>G91</f>
        <v>Arbeitskosten</v>
      </c>
      <c r="H96" s="157">
        <f>'Standard Ertragsphase'!C88</f>
        <v>0.48108409750873654</v>
      </c>
      <c r="I96" s="257"/>
      <c r="J96" s="258">
        <f>'Var Ertragsphase'!C86</f>
        <v>0.48108409750873654</v>
      </c>
      <c r="K96" s="141"/>
    </row>
    <row r="97" spans="1:11" s="1" customFormat="1" ht="18" x14ac:dyDescent="0.25">
      <c r="A97" s="114"/>
      <c r="F97" s="219"/>
      <c r="G97" s="252" t="str">
        <f>G92</f>
        <v>Kapitalkosten</v>
      </c>
      <c r="H97" s="258">
        <f>'Standard Ertragsphase'!C89</f>
        <v>3.1485831701740574E-2</v>
      </c>
      <c r="I97" s="257"/>
      <c r="J97" s="258">
        <f>'Var Ertragsphase'!C87</f>
        <v>3.1485831701740574E-2</v>
      </c>
      <c r="K97" s="141"/>
    </row>
    <row r="98" spans="1:11" s="1" customFormat="1" ht="18" x14ac:dyDescent="0.25">
      <c r="A98" s="114"/>
      <c r="F98" s="219"/>
      <c r="G98" s="252" t="str">
        <f>G93</f>
        <v>Sachkosten</v>
      </c>
      <c r="H98" s="258">
        <f>'Standard Ertragsphase'!C90</f>
        <v>0.48743007078952294</v>
      </c>
      <c r="I98" s="257"/>
      <c r="J98" s="258">
        <f>'Var Ertragsphase'!C88</f>
        <v>0.48743007078952294</v>
      </c>
      <c r="K98" s="141"/>
    </row>
    <row r="99" spans="1:11" s="1" customFormat="1" ht="18" x14ac:dyDescent="0.25">
      <c r="A99" s="114"/>
      <c r="F99" s="219"/>
      <c r="J99" s="34"/>
      <c r="K99" s="141"/>
    </row>
    <row r="100" spans="1:11" s="1" customFormat="1" ht="18" x14ac:dyDescent="0.25">
      <c r="A100" s="114"/>
      <c r="F100" s="219"/>
      <c r="K100" s="141"/>
    </row>
    <row r="101" spans="1:11" ht="9.75" customHeight="1" x14ac:dyDescent="0.2"/>
    <row r="102" spans="1:11" ht="21.75" x14ac:dyDescent="0.3">
      <c r="A102" s="600" t="s">
        <v>366</v>
      </c>
      <c r="B102" s="202"/>
      <c r="C102" s="202"/>
      <c r="D102" s="395"/>
      <c r="E102" s="200"/>
      <c r="F102" s="200"/>
      <c r="G102" s="200"/>
      <c r="H102" s="200"/>
      <c r="I102" s="200"/>
      <c r="J102" s="200"/>
    </row>
    <row r="104" spans="1:11" ht="21.6" customHeight="1" x14ac:dyDescent="0.2"/>
    <row r="105" spans="1:11" ht="21.6" customHeight="1" x14ac:dyDescent="0.25">
      <c r="G105" s="1"/>
      <c r="H105" s="131" t="s">
        <v>75</v>
      </c>
      <c r="I105" s="133" t="s">
        <v>122</v>
      </c>
      <c r="J105" s="236" t="s">
        <v>119</v>
      </c>
    </row>
    <row r="106" spans="1:11" ht="21.6" customHeight="1" x14ac:dyDescent="0.2">
      <c r="G106" s="252" t="str">
        <f>'Standard Ertragsphase'!A94</f>
        <v>für Boden</v>
      </c>
      <c r="H106" s="253">
        <f>'Standard Ertragsphase'!B94</f>
        <v>660</v>
      </c>
      <c r="I106" s="546">
        <f>IF(OR(H106=0,H106=""),0,(J106/H106)-1)</f>
        <v>0</v>
      </c>
      <c r="J106" s="253">
        <f>'Var Ertragsphase'!B92</f>
        <v>660</v>
      </c>
    </row>
    <row r="107" spans="1:11" ht="21.6" customHeight="1" thickBot="1" x14ac:dyDescent="0.25">
      <c r="G107" s="254" t="str">
        <f>'Standard Ertragsphase'!A95</f>
        <v xml:space="preserve">für Investition Obstanlage </v>
      </c>
      <c r="H107" s="255">
        <f>'Standard Ertragsphase'!B95</f>
        <v>843.56197252352797</v>
      </c>
      <c r="I107" s="547">
        <f>IF(OR(H107=0,H107=""),0,(J107/H107)-1)</f>
        <v>0</v>
      </c>
      <c r="J107" s="255">
        <f>'Var Ertragsphase'!B93</f>
        <v>843.56197252352797</v>
      </c>
    </row>
    <row r="108" spans="1:11" ht="19.5" customHeight="1" x14ac:dyDescent="0.2">
      <c r="G108" s="259" t="str">
        <f>'Standard Ertragsphase'!A96</f>
        <v>Kapitalkosten</v>
      </c>
      <c r="H108" s="253">
        <f>SUM(H106:H107)</f>
        <v>1503.5619725235279</v>
      </c>
      <c r="I108" s="546">
        <f>IF(OR(H108=0,H108=""),0,(J108/H108)-1)</f>
        <v>0</v>
      </c>
      <c r="J108" s="253">
        <f>SUM(J106:J107)</f>
        <v>1503.5619725235279</v>
      </c>
    </row>
    <row r="109" spans="1:11" ht="20.25" customHeight="1" x14ac:dyDescent="0.2">
      <c r="I109" s="257"/>
    </row>
    <row r="110" spans="1:11" ht="21.6" customHeight="1" x14ac:dyDescent="0.2">
      <c r="G110" s="211" t="str">
        <f>G106</f>
        <v>für Boden</v>
      </c>
      <c r="H110" s="260">
        <f>'Standard Ertragsphase'!C94</f>
        <v>0.43895762998865834</v>
      </c>
      <c r="I110" s="257"/>
      <c r="J110" s="260">
        <f>'Var Ertragsphase'!C92</f>
        <v>0.43895762998865834</v>
      </c>
    </row>
    <row r="111" spans="1:11" ht="21.6" customHeight="1" x14ac:dyDescent="0.2">
      <c r="G111" s="211" t="str">
        <f>G107</f>
        <v xml:space="preserve">für Investition Obstanlage </v>
      </c>
      <c r="H111" s="260">
        <f>'Standard Ertragsphase'!C95</f>
        <v>0.56104237001134172</v>
      </c>
      <c r="I111" s="257"/>
      <c r="J111" s="260">
        <f>'Var Ertragsphase'!C93</f>
        <v>0.56104237001134172</v>
      </c>
    </row>
    <row r="112" spans="1:11" ht="20.25" customHeight="1" x14ac:dyDescent="0.2"/>
    <row r="115" spans="7:10" ht="15.75" x14ac:dyDescent="0.25">
      <c r="G115" s="1"/>
      <c r="H115" s="131" t="s">
        <v>75</v>
      </c>
      <c r="I115" s="133" t="s">
        <v>122</v>
      </c>
      <c r="J115" s="236" t="s">
        <v>119</v>
      </c>
    </row>
    <row r="116" spans="7:10" ht="15.75" customHeight="1" x14ac:dyDescent="0.2">
      <c r="G116" s="252" t="str">
        <f>'Standard Ertragsphase'!A110</f>
        <v>Ernte inkl. Sortieren</v>
      </c>
      <c r="H116" s="253">
        <f>'Standard Ertragsphase'!B110</f>
        <v>14137.5</v>
      </c>
      <c r="I116" s="546">
        <f>IF(OR(H116=0,H116=""),0,(J116/H116)-1)</f>
        <v>0</v>
      </c>
      <c r="J116" s="253">
        <f>'Var Ertragsphase'!B108</f>
        <v>14137.5</v>
      </c>
    </row>
    <row r="117" spans="7:10" ht="15.75" customHeight="1" x14ac:dyDescent="0.2">
      <c r="G117" s="252" t="str">
        <f>'Standard Ertragsphase'!A111</f>
        <v>Baumerziehung (Sommer+Winter)</v>
      </c>
      <c r="H117" s="253">
        <f>'Standard Ertragsphase'!B111</f>
        <v>3270.0000000000005</v>
      </c>
      <c r="I117" s="546">
        <f>IF(OR(H117=0,H117=""),0,(J117/H117)-1)</f>
        <v>0</v>
      </c>
      <c r="J117" s="253">
        <f>'Var Ertragsphase'!B109</f>
        <v>3270.0000000000005</v>
      </c>
    </row>
    <row r="118" spans="7:10" ht="15.75" customHeight="1" thickBot="1" x14ac:dyDescent="0.25">
      <c r="G118" s="254" t="str">
        <f>'Standard Ertragsphase'!A112</f>
        <v>übrige Arbeiten (aus Posten &lt; 10%)</v>
      </c>
      <c r="H118" s="255">
        <f>'Standard Ertragsphase'!B112</f>
        <v>5108.2</v>
      </c>
      <c r="I118" s="547">
        <f>IF(OR(H118=0,H118=""),0,(J118/H118)-1)</f>
        <v>0</v>
      </c>
      <c r="J118" s="255">
        <f>'Var Ertragsphase'!B110</f>
        <v>5108.2</v>
      </c>
    </row>
    <row r="119" spans="7:10" ht="15.75" customHeight="1" x14ac:dyDescent="0.2">
      <c r="G119" s="241" t="str">
        <f>'Standard Ertragsphase'!A113</f>
        <v>Arbeitskosten</v>
      </c>
      <c r="H119" s="253">
        <f>SUM(H116:H118)</f>
        <v>22515.7</v>
      </c>
      <c r="I119" s="546">
        <f>IF(OR(H119=0,H119=""),0,(J119/H119)-1)</f>
        <v>0</v>
      </c>
      <c r="J119" s="261">
        <f>SUM(J116:J118)</f>
        <v>22515.7</v>
      </c>
    </row>
    <row r="120" spans="7:10" ht="21.6" customHeight="1" x14ac:dyDescent="0.25">
      <c r="G120" s="275"/>
      <c r="H120" s="261"/>
      <c r="I120" s="546"/>
      <c r="J120" s="261"/>
    </row>
    <row r="122" spans="7:10" ht="15.75" customHeight="1" x14ac:dyDescent="0.2">
      <c r="G122" s="211" t="str">
        <f>G116</f>
        <v>Ernte inkl. Sortieren</v>
      </c>
      <c r="H122" s="260">
        <f>'Standard Ertragsphase'!C110</f>
        <v>0.62789520201459426</v>
      </c>
      <c r="I122" s="257"/>
      <c r="J122" s="260">
        <f>'Var Ertragsphase'!C108</f>
        <v>0.62789520201459426</v>
      </c>
    </row>
    <row r="123" spans="7:10" ht="15.75" customHeight="1" x14ac:dyDescent="0.2">
      <c r="G123" s="211" t="str">
        <f>G117</f>
        <v>Baumerziehung (Sommer+Winter)</v>
      </c>
      <c r="H123" s="260">
        <f>'Standard Ertragsphase'!C111</f>
        <v>0.1452319936755242</v>
      </c>
      <c r="I123" s="257"/>
      <c r="J123" s="260">
        <f>'Var Ertragsphase'!C109</f>
        <v>0.1452319936755242</v>
      </c>
    </row>
    <row r="124" spans="7:10" ht="15.75" customHeight="1" x14ac:dyDescent="0.2">
      <c r="G124" s="211" t="str">
        <f>G118</f>
        <v>übrige Arbeiten (aus Posten &lt; 10%)</v>
      </c>
      <c r="H124" s="260">
        <f>'Standard Ertragsphase'!C112</f>
        <v>0.22687280430988152</v>
      </c>
      <c r="I124" s="257"/>
      <c r="J124" s="260">
        <f>'Var Ertragsphase'!C110</f>
        <v>0.22687280430988152</v>
      </c>
    </row>
    <row r="125" spans="7:10" ht="15.75" customHeight="1" x14ac:dyDescent="0.2">
      <c r="G125" s="15"/>
      <c r="H125" s="260"/>
      <c r="I125" s="257"/>
      <c r="J125" s="260"/>
    </row>
    <row r="131" spans="7:11" ht="15.75" x14ac:dyDescent="0.25">
      <c r="G131" s="1"/>
      <c r="H131" s="131" t="s">
        <v>75</v>
      </c>
      <c r="I131" s="133" t="s">
        <v>122</v>
      </c>
      <c r="J131" s="236" t="s">
        <v>119</v>
      </c>
    </row>
    <row r="132" spans="7:11" ht="15" customHeight="1" x14ac:dyDescent="0.2">
      <c r="G132" s="252" t="str">
        <f>'Standard Ertragsphase'!A117</f>
        <v>Aktion und Gebindekosten</v>
      </c>
      <c r="H132" s="253">
        <f>'Standard Ertragsphase'!B117</f>
        <v>3375.0000000000009</v>
      </c>
      <c r="I132" s="546">
        <f>IF(OR(H132=0,H132=""),0,(J132/H132)-1)</f>
        <v>0</v>
      </c>
      <c r="J132" s="253">
        <f>'Var Ertragsphase'!B115</f>
        <v>3375.0000000000009</v>
      </c>
    </row>
    <row r="133" spans="7:11" ht="15" customHeight="1" x14ac:dyDescent="0.2">
      <c r="G133" s="252" t="str">
        <f>'Standard Ertragsphase'!A118</f>
        <v xml:space="preserve">Abschreibung Obstanlage </v>
      </c>
      <c r="H133" s="253">
        <f>'Standard Ertragsphase'!B118</f>
        <v>6694.9362898692698</v>
      </c>
      <c r="I133" s="546">
        <f>IF(OR(H133=0,H133=""),0,(J133/H133)-1)</f>
        <v>0</v>
      </c>
      <c r="J133" s="253">
        <f>'Var Ertragsphase'!B116</f>
        <v>6694.9362898692698</v>
      </c>
      <c r="K133" s="16"/>
    </row>
    <row r="134" spans="7:11" ht="15" customHeight="1" x14ac:dyDescent="0.2">
      <c r="G134" s="252" t="str">
        <f>'Standard Ertragsphase'!A119</f>
        <v>Maschinen und Geräte</v>
      </c>
      <c r="H134" s="253">
        <f>'Standard Ertragsphase'!B119</f>
        <v>6315</v>
      </c>
      <c r="I134" s="546">
        <f>IF(OR(H134=0,H134=""),0,(J134/H134)-1)</f>
        <v>0</v>
      </c>
      <c r="J134" s="253">
        <f>'Var Ertragsphase'!B117</f>
        <v>6315</v>
      </c>
    </row>
    <row r="135" spans="7:11" ht="15" customHeight="1" thickBot="1" x14ac:dyDescent="0.25">
      <c r="G135" s="254" t="str">
        <f>'Standard Ertragsphase'!A120</f>
        <v>übrige Kosten (aus Posten mit &lt; 10%)</v>
      </c>
      <c r="H135" s="255">
        <f>'Standard Ertragsphase'!B120</f>
        <v>6891.6068119940137</v>
      </c>
      <c r="I135" s="547">
        <f>IF(OR(H135=0,H135=""),0,(J135/H135)-1)</f>
        <v>0</v>
      </c>
      <c r="J135" s="255">
        <f>'Var Ertragsphase'!B118</f>
        <v>6891.6068119940137</v>
      </c>
    </row>
    <row r="136" spans="7:11" x14ac:dyDescent="0.2">
      <c r="G136" s="241" t="str">
        <f>'Standard Ertragsphase'!A121</f>
        <v>Sachkosten</v>
      </c>
      <c r="H136" s="253">
        <f>SUM(H132:H135)</f>
        <v>23276.543101863284</v>
      </c>
      <c r="I136" s="546">
        <f>IF(OR(H136=0,H136=""),0,(J136/H136)-1)</f>
        <v>0</v>
      </c>
      <c r="J136" s="253">
        <f>SUM(J132:J135)</f>
        <v>23276.543101863284</v>
      </c>
    </row>
    <row r="137" spans="7:11" x14ac:dyDescent="0.2">
      <c r="I137" s="73"/>
    </row>
    <row r="138" spans="7:11" ht="14.1" customHeight="1" x14ac:dyDescent="0.2">
      <c r="G138" s="211" t="str">
        <f>G132</f>
        <v>Aktion und Gebindekosten</v>
      </c>
      <c r="H138" s="260">
        <f>'Standard Ertragsphase'!C117</f>
        <v>0.14499575754141225</v>
      </c>
      <c r="I138" s="257"/>
      <c r="J138" s="260">
        <f>'Var Ertragsphase'!C115</f>
        <v>0.14499575754141225</v>
      </c>
    </row>
    <row r="139" spans="7:11" ht="14.1" customHeight="1" x14ac:dyDescent="0.2">
      <c r="G139" s="211" t="str">
        <f>G133</f>
        <v xml:space="preserve">Abschreibung Obstanlage </v>
      </c>
      <c r="H139" s="260">
        <f>'Standard Ertragsphase'!C118</f>
        <v>0.28762588416032192</v>
      </c>
      <c r="I139" s="257"/>
      <c r="J139" s="260">
        <f>'Var Ertragsphase'!C116</f>
        <v>0.28762588416032192</v>
      </c>
    </row>
    <row r="140" spans="7:11" ht="14.1" customHeight="1" x14ac:dyDescent="0.2">
      <c r="G140" s="211" t="str">
        <f>G134</f>
        <v>Maschinen und Geräte</v>
      </c>
      <c r="H140" s="260">
        <f>'Standard Ertragsphase'!C119</f>
        <v>0.27130317299970907</v>
      </c>
      <c r="I140" s="257"/>
      <c r="J140" s="260">
        <f>'Var Ertragsphase'!C117</f>
        <v>0.27130317299970907</v>
      </c>
    </row>
    <row r="141" spans="7:11" ht="14.1" customHeight="1" x14ac:dyDescent="0.2">
      <c r="G141" s="211" t="str">
        <f>G135</f>
        <v>übrige Kosten (aus Posten mit &lt; 10%)</v>
      </c>
      <c r="H141" s="260">
        <f>'Standard Ertragsphase'!C120</f>
        <v>0.2960751852985567</v>
      </c>
      <c r="I141" s="257"/>
      <c r="J141" s="260">
        <f>'Var Ertragsphase'!C118</f>
        <v>0.2960751852985567</v>
      </c>
    </row>
    <row r="144" spans="7:11" ht="122.1" customHeight="1" x14ac:dyDescent="0.2"/>
    <row r="145" spans="1:10" ht="21.75" x14ac:dyDescent="0.3">
      <c r="A145" s="600" t="s">
        <v>227</v>
      </c>
      <c r="B145" s="202"/>
      <c r="C145" s="202"/>
      <c r="D145" s="395"/>
      <c r="E145" s="200"/>
      <c r="F145" s="200"/>
      <c r="G145" s="200"/>
      <c r="H145" s="200"/>
      <c r="I145" s="200"/>
      <c r="J145" s="200"/>
    </row>
    <row r="149" spans="1:10" ht="15.75" x14ac:dyDescent="0.25">
      <c r="H149" s="131" t="s">
        <v>75</v>
      </c>
      <c r="I149" s="133" t="s">
        <v>122</v>
      </c>
      <c r="J149" s="236" t="s">
        <v>119</v>
      </c>
    </row>
    <row r="150" spans="1:10" x14ac:dyDescent="0.2">
      <c r="G150" s="49" t="str">
        <f>'Standard Ertragsphase'!A125</f>
        <v>Total Direktkosten</v>
      </c>
      <c r="H150" s="253">
        <f>'Standard Ertragsphase'!B125</f>
        <v>16516.043101863288</v>
      </c>
      <c r="I150" s="546">
        <f>IF(OR(H150=0,H150=""),0,(J150/H150)-1)</f>
        <v>0</v>
      </c>
      <c r="J150" s="253">
        <f>'Var Ertragsphase'!B123</f>
        <v>16516.043101863288</v>
      </c>
    </row>
    <row r="151" spans="1:10" ht="13.5" thickBot="1" x14ac:dyDescent="0.25">
      <c r="G151" s="276" t="str">
        <f>'Standard Ertragsphase'!A126</f>
        <v>Total Strukturkosten</v>
      </c>
      <c r="H151" s="255">
        <f>'Standard Ertragsphase'!B126</f>
        <v>31237.561972523526</v>
      </c>
      <c r="I151" s="547">
        <f>IF(OR(H151=0,H151=""),0,(J151/H151)-1)</f>
        <v>0</v>
      </c>
      <c r="J151" s="255">
        <f>'Var Ertragsphase'!B124</f>
        <v>31237.561972523526</v>
      </c>
    </row>
    <row r="152" spans="1:10" x14ac:dyDescent="0.2">
      <c r="G152" s="64" t="str">
        <f>'Standard Ertragsphase'!A127</f>
        <v>Produktionskosten pro ha</v>
      </c>
      <c r="H152" s="274">
        <f>SUM(H150:H151)</f>
        <v>47753.605074386811</v>
      </c>
      <c r="I152" s="546">
        <f>IF(OR(H152=0,H152=""),0,(J152/H152)-1)</f>
        <v>0</v>
      </c>
      <c r="J152" s="273">
        <f>SUM(J150:J151)</f>
        <v>47753.605074386811</v>
      </c>
    </row>
    <row r="154" spans="1:10" x14ac:dyDescent="0.2">
      <c r="G154" s="75" t="str">
        <f>G150</f>
        <v>Total Direktkosten</v>
      </c>
      <c r="H154" s="260">
        <f>'Standard Ertragsphase'!C125</f>
        <v>0.34585960737699062</v>
      </c>
      <c r="J154" s="260">
        <f>'Var Ertragsphase'!C123</f>
        <v>0.34585960737699062</v>
      </c>
    </row>
    <row r="155" spans="1:10" x14ac:dyDescent="0.2">
      <c r="G155" s="75" t="str">
        <f>G151</f>
        <v>Total Strukturkosten</v>
      </c>
      <c r="H155" s="260">
        <f>'Standard Ertragsphase'!C126</f>
        <v>0.65414039262300949</v>
      </c>
      <c r="J155" s="260">
        <f>'Var Ertragsphase'!C124</f>
        <v>0.65414039262300949</v>
      </c>
    </row>
    <row r="157" spans="1:10" x14ac:dyDescent="0.2">
      <c r="G157" s="64"/>
    </row>
    <row r="172" spans="1:10" ht="35.85" customHeight="1" x14ac:dyDescent="0.2"/>
    <row r="173" spans="1:10" ht="21.75" x14ac:dyDescent="0.3">
      <c r="A173" s="600" t="s">
        <v>275</v>
      </c>
      <c r="B173" s="392"/>
      <c r="C173" s="392"/>
      <c r="D173" s="395"/>
      <c r="E173" s="341"/>
      <c r="F173" s="341"/>
      <c r="G173" s="341"/>
      <c r="H173" s="341"/>
      <c r="I173" s="341"/>
      <c r="J173" s="341"/>
    </row>
    <row r="177" spans="7:10" ht="19.5" customHeight="1" x14ac:dyDescent="0.25">
      <c r="H177" s="131" t="s">
        <v>75</v>
      </c>
      <c r="I177" s="133" t="s">
        <v>122</v>
      </c>
      <c r="J177" s="236" t="s">
        <v>119</v>
      </c>
    </row>
    <row r="178" spans="7:10" ht="33" customHeight="1" x14ac:dyDescent="0.2">
      <c r="G178" s="217" t="str">
        <f>'Standard Ertragsphase'!A151</f>
        <v>Pflanzenschutz (Material, Maschinen, Arbeit&gt;)</v>
      </c>
      <c r="H178" s="262">
        <f>'Standard Ertragsphase'!B151</f>
        <v>2500.4</v>
      </c>
      <c r="I178" s="272">
        <f>IF(OR(H178=0,H178=""),0,(J178/H178)-1)</f>
        <v>0</v>
      </c>
      <c r="J178" s="262">
        <f>'Var Ertragsphase'!B149</f>
        <v>2500.4</v>
      </c>
    </row>
    <row r="179" spans="7:10" ht="20.25" customHeight="1" thickBot="1" x14ac:dyDescent="0.25">
      <c r="G179" s="281" t="str">
        <f>'Standard Ertragsphase'!A145</f>
        <v>übrige Produktionskosten</v>
      </c>
      <c r="H179" s="271">
        <f>'Standard Ertragsphase'!B145</f>
        <v>45253.205074386809</v>
      </c>
      <c r="I179" s="545">
        <f>IF(OR(H179=0,H179=""),0,(J179/H179)-1)</f>
        <v>0</v>
      </c>
      <c r="J179" s="271">
        <f>'Var Ertragsphase'!B143</f>
        <v>45253.205074386809</v>
      </c>
    </row>
    <row r="180" spans="7:10" ht="28.5" customHeight="1" x14ac:dyDescent="0.2">
      <c r="G180" s="280" t="s">
        <v>287</v>
      </c>
      <c r="H180" s="265">
        <f>SUM(H178:H179)</f>
        <v>47753.605074386811</v>
      </c>
      <c r="I180" s="272">
        <f>IF(OR(H180=0,H180=""),0,(J180/H180)-1)</f>
        <v>0</v>
      </c>
      <c r="J180" s="265">
        <f>SUM(J178:J179)</f>
        <v>47753.605074386811</v>
      </c>
    </row>
    <row r="181" spans="7:10" ht="17.850000000000001" customHeight="1" x14ac:dyDescent="0.2">
      <c r="G181" s="211"/>
      <c r="H181" s="211"/>
      <c r="I181" s="211"/>
      <c r="J181" s="211"/>
    </row>
    <row r="182" spans="7:10" ht="32.1" customHeight="1" x14ac:dyDescent="0.2">
      <c r="G182" s="220" t="str">
        <f>G178</f>
        <v>Pflanzenschutz (Material, Maschinen, Arbeit&gt;)</v>
      </c>
      <c r="H182" s="266">
        <f>'Standard Ertragsphase'!C144</f>
        <v>5.2360444747680798E-2</v>
      </c>
      <c r="I182" s="270"/>
      <c r="J182" s="266">
        <f>'Var Ertragsphase'!C142</f>
        <v>5.2360444747680798E-2</v>
      </c>
    </row>
    <row r="183" spans="7:10" ht="16.5" customHeight="1" x14ac:dyDescent="0.2">
      <c r="G183" s="220" t="str">
        <f>G179</f>
        <v>übrige Produktionskosten</v>
      </c>
      <c r="H183" s="266">
        <f>'Standard Ertragsphase'!C145</f>
        <v>0.94763955525231913</v>
      </c>
      <c r="I183" s="270"/>
      <c r="J183" s="266">
        <f>'Var Ertragsphase'!C143</f>
        <v>0.94763955525231913</v>
      </c>
    </row>
    <row r="184" spans="7:10" x14ac:dyDescent="0.2">
      <c r="G184" s="211"/>
      <c r="H184" s="211"/>
      <c r="I184" s="211"/>
      <c r="J184" s="211"/>
    </row>
    <row r="198" spans="2:10" ht="15.75" x14ac:dyDescent="0.25">
      <c r="H198" s="131" t="s">
        <v>75</v>
      </c>
      <c r="I198" s="133" t="s">
        <v>122</v>
      </c>
      <c r="J198" s="236" t="s">
        <v>119</v>
      </c>
    </row>
    <row r="199" spans="2:10" x14ac:dyDescent="0.2">
      <c r="G199" s="76" t="str">
        <f>'Standard Ertragsphase'!A148</f>
        <v>Material</v>
      </c>
      <c r="H199" s="268">
        <f>'Standard Ertragsphase'!B148</f>
        <v>0</v>
      </c>
      <c r="I199" s="272">
        <f>IF(OR(H199=0,H199=""),0,(J199/H199)-1)</f>
        <v>0</v>
      </c>
      <c r="J199" s="268">
        <f>'Var Ertragsphase'!B146</f>
        <v>0</v>
      </c>
    </row>
    <row r="200" spans="2:10" x14ac:dyDescent="0.2">
      <c r="B200" s="129"/>
      <c r="G200" s="76" t="str">
        <f>'Standard Ertragsphase'!A149</f>
        <v>Maschinen</v>
      </c>
      <c r="H200" s="268">
        <f>'Standard Ertragsphase'!B149</f>
        <v>1454</v>
      </c>
      <c r="I200" s="272">
        <f>IF(OR(H200=0,H200=""),0,(J200/H200)-1)</f>
        <v>0</v>
      </c>
      <c r="J200" s="268">
        <f>'Var Ertragsphase'!B147</f>
        <v>1454</v>
      </c>
    </row>
    <row r="201" spans="2:10" ht="13.5" thickBot="1" x14ac:dyDescent="0.25">
      <c r="B201" s="129"/>
      <c r="G201" s="276" t="str">
        <f>'Standard Ertragsphase'!A150</f>
        <v>Arbeit</v>
      </c>
      <c r="H201" s="264">
        <f>'Standard Ertragsphase'!B150</f>
        <v>1046.4000000000001</v>
      </c>
      <c r="I201" s="545">
        <f>IF(OR(H201=0,H201=""),0,(J201/H201)-1)</f>
        <v>0</v>
      </c>
      <c r="J201" s="264">
        <f>'Var Ertragsphase'!B148</f>
        <v>1046.4000000000001</v>
      </c>
    </row>
    <row r="202" spans="2:10" ht="25.5" x14ac:dyDescent="0.2">
      <c r="B202" s="129"/>
      <c r="G202" s="282" t="str">
        <f>'Standard Ertragsphase'!A151</f>
        <v>Pflanzenschutz (Material, Maschinen, Arbeit&gt;)</v>
      </c>
      <c r="H202" s="269">
        <f>SUM(H199:H201)</f>
        <v>2500.4</v>
      </c>
      <c r="I202" s="272">
        <f>IF(OR(H202=0,H202=""),0,(J202/H202)-1)</f>
        <v>0</v>
      </c>
      <c r="J202" s="269">
        <f>SUM(J199:J201)</f>
        <v>2500.4</v>
      </c>
    </row>
    <row r="203" spans="2:10" x14ac:dyDescent="0.2">
      <c r="B203" s="129"/>
    </row>
    <row r="204" spans="2:10" s="211" customFormat="1" ht="32.1" customHeight="1" x14ac:dyDescent="0.2">
      <c r="B204" s="179"/>
      <c r="C204" s="213"/>
      <c r="D204" s="210"/>
      <c r="G204" s="220" t="str">
        <f>G199</f>
        <v>Material</v>
      </c>
      <c r="H204" s="266">
        <f>'Standard Ertragsphase'!C148</f>
        <v>0</v>
      </c>
      <c r="I204" s="270"/>
      <c r="J204" s="266">
        <f>'Var Ertragsphase'!C146</f>
        <v>0</v>
      </c>
    </row>
    <row r="205" spans="2:10" x14ac:dyDescent="0.2">
      <c r="B205" s="129"/>
      <c r="G205" s="220" t="str">
        <f>G200</f>
        <v>Maschinen</v>
      </c>
      <c r="H205" s="266">
        <f>'Standard Ertragsphase'!C149</f>
        <v>0.58150695888657811</v>
      </c>
      <c r="I205" s="270"/>
      <c r="J205" s="267">
        <f>'Var Ertragsphase'!C147</f>
        <v>0.58150695888657811</v>
      </c>
    </row>
    <row r="206" spans="2:10" ht="15" customHeight="1" x14ac:dyDescent="0.2">
      <c r="B206" s="129"/>
      <c r="G206" s="220" t="str">
        <f>G201</f>
        <v>Arbeit</v>
      </c>
      <c r="H206" s="266">
        <f>'Standard Ertragsphase'!C150</f>
        <v>0.41849304111342189</v>
      </c>
      <c r="I206" s="270"/>
      <c r="J206" s="267">
        <f>'Var Ertragsphase'!C148</f>
        <v>0.41849304111342189</v>
      </c>
    </row>
    <row r="207" spans="2:10" ht="15.75" customHeight="1" x14ac:dyDescent="0.2">
      <c r="B207" s="129"/>
    </row>
    <row r="208" spans="2:10" x14ac:dyDescent="0.2">
      <c r="B208" s="129"/>
      <c r="G208" s="291" t="s">
        <v>323</v>
      </c>
      <c r="H208" s="292"/>
      <c r="I208" s="292"/>
      <c r="J208" s="293"/>
    </row>
    <row r="209" spans="1:10" x14ac:dyDescent="0.2">
      <c r="B209" s="129"/>
      <c r="G209" s="601" t="s">
        <v>106</v>
      </c>
      <c r="H209" s="294">
        <f>'Standard Ertragsphase'!C35</f>
        <v>13</v>
      </c>
      <c r="I209" s="15"/>
      <c r="J209" s="295">
        <f>'Var Ertragsphase'!C35</f>
        <v>13</v>
      </c>
    </row>
    <row r="210" spans="1:10" x14ac:dyDescent="0.2">
      <c r="B210" s="129"/>
      <c r="G210" s="601" t="s">
        <v>661</v>
      </c>
      <c r="H210" s="294">
        <f>'Standard Ertragsphase'!C36</f>
        <v>4</v>
      </c>
      <c r="I210" s="15"/>
      <c r="J210" s="295">
        <f>'Var Ertragsphase'!C36</f>
        <v>4</v>
      </c>
    </row>
    <row r="211" spans="1:10" x14ac:dyDescent="0.2">
      <c r="B211" s="129"/>
      <c r="G211" s="296"/>
      <c r="H211" s="15"/>
      <c r="I211" s="15"/>
      <c r="J211" s="59"/>
    </row>
    <row r="212" spans="1:10" x14ac:dyDescent="0.2">
      <c r="B212" s="129"/>
      <c r="G212" s="297"/>
      <c r="H212" s="15"/>
      <c r="I212" s="15"/>
      <c r="J212" s="59"/>
    </row>
    <row r="213" spans="1:10" x14ac:dyDescent="0.2">
      <c r="B213" s="129"/>
      <c r="G213" s="601"/>
      <c r="H213" s="298"/>
      <c r="I213" s="15"/>
      <c r="J213" s="299"/>
    </row>
    <row r="214" spans="1:10" x14ac:dyDescent="0.2">
      <c r="B214" s="129"/>
      <c r="G214" s="601"/>
      <c r="H214" s="11"/>
      <c r="I214" s="15"/>
      <c r="J214" s="38"/>
    </row>
    <row r="215" spans="1:10" x14ac:dyDescent="0.2">
      <c r="B215" s="129"/>
      <c r="G215" s="601"/>
      <c r="H215" s="11"/>
      <c r="I215" s="15"/>
      <c r="J215" s="38"/>
    </row>
    <row r="216" spans="1:10" x14ac:dyDescent="0.2">
      <c r="B216" s="129"/>
      <c r="G216" s="601"/>
      <c r="H216" s="11"/>
      <c r="I216" s="15"/>
      <c r="J216" s="38"/>
    </row>
    <row r="217" spans="1:10" x14ac:dyDescent="0.2">
      <c r="B217" s="129"/>
      <c r="G217" s="601"/>
      <c r="H217" s="29"/>
      <c r="I217" s="15"/>
      <c r="J217" s="300"/>
    </row>
    <row r="218" spans="1:10" x14ac:dyDescent="0.2">
      <c r="B218" s="129"/>
      <c r="G218" s="296"/>
      <c r="H218" s="301"/>
      <c r="I218" s="15"/>
      <c r="J218" s="302"/>
    </row>
    <row r="219" spans="1:10" x14ac:dyDescent="0.2">
      <c r="B219" s="129"/>
      <c r="G219" s="303"/>
      <c r="H219" s="304"/>
      <c r="I219" s="31"/>
      <c r="J219" s="305"/>
    </row>
    <row r="220" spans="1:10" x14ac:dyDescent="0.2">
      <c r="B220" s="129"/>
    </row>
    <row r="221" spans="1:10" x14ac:dyDescent="0.2">
      <c r="B221" s="129"/>
    </row>
    <row r="222" spans="1:10" x14ac:dyDescent="0.2">
      <c r="B222" s="129"/>
    </row>
    <row r="223" spans="1:10" ht="21.75" x14ac:dyDescent="0.3">
      <c r="A223" s="600" t="s">
        <v>274</v>
      </c>
      <c r="B223" s="392"/>
      <c r="C223" s="392"/>
      <c r="D223" s="395"/>
      <c r="E223" s="341"/>
      <c r="F223" s="341"/>
      <c r="G223" s="341"/>
      <c r="H223" s="341"/>
      <c r="I223" s="341"/>
      <c r="J223" s="341"/>
    </row>
    <row r="224" spans="1:10" x14ac:dyDescent="0.2">
      <c r="B224" s="129"/>
    </row>
    <row r="225" spans="2:10" x14ac:dyDescent="0.2">
      <c r="B225" s="129"/>
    </row>
    <row r="226" spans="2:10" x14ac:dyDescent="0.2">
      <c r="B226" s="129"/>
    </row>
    <row r="227" spans="2:10" x14ac:dyDescent="0.2">
      <c r="B227" s="129"/>
    </row>
    <row r="228" spans="2:10" ht="18.75" customHeight="1" x14ac:dyDescent="0.25">
      <c r="B228" s="129"/>
      <c r="H228" s="131" t="s">
        <v>75</v>
      </c>
      <c r="I228" s="133" t="s">
        <v>122</v>
      </c>
      <c r="J228" s="236" t="s">
        <v>119</v>
      </c>
    </row>
    <row r="229" spans="2:10" ht="17.850000000000001" customHeight="1" x14ac:dyDescent="0.2">
      <c r="B229" s="129"/>
      <c r="G229" t="str">
        <f>'Standard Ertragsphase'!A162</f>
        <v>Total Ernte</v>
      </c>
      <c r="H229" s="263">
        <f>'Standard Ertragsphase'!B162</f>
        <v>18262.5</v>
      </c>
      <c r="I229" s="272">
        <f>IF(OR(H229=0,H229=""),0,(J229/H229)-1)</f>
        <v>0</v>
      </c>
      <c r="J229" s="263">
        <f>'Var Ertragsphase'!B160</f>
        <v>18262.5</v>
      </c>
    </row>
    <row r="230" spans="2:10" ht="18" customHeight="1" thickBot="1" x14ac:dyDescent="0.25">
      <c r="B230" s="129"/>
      <c r="G230" s="62" t="str">
        <f>'Standard Ertragsphase'!A163</f>
        <v>übrige Produktionskosten</v>
      </c>
      <c r="H230" s="264">
        <f>'Standard Ertragsphase'!B163</f>
        <v>29491.105074386811</v>
      </c>
      <c r="I230" s="545">
        <f>IF(OR(H230=0,H230=""),0,(J230/H230)-1)</f>
        <v>0</v>
      </c>
      <c r="J230" s="264">
        <f>'Var Ertragsphase'!B161</f>
        <v>29491.105074386811</v>
      </c>
    </row>
    <row r="231" spans="2:10" ht="32.1" customHeight="1" x14ac:dyDescent="0.2">
      <c r="B231" s="129"/>
      <c r="G231" s="280" t="s">
        <v>287</v>
      </c>
      <c r="H231" s="286">
        <f>SUM(H229:H230)</f>
        <v>47753.605074386811</v>
      </c>
      <c r="I231" s="272">
        <f>IF(OR(H231=0,H231=""),0,(J231/H231)-1)</f>
        <v>0</v>
      </c>
      <c r="J231" s="286">
        <f>SUM(J229:J230)</f>
        <v>47753.605074386811</v>
      </c>
    </row>
    <row r="232" spans="2:10" x14ac:dyDescent="0.2">
      <c r="B232" s="129"/>
    </row>
    <row r="233" spans="2:10" ht="15" customHeight="1" x14ac:dyDescent="0.2">
      <c r="B233" s="129"/>
      <c r="G233" s="220"/>
      <c r="H233" s="266"/>
      <c r="I233" s="270"/>
      <c r="J233" s="267"/>
    </row>
    <row r="234" spans="2:10" ht="17.850000000000001" customHeight="1" x14ac:dyDescent="0.2">
      <c r="B234" s="129"/>
      <c r="G234" s="220" t="str">
        <f>G229</f>
        <v>Total Ernte</v>
      </c>
      <c r="H234" s="266">
        <f>'Standard Ertragsphase'!C162</f>
        <v>0.38243185978424277</v>
      </c>
      <c r="I234" s="270"/>
      <c r="J234" s="267">
        <f>'Var Ertragsphase'!C160</f>
        <v>0.38243185978424277</v>
      </c>
    </row>
    <row r="235" spans="2:10" ht="17.850000000000001" customHeight="1" x14ac:dyDescent="0.2">
      <c r="B235" s="129"/>
      <c r="G235" s="220" t="str">
        <f>G230</f>
        <v>übrige Produktionskosten</v>
      </c>
      <c r="H235" s="266">
        <f>'Standard Ertragsphase'!C163</f>
        <v>0.61756814021575723</v>
      </c>
      <c r="I235" s="270"/>
      <c r="J235" s="267">
        <f>'Var Ertragsphase'!C161</f>
        <v>0.61756814021575723</v>
      </c>
    </row>
    <row r="236" spans="2:10" ht="26.85" customHeight="1" x14ac:dyDescent="0.2">
      <c r="B236" s="129"/>
    </row>
    <row r="237" spans="2:10" x14ac:dyDescent="0.2">
      <c r="B237" s="129"/>
    </row>
    <row r="238" spans="2:10" x14ac:dyDescent="0.2">
      <c r="B238" s="129"/>
    </row>
    <row r="239" spans="2:10" x14ac:dyDescent="0.2">
      <c r="B239" s="129"/>
    </row>
    <row r="240" spans="2:10" x14ac:dyDescent="0.2">
      <c r="B240" s="129"/>
    </row>
    <row r="241" spans="2:10" x14ac:dyDescent="0.2">
      <c r="B241" s="129"/>
    </row>
    <row r="242" spans="2:10" x14ac:dyDescent="0.2">
      <c r="B242" s="129"/>
    </row>
    <row r="243" spans="2:10" x14ac:dyDescent="0.2">
      <c r="B243" s="129"/>
    </row>
    <row r="244" spans="2:10" x14ac:dyDescent="0.2">
      <c r="B244" s="129"/>
    </row>
    <row r="245" spans="2:10" x14ac:dyDescent="0.2">
      <c r="B245" s="129"/>
    </row>
    <row r="246" spans="2:10" x14ac:dyDescent="0.2">
      <c r="B246" s="129"/>
    </row>
    <row r="247" spans="2:10" x14ac:dyDescent="0.2">
      <c r="B247" s="129"/>
    </row>
    <row r="248" spans="2:10" x14ac:dyDescent="0.2">
      <c r="B248" s="129"/>
    </row>
    <row r="249" spans="2:10" x14ac:dyDescent="0.2">
      <c r="B249" s="129"/>
    </row>
    <row r="250" spans="2:10" x14ac:dyDescent="0.2">
      <c r="B250" s="129"/>
    </row>
    <row r="251" spans="2:10" x14ac:dyDescent="0.2">
      <c r="B251" s="129"/>
    </row>
    <row r="252" spans="2:10" x14ac:dyDescent="0.2">
      <c r="B252" s="129"/>
    </row>
    <row r="253" spans="2:10" x14ac:dyDescent="0.2">
      <c r="B253" s="129"/>
    </row>
    <row r="254" spans="2:10" x14ac:dyDescent="0.2">
      <c r="B254" s="129"/>
    </row>
    <row r="255" spans="2:10" ht="18" customHeight="1" x14ac:dyDescent="0.25">
      <c r="B255" s="129"/>
      <c r="H255" s="131" t="s">
        <v>75</v>
      </c>
      <c r="I255" s="133" t="s">
        <v>122</v>
      </c>
      <c r="J255" s="236" t="s">
        <v>119</v>
      </c>
    </row>
    <row r="256" spans="2:10" ht="15.75" customHeight="1" x14ac:dyDescent="0.2">
      <c r="B256" s="129"/>
      <c r="G256" t="str">
        <f>'Standard Ertragsphase'!A166</f>
        <v>Maschinen</v>
      </c>
      <c r="H256" s="263">
        <f>'Standard Ertragsphase'!B166</f>
        <v>4125</v>
      </c>
      <c r="I256" s="272">
        <f>IF(OR(H256=0,H256=""),0,(J256/H256)-1)</f>
        <v>0</v>
      </c>
      <c r="J256" s="263">
        <f>'Var Ertragsphase'!B164</f>
        <v>4125</v>
      </c>
    </row>
    <row r="257" spans="1:10" ht="15.75" customHeight="1" thickBot="1" x14ac:dyDescent="0.25">
      <c r="B257" s="129"/>
      <c r="G257" s="62" t="str">
        <f>'Standard Ertragsphase'!A167</f>
        <v>Arbeit</v>
      </c>
      <c r="H257" s="264">
        <f>'Standard Ertragsphase'!B167</f>
        <v>14137.5</v>
      </c>
      <c r="I257" s="545">
        <f>IF(OR(H257=0,H257=""),0,(J257/H257)-1)</f>
        <v>0</v>
      </c>
      <c r="J257" s="264">
        <f>'Var Ertragsphase'!B165</f>
        <v>14137.5</v>
      </c>
    </row>
    <row r="258" spans="1:10" s="211" customFormat="1" ht="19.5" customHeight="1" x14ac:dyDescent="0.2">
      <c r="B258" s="179"/>
      <c r="C258" s="213"/>
      <c r="D258" s="210"/>
      <c r="G258" s="289" t="str">
        <f>'Standard Ertragsphase'!A168</f>
        <v>Total Ernte</v>
      </c>
      <c r="H258" s="287">
        <f>SUM(H256:H257)</f>
        <v>18262.5</v>
      </c>
      <c r="I258" s="272">
        <f>IF(OR(H258=0,H258=""),0,(J258/H258)-1)</f>
        <v>0</v>
      </c>
      <c r="J258" s="287">
        <f>SUM(J256:J257)</f>
        <v>18262.5</v>
      </c>
    </row>
    <row r="259" spans="1:10" x14ac:dyDescent="0.2">
      <c r="B259" s="129"/>
      <c r="I259" s="272"/>
    </row>
    <row r="260" spans="1:10" x14ac:dyDescent="0.2">
      <c r="B260" s="129"/>
      <c r="I260" s="272"/>
    </row>
    <row r="261" spans="1:10" ht="15.75" customHeight="1" x14ac:dyDescent="0.2">
      <c r="B261" s="129"/>
      <c r="G261" t="str">
        <f>G256</f>
        <v>Maschinen</v>
      </c>
      <c r="H261" s="260">
        <f>'Standard Ertragsphase'!C166</f>
        <v>0.22587268993839835</v>
      </c>
      <c r="I261" s="270"/>
      <c r="J261" s="260">
        <f>'Var Ertragsphase'!C164</f>
        <v>0.22587268993839835</v>
      </c>
    </row>
    <row r="262" spans="1:10" ht="15.75" customHeight="1" x14ac:dyDescent="0.2">
      <c r="B262" s="129"/>
      <c r="G262" t="str">
        <f>G257</f>
        <v>Arbeit</v>
      </c>
      <c r="H262" s="260">
        <f>'Standard Ertragsphase'!C167</f>
        <v>0.77412731006160163</v>
      </c>
      <c r="I262" s="270"/>
      <c r="J262" s="260">
        <f>'Var Ertragsphase'!C165</f>
        <v>0.77412731006160163</v>
      </c>
    </row>
    <row r="263" spans="1:10" x14ac:dyDescent="0.2">
      <c r="B263" s="129"/>
    </row>
    <row r="264" spans="1:10" x14ac:dyDescent="0.2">
      <c r="B264" s="129"/>
    </row>
    <row r="265" spans="1:10" x14ac:dyDescent="0.2">
      <c r="B265" s="129"/>
    </row>
    <row r="266" spans="1:10" x14ac:dyDescent="0.2">
      <c r="B266" s="129"/>
    </row>
    <row r="267" spans="1:10" x14ac:dyDescent="0.2">
      <c r="B267" s="129"/>
    </row>
    <row r="268" spans="1:10" x14ac:dyDescent="0.2">
      <c r="B268" s="129"/>
    </row>
    <row r="269" spans="1:10" x14ac:dyDescent="0.2">
      <c r="B269" s="129"/>
    </row>
    <row r="270" spans="1:10" x14ac:dyDescent="0.2">
      <c r="B270" s="129"/>
    </row>
    <row r="271" spans="1:10" x14ac:dyDescent="0.2">
      <c r="B271" s="129"/>
    </row>
    <row r="272" spans="1:10" ht="21.75" x14ac:dyDescent="0.3">
      <c r="A272" s="600" t="s">
        <v>272</v>
      </c>
      <c r="B272" s="341"/>
      <c r="C272" s="341"/>
      <c r="D272" s="341"/>
      <c r="E272" s="341"/>
      <c r="F272" s="421"/>
      <c r="G272" s="341"/>
      <c r="H272" s="341"/>
      <c r="I272" s="341"/>
      <c r="J272" s="392"/>
    </row>
    <row r="498" spans="2:4" s="15" customFormat="1" x14ac:dyDescent="0.2">
      <c r="B498" s="11"/>
      <c r="C498" s="11"/>
      <c r="D498" s="76"/>
    </row>
    <row r="499" spans="2:4" s="15" customFormat="1" x14ac:dyDescent="0.2">
      <c r="B499" s="11"/>
      <c r="C499" s="11"/>
      <c r="D499" s="76"/>
    </row>
    <row r="500" spans="2:4" s="15" customFormat="1" x14ac:dyDescent="0.2">
      <c r="B500" s="11"/>
      <c r="C500" s="11"/>
      <c r="D500" s="76"/>
    </row>
  </sheetData>
  <mergeCells count="6">
    <mergeCell ref="A4:G4"/>
    <mergeCell ref="G5:M5"/>
    <mergeCell ref="A45:D45"/>
    <mergeCell ref="F45:J45"/>
    <mergeCell ref="A68:D68"/>
    <mergeCell ref="F68:J68"/>
  </mergeCells>
  <phoneticPr fontId="23" type="noConversion"/>
  <dataValidations xWindow="1400" yWindow="320" count="1">
    <dataValidation allowBlank="1" showInputMessage="1" showErrorMessage="1" promptTitle="Achtung" prompt="Bei einer Änderung des Sortierergebnis müssen die anderen Kategorien so angepasst werden das es total 100% ergibt" sqref="D9:D12" xr:uid="{00000000-0002-0000-0000-000000000000}"/>
  </dataValidations>
  <pageMargins left="0.59055118110236227" right="0.39370078740157483" top="0.59055118110236227" bottom="0.78740157480314965" header="0.51181102362204722" footer="0.51181102362204722"/>
  <pageSetup paperSize="9" scale="65" orientation="landscape" r:id="rId1"/>
  <headerFooter alignWithMargins="0">
    <oddFooter>&amp;L&amp;6Arbokost Zwetschgen&amp;C&amp;6&amp;A   &amp;D&amp;R&amp;6Matthias Zürcher, Yvonne Leuenberger</oddFooter>
  </headerFooter>
  <rowBreaks count="8" manualBreakCount="8">
    <brk id="44" max="16383" man="1"/>
    <brk id="67" max="16383" man="1"/>
    <brk id="87" max="16383" man="1"/>
    <brk id="128" max="16383" man="1"/>
    <brk id="172" max="10" man="1"/>
    <brk id="222" max="16383" man="1"/>
    <brk id="271" max="16383" man="1"/>
    <brk id="328" max="16383" man="1"/>
  </rowBreaks>
  <cellWatches>
    <cellWatch r="B13"/>
  </cellWatche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tandardVorgaben">
    <tabColor indexed="18"/>
  </sheetPr>
  <dimension ref="A1:N192"/>
  <sheetViews>
    <sheetView zoomScale="75" workbookViewId="0">
      <selection activeCell="A5" sqref="A5"/>
    </sheetView>
  </sheetViews>
  <sheetFormatPr baseColWidth="10" defaultRowHeight="12.75" x14ac:dyDescent="0.2"/>
  <cols>
    <col min="1" max="1" width="31.7109375" customWidth="1"/>
    <col min="2" max="2" width="32.7109375" customWidth="1"/>
    <col min="3" max="3" width="24.7109375" style="108" customWidth="1"/>
    <col min="4" max="4" width="21.42578125" style="10" customWidth="1"/>
    <col min="5" max="5" width="20.7109375" style="10" customWidth="1"/>
    <col min="6" max="6" width="24.7109375" style="10" customWidth="1"/>
    <col min="7" max="7" width="15.7109375" customWidth="1"/>
    <col min="8" max="8" width="12.28515625" bestFit="1" customWidth="1"/>
    <col min="9" max="9" width="9.7109375" customWidth="1"/>
    <col min="10" max="10" width="6.42578125" customWidth="1"/>
    <col min="12" max="12" width="14.28515625" customWidth="1"/>
  </cols>
  <sheetData>
    <row r="1" spans="1:9" ht="44.25" customHeight="1" x14ac:dyDescent="0.4">
      <c r="A1" s="199" t="s">
        <v>682</v>
      </c>
      <c r="B1" s="622" t="str">
        <f>B7</f>
        <v>Tafelzwetschge</v>
      </c>
      <c r="C1" s="621"/>
      <c r="D1" s="615"/>
      <c r="E1" s="617"/>
      <c r="F1" s="616"/>
      <c r="G1" s="621"/>
    </row>
    <row r="2" spans="1:9" s="1" customFormat="1" ht="27" customHeight="1" x14ac:dyDescent="0.35">
      <c r="A2" s="187" t="s">
        <v>175</v>
      </c>
      <c r="B2" s="607"/>
      <c r="C2" s="623"/>
      <c r="D2" s="623"/>
      <c r="E2" s="623"/>
      <c r="F2" s="624"/>
      <c r="G2" s="619"/>
    </row>
    <row r="3" spans="1:9" s="1" customFormat="1" ht="51.75" customHeight="1" x14ac:dyDescent="0.2">
      <c r="A3" s="306" t="s">
        <v>176</v>
      </c>
      <c r="B3" s="1355" t="s">
        <v>584</v>
      </c>
      <c r="C3" s="1356"/>
      <c r="D3" s="1356"/>
      <c r="E3" s="1356"/>
      <c r="F3" s="1356"/>
      <c r="G3" s="1356"/>
    </row>
    <row r="4" spans="1:9" s="1" customFormat="1" ht="38.25" customHeight="1" x14ac:dyDescent="0.4">
      <c r="A4" s="1378" t="s">
        <v>331</v>
      </c>
      <c r="B4" s="1379"/>
      <c r="C4" s="1374" t="s">
        <v>668</v>
      </c>
      <c r="D4" s="1375"/>
      <c r="E4" s="1375"/>
      <c r="F4" s="1375"/>
      <c r="G4" s="1375"/>
    </row>
    <row r="5" spans="1:9" x14ac:dyDescent="0.2">
      <c r="C5"/>
      <c r="G5" s="324"/>
    </row>
    <row r="6" spans="1:9" ht="26.25" customHeight="1" x14ac:dyDescent="0.4">
      <c r="A6" s="199" t="s">
        <v>133</v>
      </c>
      <c r="B6" s="344"/>
      <c r="C6" s="201"/>
      <c r="D6" s="202"/>
      <c r="E6" s="340"/>
      <c r="F6" s="202"/>
      <c r="G6" s="345"/>
      <c r="I6" s="1"/>
    </row>
    <row r="7" spans="1:9" s="1" customFormat="1" ht="15.75" x14ac:dyDescent="0.25">
      <c r="A7" s="2" t="s">
        <v>135</v>
      </c>
      <c r="B7" s="690" t="s">
        <v>178</v>
      </c>
      <c r="C7" s="695"/>
      <c r="D7" s="696"/>
      <c r="E7" s="21"/>
      <c r="G7" s="191" t="s">
        <v>114</v>
      </c>
    </row>
    <row r="8" spans="1:9" s="1" customFormat="1" ht="15.75" x14ac:dyDescent="0.25">
      <c r="A8" s="2" t="s">
        <v>183</v>
      </c>
      <c r="B8" s="690" t="s">
        <v>332</v>
      </c>
      <c r="C8" s="12" t="s">
        <v>184</v>
      </c>
      <c r="D8" s="696"/>
      <c r="E8" s="21"/>
      <c r="F8" s="21"/>
    </row>
    <row r="9" spans="1:9" s="1" customFormat="1" ht="15.75" x14ac:dyDescent="0.25">
      <c r="A9" s="2" t="s">
        <v>136</v>
      </c>
      <c r="B9" s="690" t="s">
        <v>406</v>
      </c>
      <c r="C9" s="696"/>
      <c r="D9" s="696"/>
      <c r="E9" s="21"/>
      <c r="F9" s="21"/>
      <c r="G9" s="21"/>
    </row>
    <row r="10" spans="1:9" s="1" customFormat="1" ht="15.75" x14ac:dyDescent="0.25">
      <c r="A10" s="2" t="s">
        <v>7</v>
      </c>
      <c r="B10" s="691">
        <f>'Standard Vorgaben'!B24</f>
        <v>1125</v>
      </c>
      <c r="C10" s="696" t="s">
        <v>211</v>
      </c>
      <c r="D10" s="697"/>
      <c r="E10" s="41"/>
    </row>
    <row r="11" spans="1:9" s="1" customFormat="1" ht="15.75" x14ac:dyDescent="0.25">
      <c r="A11" s="2" t="s">
        <v>137</v>
      </c>
      <c r="B11" s="690" t="s">
        <v>3</v>
      </c>
      <c r="C11" s="690" t="s">
        <v>179</v>
      </c>
      <c r="D11" s="698"/>
      <c r="E11" s="205"/>
      <c r="F11" s="205"/>
      <c r="G11" s="44"/>
    </row>
    <row r="12" spans="1:9" s="1" customFormat="1" ht="15.75" x14ac:dyDescent="0.25">
      <c r="A12" s="2" t="s">
        <v>192</v>
      </c>
      <c r="B12" s="692" t="s">
        <v>207</v>
      </c>
      <c r="C12" s="699"/>
      <c r="D12" s="700"/>
      <c r="E12" s="44"/>
      <c r="F12" s="44"/>
      <c r="G12" s="44"/>
    </row>
    <row r="13" spans="1:9" ht="15.75" x14ac:dyDescent="0.25">
      <c r="A13" s="2" t="s">
        <v>212</v>
      </c>
      <c r="B13" s="693" t="s">
        <v>213</v>
      </c>
      <c r="C13" s="701"/>
      <c r="D13" s="702"/>
      <c r="E13" s="21"/>
      <c r="F13" s="157"/>
      <c r="G13" s="21"/>
    </row>
    <row r="14" spans="1:9" ht="15.75" x14ac:dyDescent="0.25">
      <c r="A14" s="2" t="s">
        <v>191</v>
      </c>
      <c r="B14" s="694" t="s">
        <v>210</v>
      </c>
      <c r="C14" s="690" t="s">
        <v>655</v>
      </c>
      <c r="E14" s="21"/>
      <c r="F14" s="157"/>
      <c r="G14" s="21"/>
    </row>
    <row r="15" spans="1:9" ht="13.5" thickBot="1" x14ac:dyDescent="0.25">
      <c r="A15" s="1"/>
      <c r="B15" s="1"/>
      <c r="C15" s="21"/>
      <c r="D15" s="40"/>
      <c r="E15" s="21"/>
      <c r="F15" s="158"/>
      <c r="G15" s="21"/>
    </row>
    <row r="16" spans="1:9" s="1" customFormat="1" ht="17.25" customHeight="1" thickBot="1" x14ac:dyDescent="0.3">
      <c r="A16" s="445" t="s">
        <v>138</v>
      </c>
      <c r="B16" s="307"/>
      <c r="C16" s="307"/>
      <c r="D16" s="308"/>
      <c r="E16" s="34"/>
      <c r="F16" s="34"/>
    </row>
    <row r="17" spans="1:13" s="1" customFormat="1" ht="13.5" customHeight="1" x14ac:dyDescent="0.2">
      <c r="A17" s="309"/>
      <c r="B17" s="310" t="s">
        <v>180</v>
      </c>
      <c r="C17" s="311" t="s">
        <v>181</v>
      </c>
      <c r="D17" s="308" t="s">
        <v>182</v>
      </c>
      <c r="E17" s="34"/>
      <c r="F17" s="34"/>
    </row>
    <row r="18" spans="1:13" s="1" customFormat="1" ht="15" customHeight="1" x14ac:dyDescent="0.25">
      <c r="A18" s="312" t="s">
        <v>0</v>
      </c>
      <c r="B18" s="707">
        <v>125</v>
      </c>
      <c r="C18" s="708">
        <v>115</v>
      </c>
      <c r="D18" s="313">
        <f>1-(C20/B20)</f>
        <v>0.13749999999999996</v>
      </c>
      <c r="E18" s="34"/>
      <c r="F18" s="34"/>
    </row>
    <row r="19" spans="1:13" s="1" customFormat="1" ht="13.5" customHeight="1" x14ac:dyDescent="0.2">
      <c r="A19" s="312" t="s">
        <v>1</v>
      </c>
      <c r="B19" s="707">
        <v>80</v>
      </c>
      <c r="C19" s="708">
        <v>75</v>
      </c>
      <c r="D19" s="677"/>
      <c r="E19" s="34"/>
      <c r="F19" s="34"/>
    </row>
    <row r="20" spans="1:13" s="1" customFormat="1" ht="15" customHeight="1" thickBot="1" x14ac:dyDescent="0.3">
      <c r="A20" s="314" t="s">
        <v>65</v>
      </c>
      <c r="B20" s="709">
        <f>B18*B19</f>
        <v>10000</v>
      </c>
      <c r="C20" s="710">
        <f>C18*C19</f>
        <v>8625</v>
      </c>
      <c r="D20" s="315">
        <f>B20-C20</f>
        <v>1375</v>
      </c>
      <c r="E20" s="34"/>
      <c r="F20" s="34"/>
    </row>
    <row r="21" spans="1:13" s="1" customFormat="1" ht="15" x14ac:dyDescent="0.25">
      <c r="A21" s="316" t="s">
        <v>4</v>
      </c>
      <c r="B21" s="317"/>
      <c r="C21" s="713">
        <v>4</v>
      </c>
      <c r="D21" s="318"/>
      <c r="E21" s="34"/>
      <c r="F21" s="34"/>
    </row>
    <row r="22" spans="1:13" s="1" customFormat="1" ht="15" x14ac:dyDescent="0.25">
      <c r="A22" s="316" t="s">
        <v>5</v>
      </c>
      <c r="B22" s="317"/>
      <c r="C22" s="713">
        <v>2</v>
      </c>
      <c r="D22" s="318"/>
      <c r="E22" s="34"/>
      <c r="F22" s="34"/>
    </row>
    <row r="23" spans="1:13" s="1" customFormat="1" ht="15" x14ac:dyDescent="0.25">
      <c r="A23" s="316" t="s">
        <v>6</v>
      </c>
      <c r="B23" s="317"/>
      <c r="C23" s="711">
        <f>ROUND((C19/C21),0)</f>
        <v>19</v>
      </c>
      <c r="D23" s="319"/>
      <c r="E23" s="34"/>
      <c r="F23" s="34"/>
    </row>
    <row r="24" spans="1:13" s="1" customFormat="1" ht="15.75" thickBot="1" x14ac:dyDescent="0.3">
      <c r="A24" s="320" t="s">
        <v>132</v>
      </c>
      <c r="B24" s="678">
        <v>1125</v>
      </c>
      <c r="C24" s="712">
        <f>ROUND(((C18/C22)+1),0)*ROUND(C23,0)</f>
        <v>1121</v>
      </c>
      <c r="D24" s="679"/>
      <c r="E24" s="34"/>
      <c r="F24" s="34"/>
    </row>
    <row r="25" spans="1:13" s="1" customFormat="1" ht="14.25" x14ac:dyDescent="0.2">
      <c r="A25" s="321"/>
      <c r="B25" s="321"/>
      <c r="C25" s="321"/>
      <c r="D25" s="734"/>
      <c r="E25" s="44"/>
      <c r="F25" s="44"/>
      <c r="G25" s="21"/>
    </row>
    <row r="26" spans="1:13" s="1" customFormat="1" ht="14.25" x14ac:dyDescent="0.2">
      <c r="A26" s="321" t="s">
        <v>85</v>
      </c>
      <c r="B26" s="735">
        <v>18</v>
      </c>
      <c r="C26" s="321"/>
      <c r="D26" s="734"/>
      <c r="E26" s="44"/>
      <c r="F26" s="44"/>
      <c r="G26" s="21"/>
    </row>
    <row r="27" spans="1:13" s="1" customFormat="1" ht="15" thickBot="1" x14ac:dyDescent="0.25">
      <c r="A27" s="321" t="s">
        <v>79</v>
      </c>
      <c r="B27" s="770">
        <v>4</v>
      </c>
      <c r="C27" s="321"/>
      <c r="D27" s="734"/>
      <c r="E27" s="44"/>
      <c r="F27" s="44"/>
      <c r="G27" s="21"/>
    </row>
    <row r="28" spans="1:13" s="1" customFormat="1" ht="14.25" x14ac:dyDescent="0.2">
      <c r="A28" s="321" t="s">
        <v>87</v>
      </c>
      <c r="B28" s="736">
        <f>B26-B27</f>
        <v>14</v>
      </c>
      <c r="C28" s="321"/>
      <c r="D28" s="734"/>
      <c r="E28" s="44"/>
      <c r="F28" s="44"/>
      <c r="G28" s="21"/>
    </row>
    <row r="29" spans="1:13" s="1" customFormat="1" ht="15" x14ac:dyDescent="0.25">
      <c r="A29" s="737" t="s">
        <v>214</v>
      </c>
      <c r="B29" s="738">
        <f>B28</f>
        <v>14</v>
      </c>
      <c r="C29" s="321"/>
      <c r="D29" s="734"/>
      <c r="E29" s="44"/>
      <c r="F29" s="44"/>
      <c r="G29" s="21"/>
    </row>
    <row r="30" spans="1:13" s="1" customFormat="1" x14ac:dyDescent="0.2">
      <c r="A30" s="21"/>
      <c r="B30" s="21"/>
      <c r="C30" s="21"/>
      <c r="D30" s="44"/>
      <c r="E30" s="44"/>
      <c r="F30" s="44"/>
      <c r="G30" s="21"/>
    </row>
    <row r="31" spans="1:13" s="1" customFormat="1" ht="15" x14ac:dyDescent="0.25">
      <c r="A31" s="714" t="s">
        <v>8</v>
      </c>
      <c r="B31" s="680" t="s">
        <v>130</v>
      </c>
      <c r="C31" s="739">
        <v>16</v>
      </c>
      <c r="D31" s="803" t="s">
        <v>185</v>
      </c>
      <c r="E31" s="680"/>
      <c r="F31" s="680"/>
      <c r="G31" s="680"/>
    </row>
    <row r="32" spans="1:13" s="1" customFormat="1" ht="18" x14ac:dyDescent="0.25">
      <c r="A32" s="714" t="s">
        <v>92</v>
      </c>
      <c r="B32" s="321" t="s">
        <v>401</v>
      </c>
      <c r="C32" s="740">
        <v>41.4</v>
      </c>
      <c r="D32" s="680"/>
      <c r="E32" s="680"/>
      <c r="F32" s="680"/>
      <c r="G32" s="680"/>
      <c r="M32" s="152"/>
    </row>
    <row r="33" spans="1:14" s="1" customFormat="1" ht="15" x14ac:dyDescent="0.25">
      <c r="A33" s="680"/>
      <c r="B33" s="680" t="s">
        <v>120</v>
      </c>
      <c r="C33" s="740">
        <v>24</v>
      </c>
      <c r="D33" s="741" t="s">
        <v>208</v>
      </c>
      <c r="E33" s="680"/>
      <c r="F33" s="742">
        <v>0.9</v>
      </c>
      <c r="G33" s="743"/>
      <c r="N33" s="15"/>
    </row>
    <row r="34" spans="1:14" s="1" customFormat="1" ht="15" customHeight="1" thickBot="1" x14ac:dyDescent="0.3">
      <c r="A34" s="680"/>
      <c r="B34" s="680" t="s">
        <v>131</v>
      </c>
      <c r="C34" s="751">
        <v>21.5</v>
      </c>
      <c r="D34" s="744"/>
      <c r="E34" s="744"/>
      <c r="F34" s="744"/>
      <c r="G34" s="680"/>
      <c r="N34" s="15"/>
    </row>
    <row r="35" spans="1:14" s="1" customFormat="1" ht="15" x14ac:dyDescent="0.25">
      <c r="A35" s="680"/>
      <c r="B35" s="15" t="s">
        <v>407</v>
      </c>
      <c r="C35" s="733">
        <f>(F33*C34)+(((1-F33)/2)*C33)+ (((1-F33)/2)*C32)</f>
        <v>22.62</v>
      </c>
      <c r="D35" s="744"/>
      <c r="E35" s="744"/>
      <c r="F35" s="744"/>
      <c r="G35" s="680"/>
      <c r="N35" s="15"/>
    </row>
    <row r="36" spans="1:14" s="1" customFormat="1" ht="15" x14ac:dyDescent="0.25">
      <c r="A36" s="680"/>
      <c r="B36" s="15" t="s">
        <v>408</v>
      </c>
      <c r="C36" s="733">
        <f>AVERAGE(C32:C33)</f>
        <v>32.700000000000003</v>
      </c>
      <c r="D36" s="744"/>
      <c r="E36" s="744"/>
      <c r="F36" s="744"/>
      <c r="G36" s="680"/>
      <c r="N36" s="15"/>
    </row>
    <row r="37" spans="1:14" s="1" customFormat="1" ht="15" x14ac:dyDescent="0.25">
      <c r="A37" s="680"/>
      <c r="B37" s="774" t="s">
        <v>660</v>
      </c>
      <c r="C37" s="733">
        <f>AVERAGE(C33:C34)</f>
        <v>22.75</v>
      </c>
      <c r="D37" s="744"/>
      <c r="E37" s="744"/>
      <c r="F37" s="744"/>
      <c r="G37" s="680"/>
      <c r="N37" s="15"/>
    </row>
    <row r="38" spans="1:14" s="1" customFormat="1" ht="15" x14ac:dyDescent="0.25">
      <c r="A38" s="714" t="s">
        <v>420</v>
      </c>
      <c r="B38" s="680"/>
      <c r="C38" s="892">
        <v>6000</v>
      </c>
      <c r="D38" s="745"/>
      <c r="E38" s="714" t="s">
        <v>656</v>
      </c>
      <c r="F38" s="1301" t="s">
        <v>669</v>
      </c>
      <c r="G38" s="1300">
        <v>470</v>
      </c>
      <c r="H38" s="651"/>
      <c r="M38" s="21"/>
      <c r="N38" s="15"/>
    </row>
    <row r="39" spans="1:14" s="1" customFormat="1" ht="15" x14ac:dyDescent="0.25">
      <c r="A39" s="714" t="s">
        <v>333</v>
      </c>
      <c r="B39" s="680"/>
      <c r="C39" s="747">
        <v>1100</v>
      </c>
      <c r="D39" s="745"/>
      <c r="E39" s="680"/>
      <c r="F39" s="680"/>
      <c r="G39" s="746"/>
      <c r="H39" s="651"/>
      <c r="M39"/>
      <c r="N39" s="15"/>
    </row>
    <row r="40" spans="1:14" s="1" customFormat="1" ht="15" x14ac:dyDescent="0.25">
      <c r="A40" s="714" t="s">
        <v>10</v>
      </c>
      <c r="B40" s="680"/>
      <c r="C40" s="715">
        <v>1.4999999999999999E-2</v>
      </c>
      <c r="D40" s="745"/>
      <c r="E40" s="1305" t="s">
        <v>676</v>
      </c>
      <c r="F40" s="681" t="str">
        <f>B14</f>
        <v>Tafelzwetschgen 33 mm</v>
      </c>
      <c r="G40" s="1302">
        <v>0.15</v>
      </c>
      <c r="H40" s="651"/>
      <c r="N40" s="15"/>
    </row>
    <row r="41" spans="1:14" ht="14.25" x14ac:dyDescent="0.2">
      <c r="A41" s="680" t="s">
        <v>166</v>
      </c>
      <c r="B41" s="680"/>
      <c r="C41" s="716">
        <v>0.6</v>
      </c>
      <c r="D41" s="745"/>
    </row>
    <row r="42" spans="1:14" ht="15" x14ac:dyDescent="0.25">
      <c r="A42" s="714" t="s">
        <v>159</v>
      </c>
      <c r="B42" s="717"/>
      <c r="C42" s="718">
        <v>660</v>
      </c>
      <c r="D42" s="745"/>
      <c r="E42" s="748"/>
      <c r="F42" s="748"/>
      <c r="G42" s="717"/>
    </row>
    <row r="43" spans="1:14" ht="15" x14ac:dyDescent="0.25">
      <c r="A43" s="749"/>
      <c r="B43" s="717"/>
      <c r="C43" s="750"/>
      <c r="D43" s="748"/>
      <c r="E43" s="748"/>
      <c r="F43" s="748"/>
      <c r="G43" s="717"/>
    </row>
    <row r="44" spans="1:14" s="1" customFormat="1" ht="26.25" customHeight="1" x14ac:dyDescent="0.4">
      <c r="A44" s="199" t="s">
        <v>150</v>
      </c>
      <c r="B44" s="344"/>
      <c r="C44" s="201"/>
      <c r="D44" s="202"/>
      <c r="E44" s="1380"/>
      <c r="F44" s="1380"/>
      <c r="M44" s="21"/>
      <c r="N44" s="15"/>
    </row>
    <row r="45" spans="1:14" s="1" customFormat="1" x14ac:dyDescent="0.2">
      <c r="A45" s="86" t="s">
        <v>151</v>
      </c>
      <c r="B45" s="329" t="str">
        <f>B14</f>
        <v>Tafelzwetschgen 33 mm</v>
      </c>
      <c r="C45" s="87" t="str">
        <f>C14</f>
        <v>Sortierabgang</v>
      </c>
      <c r="D45" s="86" t="s">
        <v>37</v>
      </c>
      <c r="E45" s="86" t="s">
        <v>38</v>
      </c>
      <c r="F45" s="86" t="s">
        <v>151</v>
      </c>
      <c r="G45" s="1381" t="s">
        <v>585</v>
      </c>
      <c r="H45" s="1381"/>
      <c r="M45" s="21"/>
      <c r="N45" s="15"/>
    </row>
    <row r="46" spans="1:14" s="1" customFormat="1" x14ac:dyDescent="0.2">
      <c r="A46" s="325">
        <v>1</v>
      </c>
      <c r="B46" s="1220">
        <v>1.84</v>
      </c>
      <c r="C46" s="880">
        <v>0</v>
      </c>
      <c r="D46" s="706">
        <v>0</v>
      </c>
      <c r="E46" s="35">
        <f>D46/'Standard Vorgaben'!$B$24</f>
        <v>0</v>
      </c>
      <c r="F46" s="125">
        <v>1</v>
      </c>
      <c r="G46" s="1382">
        <v>0</v>
      </c>
      <c r="H46" s="1382"/>
      <c r="M46" s="21"/>
      <c r="N46" s="15"/>
    </row>
    <row r="47" spans="1:14" s="1" customFormat="1" x14ac:dyDescent="0.2">
      <c r="A47" s="325">
        <v>2</v>
      </c>
      <c r="B47" s="48">
        <f t="shared" ref="B47:B59" si="0">B46</f>
        <v>1.84</v>
      </c>
      <c r="C47" s="48">
        <f t="shared" ref="C47:C61" si="1">C46</f>
        <v>0</v>
      </c>
      <c r="D47" s="706">
        <v>4000</v>
      </c>
      <c r="E47" s="35">
        <f>D47/'Standard Vorgaben'!$B$24</f>
        <v>3.5555555555555554</v>
      </c>
      <c r="F47" s="125">
        <v>2</v>
      </c>
      <c r="M47" s="21"/>
      <c r="N47" s="15"/>
    </row>
    <row r="48" spans="1:14" s="1" customFormat="1" x14ac:dyDescent="0.2">
      <c r="A48" s="325">
        <v>3</v>
      </c>
      <c r="B48" s="48">
        <f t="shared" si="0"/>
        <v>1.84</v>
      </c>
      <c r="C48" s="48">
        <f t="shared" si="1"/>
        <v>0</v>
      </c>
      <c r="D48" s="706">
        <v>6000</v>
      </c>
      <c r="E48" s="35">
        <f>D48/'Standard Vorgaben'!$B$24</f>
        <v>5.333333333333333</v>
      </c>
      <c r="F48" s="125">
        <v>3</v>
      </c>
      <c r="M48" s="21"/>
      <c r="N48" s="15"/>
    </row>
    <row r="49" spans="1:14" s="1" customFormat="1" x14ac:dyDescent="0.2">
      <c r="A49" s="325">
        <v>4</v>
      </c>
      <c r="B49" s="48">
        <f t="shared" si="0"/>
        <v>1.84</v>
      </c>
      <c r="C49" s="48">
        <f t="shared" si="1"/>
        <v>0</v>
      </c>
      <c r="D49" s="706">
        <v>10000</v>
      </c>
      <c r="E49" s="35">
        <f>D49/'Standard Vorgaben'!$B$24</f>
        <v>8.8888888888888893</v>
      </c>
      <c r="F49" s="125">
        <v>4</v>
      </c>
      <c r="M49" s="21"/>
      <c r="N49" s="15"/>
    </row>
    <row r="50" spans="1:14" s="1" customFormat="1" x14ac:dyDescent="0.2">
      <c r="A50" s="80">
        <v>5</v>
      </c>
      <c r="B50" s="48">
        <f t="shared" si="0"/>
        <v>1.84</v>
      </c>
      <c r="C50" s="48">
        <f t="shared" si="1"/>
        <v>0</v>
      </c>
      <c r="D50" s="706">
        <v>18000</v>
      </c>
      <c r="E50" s="35">
        <f>D50/'Standard Vorgaben'!$B$24</f>
        <v>16</v>
      </c>
      <c r="F50" s="125">
        <v>5</v>
      </c>
      <c r="M50" s="21"/>
      <c r="N50" s="15"/>
    </row>
    <row r="51" spans="1:14" s="1" customFormat="1" x14ac:dyDescent="0.2">
      <c r="A51" s="80">
        <v>6</v>
      </c>
      <c r="B51" s="48">
        <f t="shared" si="0"/>
        <v>1.84</v>
      </c>
      <c r="C51" s="48">
        <f t="shared" si="1"/>
        <v>0</v>
      </c>
      <c r="D51" s="900">
        <v>22000</v>
      </c>
      <c r="E51" s="35">
        <f>D51/'Standard Vorgaben'!$B$24</f>
        <v>19.555555555555557</v>
      </c>
      <c r="F51" s="125">
        <v>6</v>
      </c>
      <c r="M51" s="21"/>
      <c r="N51" s="15"/>
    </row>
    <row r="52" spans="1:14" s="1" customFormat="1" x14ac:dyDescent="0.2">
      <c r="A52" s="80">
        <v>7</v>
      </c>
      <c r="B52" s="48">
        <f t="shared" si="0"/>
        <v>1.84</v>
      </c>
      <c r="C52" s="48">
        <f t="shared" si="1"/>
        <v>0</v>
      </c>
      <c r="D52" s="706">
        <v>26000</v>
      </c>
      <c r="E52" s="35">
        <f>D52/'Standard Vorgaben'!$B$24</f>
        <v>23.111111111111111</v>
      </c>
      <c r="F52" s="125">
        <v>7</v>
      </c>
      <c r="M52" s="21"/>
      <c r="N52" s="15"/>
    </row>
    <row r="53" spans="1:14" s="1" customFormat="1" x14ac:dyDescent="0.2">
      <c r="A53" s="80">
        <v>8</v>
      </c>
      <c r="B53" s="48">
        <f t="shared" si="0"/>
        <v>1.84</v>
      </c>
      <c r="C53" s="48">
        <f t="shared" si="1"/>
        <v>0</v>
      </c>
      <c r="D53" s="706">
        <v>26000</v>
      </c>
      <c r="E53" s="35">
        <f>D53/'Standard Vorgaben'!$B$24</f>
        <v>23.111111111111111</v>
      </c>
      <c r="F53" s="125">
        <v>8</v>
      </c>
      <c r="M53" s="21"/>
      <c r="N53" s="15"/>
    </row>
    <row r="54" spans="1:14" s="1" customFormat="1" x14ac:dyDescent="0.2">
      <c r="A54" s="80">
        <v>9</v>
      </c>
      <c r="B54" s="48">
        <f t="shared" si="0"/>
        <v>1.84</v>
      </c>
      <c r="C54" s="48">
        <f t="shared" si="1"/>
        <v>0</v>
      </c>
      <c r="D54" s="706">
        <v>26000</v>
      </c>
      <c r="E54" s="35">
        <f>D54/'Standard Vorgaben'!$B$24</f>
        <v>23.111111111111111</v>
      </c>
      <c r="F54" s="125">
        <v>9</v>
      </c>
      <c r="M54" s="21"/>
      <c r="N54" s="15"/>
    </row>
    <row r="55" spans="1:14" s="1" customFormat="1" x14ac:dyDescent="0.2">
      <c r="A55" s="80">
        <v>10</v>
      </c>
      <c r="B55" s="48">
        <f t="shared" si="0"/>
        <v>1.84</v>
      </c>
      <c r="C55" s="48">
        <f t="shared" si="1"/>
        <v>0</v>
      </c>
      <c r="D55" s="706">
        <v>26000</v>
      </c>
      <c r="E55" s="35">
        <f>D55/'Standard Vorgaben'!$B$24</f>
        <v>23.111111111111111</v>
      </c>
      <c r="F55" s="125">
        <v>10</v>
      </c>
      <c r="M55" s="21"/>
      <c r="N55" s="15"/>
    </row>
    <row r="56" spans="1:14" s="1" customFormat="1" x14ac:dyDescent="0.2">
      <c r="A56" s="80">
        <v>11</v>
      </c>
      <c r="B56" s="48">
        <f t="shared" si="0"/>
        <v>1.84</v>
      </c>
      <c r="C56" s="48">
        <f t="shared" si="1"/>
        <v>0</v>
      </c>
      <c r="D56" s="706">
        <v>26000</v>
      </c>
      <c r="E56" s="35">
        <f>D56/'Standard Vorgaben'!$B$24</f>
        <v>23.111111111111111</v>
      </c>
      <c r="F56" s="125">
        <v>11</v>
      </c>
      <c r="M56" s="21"/>
      <c r="N56" s="15"/>
    </row>
    <row r="57" spans="1:14" s="1" customFormat="1" x14ac:dyDescent="0.2">
      <c r="A57" s="80">
        <v>12</v>
      </c>
      <c r="B57" s="48">
        <f t="shared" si="0"/>
        <v>1.84</v>
      </c>
      <c r="C57" s="48">
        <f t="shared" si="1"/>
        <v>0</v>
      </c>
      <c r="D57" s="706">
        <v>26000</v>
      </c>
      <c r="E57" s="35">
        <f>D57/'Standard Vorgaben'!$B$24</f>
        <v>23.111111111111111</v>
      </c>
      <c r="F57" s="125">
        <v>12</v>
      </c>
      <c r="M57" s="21"/>
      <c r="N57" s="15"/>
    </row>
    <row r="58" spans="1:14" s="1" customFormat="1" x14ac:dyDescent="0.2">
      <c r="A58" s="80">
        <v>13</v>
      </c>
      <c r="B58" s="48">
        <f t="shared" si="0"/>
        <v>1.84</v>
      </c>
      <c r="C58" s="48">
        <f t="shared" si="1"/>
        <v>0</v>
      </c>
      <c r="D58" s="706">
        <v>26000</v>
      </c>
      <c r="E58" s="35">
        <f>D58/'Standard Vorgaben'!$B$24</f>
        <v>23.111111111111111</v>
      </c>
      <c r="F58" s="125">
        <v>13</v>
      </c>
      <c r="M58" s="21"/>
      <c r="N58" s="15"/>
    </row>
    <row r="59" spans="1:14" s="1" customFormat="1" x14ac:dyDescent="0.2">
      <c r="A59" s="98">
        <v>14</v>
      </c>
      <c r="B59" s="45">
        <f t="shared" si="0"/>
        <v>1.84</v>
      </c>
      <c r="C59" s="45">
        <f t="shared" si="1"/>
        <v>0</v>
      </c>
      <c r="D59" s="706">
        <v>26000</v>
      </c>
      <c r="E59" s="39">
        <f>D59/'Standard Vorgaben'!$B$24</f>
        <v>23.111111111111111</v>
      </c>
      <c r="F59" s="181">
        <v>14</v>
      </c>
      <c r="M59" s="21"/>
      <c r="N59" s="15"/>
    </row>
    <row r="60" spans="1:14" s="1" customFormat="1" x14ac:dyDescent="0.2">
      <c r="A60" s="98">
        <v>15</v>
      </c>
      <c r="B60" s="45">
        <f>B59</f>
        <v>1.84</v>
      </c>
      <c r="C60" s="45">
        <f t="shared" si="1"/>
        <v>0</v>
      </c>
      <c r="D60" s="706">
        <v>26000</v>
      </c>
      <c r="E60" s="39">
        <f>D60/'Standard Vorgaben'!$B$24</f>
        <v>23.111111111111111</v>
      </c>
      <c r="F60" s="181">
        <v>15</v>
      </c>
      <c r="M60" s="21"/>
      <c r="N60" s="15"/>
    </row>
    <row r="61" spans="1:14" x14ac:dyDescent="0.2">
      <c r="A61" s="661">
        <v>16</v>
      </c>
      <c r="B61" s="372">
        <f>B60</f>
        <v>1.84</v>
      </c>
      <c r="C61" s="372">
        <f t="shared" si="1"/>
        <v>0</v>
      </c>
      <c r="D61" s="706">
        <v>26000</v>
      </c>
      <c r="E61" s="338">
        <f>D61/'Standard Vorgaben'!$B$24</f>
        <v>23.111111111111111</v>
      </c>
      <c r="F61" s="762">
        <v>16</v>
      </c>
    </row>
    <row r="62" spans="1:14" s="1" customFormat="1" x14ac:dyDescent="0.2">
      <c r="A62" s="54" t="s">
        <v>235</v>
      </c>
      <c r="B62" s="48">
        <f>SUM(B46:B49)</f>
        <v>7.36</v>
      </c>
      <c r="C62" s="48">
        <f>SUM(C46:C49)</f>
        <v>0</v>
      </c>
      <c r="D62" s="69">
        <f>SUM(D46:D49)</f>
        <v>20000</v>
      </c>
      <c r="E62" s="84">
        <f>SUM(E46:E49)</f>
        <v>17.777777777777779</v>
      </c>
      <c r="M62" s="21"/>
      <c r="N62" s="15"/>
    </row>
    <row r="63" spans="1:14" s="1" customFormat="1" x14ac:dyDescent="0.2">
      <c r="A63" s="54" t="s">
        <v>236</v>
      </c>
      <c r="B63" s="48">
        <f>SUM(B46:B61)</f>
        <v>29.44</v>
      </c>
      <c r="C63" s="48">
        <f>SUM(C46:C61)</f>
        <v>0</v>
      </c>
      <c r="D63" s="69">
        <f>SUM(D46:D61)</f>
        <v>320000</v>
      </c>
      <c r="E63" s="84">
        <f>SUM(E46:E61)</f>
        <v>284.4444444444444</v>
      </c>
      <c r="M63" s="21"/>
      <c r="N63" s="15"/>
    </row>
    <row r="64" spans="1:14" s="1" customFormat="1" x14ac:dyDescent="0.2">
      <c r="A64" s="54" t="s">
        <v>237</v>
      </c>
      <c r="B64" s="322">
        <f>AVERAGE(B50:B61)</f>
        <v>1.84</v>
      </c>
      <c r="C64" s="322">
        <f>AVERAGE(C50:C61)</f>
        <v>0</v>
      </c>
      <c r="D64" s="69">
        <f>AVERAGE(D50:D61)</f>
        <v>25000</v>
      </c>
      <c r="E64" s="84">
        <f>AVERAGE(E50:E61)</f>
        <v>22.222222222222225</v>
      </c>
      <c r="M64" s="21"/>
      <c r="N64" s="15"/>
    </row>
    <row r="65" spans="1:14" s="1" customFormat="1" x14ac:dyDescent="0.2">
      <c r="A65" s="54" t="s">
        <v>238</v>
      </c>
      <c r="B65" s="322">
        <f>AVERAGE(B46:B61)</f>
        <v>1.84</v>
      </c>
      <c r="C65" s="322">
        <f>AVERAGE(C46:C61)</f>
        <v>0</v>
      </c>
      <c r="D65" s="69">
        <f>AVERAGE(D46:D61)</f>
        <v>20000</v>
      </c>
      <c r="E65" s="84">
        <f>AVERAGE(E46:E61)</f>
        <v>17.777777777777775</v>
      </c>
      <c r="K65" s="1214"/>
      <c r="M65" s="21"/>
      <c r="N65" s="15"/>
    </row>
    <row r="66" spans="1:14" s="1" customFormat="1" x14ac:dyDescent="0.2">
      <c r="B66" s="83"/>
      <c r="C66" s="83"/>
      <c r="D66" s="83"/>
      <c r="E66" s="69"/>
      <c r="F66" s="84"/>
      <c r="M66" s="21"/>
      <c r="N66" s="15"/>
    </row>
    <row r="67" spans="1:14" s="1" customFormat="1" ht="26.25" x14ac:dyDescent="0.4">
      <c r="A67" s="199" t="s">
        <v>149</v>
      </c>
      <c r="B67" s="344"/>
      <c r="C67" s="201"/>
      <c r="D67" s="202"/>
      <c r="E67" s="340"/>
      <c r="F67" s="202"/>
      <c r="G67" s="345"/>
      <c r="M67" s="21"/>
      <c r="N67" s="15"/>
    </row>
    <row r="68" spans="1:14" s="1" customFormat="1" x14ac:dyDescent="0.2">
      <c r="A68" s="755" t="s">
        <v>151</v>
      </c>
      <c r="B68" s="756" t="str">
        <f>B14</f>
        <v>Tafelzwetschgen 33 mm</v>
      </c>
      <c r="C68" s="756" t="str">
        <f>C14</f>
        <v>Sortierabgang</v>
      </c>
      <c r="D68" s="458" t="s">
        <v>226</v>
      </c>
      <c r="E68" s="540" t="s">
        <v>151</v>
      </c>
      <c r="M68" s="21"/>
      <c r="N68" s="15"/>
    </row>
    <row r="69" spans="1:14" s="1" customFormat="1" x14ac:dyDescent="0.2">
      <c r="A69" s="755">
        <v>1</v>
      </c>
      <c r="B69" s="704">
        <v>0.9</v>
      </c>
      <c r="C69" s="704">
        <v>0.1</v>
      </c>
      <c r="D69" s="705">
        <v>40</v>
      </c>
      <c r="E69" s="181">
        <v>1</v>
      </c>
      <c r="M69" s="21"/>
      <c r="N69" s="15"/>
    </row>
    <row r="70" spans="1:14" s="1" customFormat="1" x14ac:dyDescent="0.2">
      <c r="A70" s="758">
        <v>2</v>
      </c>
      <c r="B70" s="68">
        <f>B69</f>
        <v>0.9</v>
      </c>
      <c r="C70" s="68">
        <f>C69</f>
        <v>0.1</v>
      </c>
      <c r="D70" s="328">
        <f>D69</f>
        <v>40</v>
      </c>
      <c r="E70" s="181">
        <v>2</v>
      </c>
      <c r="M70" s="21"/>
      <c r="N70" s="15"/>
    </row>
    <row r="71" spans="1:14" s="1" customFormat="1" ht="12.75" customHeight="1" x14ac:dyDescent="0.2">
      <c r="A71" s="758">
        <v>3</v>
      </c>
      <c r="B71" s="68">
        <f>B69</f>
        <v>0.9</v>
      </c>
      <c r="C71" s="68">
        <f>C69</f>
        <v>0.1</v>
      </c>
      <c r="D71" s="328">
        <f>D69</f>
        <v>40</v>
      </c>
      <c r="E71" s="181">
        <v>3</v>
      </c>
      <c r="M71" s="21"/>
      <c r="N71" s="15"/>
    </row>
    <row r="72" spans="1:14" s="1" customFormat="1" x14ac:dyDescent="0.2">
      <c r="A72" s="758">
        <v>4</v>
      </c>
      <c r="B72" s="68">
        <f>B69</f>
        <v>0.9</v>
      </c>
      <c r="C72" s="68">
        <f>C69</f>
        <v>0.1</v>
      </c>
      <c r="D72" s="328">
        <f>D69</f>
        <v>40</v>
      </c>
      <c r="E72" s="181">
        <v>4</v>
      </c>
      <c r="M72" s="21"/>
      <c r="N72" s="15"/>
    </row>
    <row r="73" spans="1:14" s="1" customFormat="1" ht="12.75" customHeight="1" x14ac:dyDescent="0.25">
      <c r="A73" s="76">
        <v>5</v>
      </c>
      <c r="B73" s="68">
        <f>B69</f>
        <v>0.9</v>
      </c>
      <c r="C73" s="68">
        <f>C69</f>
        <v>0.1</v>
      </c>
      <c r="D73" s="328">
        <f>D69</f>
        <v>40</v>
      </c>
      <c r="E73" s="181">
        <v>5</v>
      </c>
      <c r="F73" s="1213"/>
      <c r="I73" s="76"/>
      <c r="J73" s="15"/>
      <c r="K73" s="159"/>
      <c r="L73" s="74"/>
      <c r="M73" s="21"/>
      <c r="N73" s="15"/>
    </row>
    <row r="74" spans="1:14" s="1" customFormat="1" ht="12.75" customHeight="1" x14ac:dyDescent="0.25">
      <c r="A74" s="76">
        <v>6</v>
      </c>
      <c r="B74" s="68">
        <f>B70</f>
        <v>0.9</v>
      </c>
      <c r="C74" s="68">
        <f>C70</f>
        <v>0.1</v>
      </c>
      <c r="D74" s="899">
        <f>D69</f>
        <v>40</v>
      </c>
      <c r="E74" s="181">
        <v>6</v>
      </c>
      <c r="I74" s="76"/>
      <c r="J74" s="15"/>
      <c r="K74" s="159"/>
      <c r="L74" s="74"/>
      <c r="M74" s="21"/>
      <c r="N74" s="15"/>
    </row>
    <row r="75" spans="1:14" s="1" customFormat="1" ht="12.75" customHeight="1" x14ac:dyDescent="0.25">
      <c r="A75" s="76">
        <v>7</v>
      </c>
      <c r="B75" s="68">
        <f>B71</f>
        <v>0.9</v>
      </c>
      <c r="C75" s="68">
        <f>C71</f>
        <v>0.1</v>
      </c>
      <c r="D75" s="899">
        <f>D70</f>
        <v>40</v>
      </c>
      <c r="E75" s="181">
        <v>7</v>
      </c>
      <c r="I75" s="76"/>
      <c r="J75" s="15"/>
      <c r="K75" s="159"/>
      <c r="L75" s="74"/>
      <c r="M75" s="21"/>
      <c r="N75" s="15"/>
    </row>
    <row r="76" spans="1:14" s="1" customFormat="1" ht="12.75" customHeight="1" x14ac:dyDescent="0.25">
      <c r="A76" s="76">
        <v>8</v>
      </c>
      <c r="B76" s="1202">
        <v>0.9</v>
      </c>
      <c r="C76" s="704">
        <v>0.1</v>
      </c>
      <c r="D76" s="1203">
        <v>40</v>
      </c>
      <c r="E76" s="181">
        <v>8</v>
      </c>
      <c r="I76" s="76"/>
      <c r="J76" s="15"/>
      <c r="K76" s="159"/>
      <c r="L76" s="74"/>
      <c r="M76" s="21"/>
      <c r="N76" s="15"/>
    </row>
    <row r="77" spans="1:14" s="1" customFormat="1" ht="12.75" customHeight="1" x14ac:dyDescent="0.25">
      <c r="A77" s="76">
        <v>9</v>
      </c>
      <c r="B77" s="781">
        <f>B76</f>
        <v>0.9</v>
      </c>
      <c r="C77" s="68">
        <f>C76</f>
        <v>0.1</v>
      </c>
      <c r="D77" s="899">
        <f>$D$76</f>
        <v>40</v>
      </c>
      <c r="E77" s="181">
        <v>9</v>
      </c>
      <c r="I77" s="76"/>
      <c r="J77" s="15"/>
      <c r="K77" s="159"/>
      <c r="L77" s="74"/>
      <c r="M77" s="21"/>
      <c r="N77" s="15"/>
    </row>
    <row r="78" spans="1:14" s="1" customFormat="1" ht="12.75" customHeight="1" x14ac:dyDescent="0.25">
      <c r="A78" s="76">
        <v>10</v>
      </c>
      <c r="B78" s="781">
        <f>B76</f>
        <v>0.9</v>
      </c>
      <c r="C78" s="68">
        <f>C76</f>
        <v>0.1</v>
      </c>
      <c r="D78" s="899">
        <f t="shared" ref="D78:D84" si="2">$D$76</f>
        <v>40</v>
      </c>
      <c r="E78" s="181">
        <v>10</v>
      </c>
      <c r="I78" s="76"/>
      <c r="J78" s="15"/>
      <c r="K78" s="159"/>
      <c r="L78" s="74"/>
      <c r="M78" s="21"/>
      <c r="N78" s="15"/>
    </row>
    <row r="79" spans="1:14" s="1" customFormat="1" ht="12.75" customHeight="1" x14ac:dyDescent="0.25">
      <c r="A79" s="76">
        <v>11</v>
      </c>
      <c r="B79" s="781">
        <f t="shared" ref="B79:B84" si="3">B78</f>
        <v>0.9</v>
      </c>
      <c r="C79" s="68">
        <f t="shared" ref="C79:C84" si="4">C78</f>
        <v>0.1</v>
      </c>
      <c r="D79" s="899">
        <f t="shared" si="2"/>
        <v>40</v>
      </c>
      <c r="E79" s="181">
        <v>11</v>
      </c>
      <c r="I79" s="76"/>
      <c r="J79" s="15"/>
      <c r="K79" s="159"/>
      <c r="L79" s="74"/>
      <c r="M79" s="21"/>
      <c r="N79" s="15"/>
    </row>
    <row r="80" spans="1:14" s="1" customFormat="1" ht="12.75" customHeight="1" x14ac:dyDescent="0.25">
      <c r="A80" s="76">
        <v>12</v>
      </c>
      <c r="B80" s="781">
        <f t="shared" si="3"/>
        <v>0.9</v>
      </c>
      <c r="C80" s="68">
        <f t="shared" si="4"/>
        <v>0.1</v>
      </c>
      <c r="D80" s="899">
        <f t="shared" si="2"/>
        <v>40</v>
      </c>
      <c r="E80" s="181">
        <v>12</v>
      </c>
      <c r="I80" s="76"/>
      <c r="J80" s="15"/>
      <c r="K80" s="159"/>
      <c r="L80" s="74"/>
      <c r="M80" s="21"/>
      <c r="N80" s="15"/>
    </row>
    <row r="81" spans="1:14" s="1" customFormat="1" ht="12.75" customHeight="1" x14ac:dyDescent="0.25">
      <c r="A81" s="76">
        <v>13</v>
      </c>
      <c r="B81" s="781">
        <f t="shared" si="3"/>
        <v>0.9</v>
      </c>
      <c r="C81" s="68">
        <f t="shared" si="4"/>
        <v>0.1</v>
      </c>
      <c r="D81" s="899">
        <f t="shared" si="2"/>
        <v>40</v>
      </c>
      <c r="E81" s="181">
        <v>13</v>
      </c>
      <c r="I81" s="76"/>
      <c r="J81" s="15"/>
      <c r="K81" s="159"/>
      <c r="L81" s="74"/>
      <c r="M81" s="21"/>
      <c r="N81" s="15"/>
    </row>
    <row r="82" spans="1:14" s="1" customFormat="1" ht="12.75" customHeight="1" x14ac:dyDescent="0.25">
      <c r="A82" s="76">
        <v>14</v>
      </c>
      <c r="B82" s="781">
        <f t="shared" si="3"/>
        <v>0.9</v>
      </c>
      <c r="C82" s="68">
        <f t="shared" si="4"/>
        <v>0.1</v>
      </c>
      <c r="D82" s="899">
        <f t="shared" si="2"/>
        <v>40</v>
      </c>
      <c r="E82" s="181">
        <v>14</v>
      </c>
      <c r="I82" s="76"/>
      <c r="J82" s="15"/>
      <c r="K82" s="159"/>
      <c r="L82" s="74"/>
      <c r="M82" s="21"/>
      <c r="N82" s="15"/>
    </row>
    <row r="83" spans="1:14" s="1" customFormat="1" ht="12.75" customHeight="1" x14ac:dyDescent="0.25">
      <c r="A83" s="76">
        <v>15</v>
      </c>
      <c r="B83" s="781">
        <f t="shared" si="3"/>
        <v>0.9</v>
      </c>
      <c r="C83" s="68">
        <f t="shared" si="4"/>
        <v>0.1</v>
      </c>
      <c r="D83" s="899">
        <f t="shared" si="2"/>
        <v>40</v>
      </c>
      <c r="E83" s="181">
        <v>15</v>
      </c>
      <c r="I83" s="76"/>
      <c r="J83" s="15"/>
      <c r="K83" s="159"/>
      <c r="L83" s="74"/>
      <c r="M83" s="21"/>
      <c r="N83" s="15"/>
    </row>
    <row r="84" spans="1:14" s="1" customFormat="1" ht="12.75" customHeight="1" x14ac:dyDescent="0.25">
      <c r="A84" s="761">
        <v>16</v>
      </c>
      <c r="B84" s="781">
        <f t="shared" si="3"/>
        <v>0.9</v>
      </c>
      <c r="C84" s="68">
        <f t="shared" si="4"/>
        <v>0.1</v>
      </c>
      <c r="D84" s="899">
        <f t="shared" si="2"/>
        <v>40</v>
      </c>
      <c r="E84" s="762">
        <v>16</v>
      </c>
      <c r="I84" s="76"/>
      <c r="J84" s="15"/>
      <c r="K84" s="159"/>
      <c r="L84" s="74"/>
      <c r="M84" s="21"/>
      <c r="N84" s="15"/>
    </row>
    <row r="85" spans="1:14" s="1" customFormat="1" ht="15.75" x14ac:dyDescent="0.25">
      <c r="A85" s="757" t="s">
        <v>237</v>
      </c>
      <c r="B85" s="898">
        <f>AVERAGE(B73:B84)</f>
        <v>0.90000000000000024</v>
      </c>
      <c r="C85" s="153">
        <f>AVERAGE(C73:C84)</f>
        <v>9.9999999999999992E-2</v>
      </c>
      <c r="D85" s="759">
        <f>AVERAGE(D73:D84)</f>
        <v>40</v>
      </c>
      <c r="E85" s="759">
        <f>AVERAGE(E73:E84)</f>
        <v>10.5</v>
      </c>
      <c r="I85" s="76"/>
      <c r="J85" s="15"/>
      <c r="K85" s="159"/>
      <c r="L85" s="74"/>
      <c r="M85" s="21"/>
      <c r="N85" s="15"/>
    </row>
    <row r="86" spans="1:14" s="1" customFormat="1" ht="15.75" x14ac:dyDescent="0.25">
      <c r="A86" s="757" t="s">
        <v>238</v>
      </c>
      <c r="B86" s="153">
        <f>AVERAGE(B69:B84)</f>
        <v>0.90000000000000024</v>
      </c>
      <c r="C86" s="153">
        <f>AVERAGE(C69:C84)</f>
        <v>0.10000000000000002</v>
      </c>
      <c r="D86" s="759">
        <f>AVERAGE(D69:D84)</f>
        <v>40</v>
      </c>
      <c r="E86" s="760"/>
      <c r="I86" s="76"/>
      <c r="J86" s="15"/>
      <c r="K86" s="159"/>
      <c r="L86" s="74"/>
      <c r="M86" s="21"/>
      <c r="N86" s="15"/>
    </row>
    <row r="87" spans="1:14" s="1" customFormat="1" ht="15.75" x14ac:dyDescent="0.25">
      <c r="B87" s="83"/>
      <c r="C87" s="83"/>
      <c r="D87" s="83"/>
      <c r="E87" s="69"/>
      <c r="F87" s="84"/>
      <c r="I87" s="98"/>
      <c r="J87" s="21"/>
      <c r="K87" s="159"/>
      <c r="L87" s="127"/>
      <c r="M87" s="21"/>
      <c r="N87" s="21"/>
    </row>
    <row r="88" spans="1:14" s="1" customFormat="1" ht="33" x14ac:dyDescent="0.45">
      <c r="A88" s="199" t="s">
        <v>335</v>
      </c>
      <c r="B88" s="344"/>
      <c r="C88" s="201"/>
      <c r="D88" s="202"/>
      <c r="E88" s="340"/>
      <c r="F88" s="202"/>
      <c r="G88" s="345"/>
      <c r="H88" s="198"/>
      <c r="I88" s="153"/>
      <c r="J88" s="21"/>
      <c r="K88" s="159"/>
      <c r="L88" s="127"/>
      <c r="M88" s="21"/>
      <c r="N88" s="21"/>
    </row>
    <row r="89" spans="1:14" s="1" customFormat="1" ht="43.5" customHeight="1" x14ac:dyDescent="0.25">
      <c r="A89" s="21"/>
      <c r="B89" s="797" t="s">
        <v>139</v>
      </c>
      <c r="C89" s="797" t="s">
        <v>140</v>
      </c>
      <c r="D89" s="799" t="s">
        <v>417</v>
      </c>
      <c r="E89" s="800" t="s">
        <v>418</v>
      </c>
      <c r="F89" s="800" t="s">
        <v>438</v>
      </c>
      <c r="G89" s="801" t="s">
        <v>143</v>
      </c>
      <c r="I89" s="98"/>
      <c r="J89" s="21"/>
      <c r="K89" s="159"/>
      <c r="L89" s="127"/>
      <c r="M89" s="21"/>
      <c r="N89" s="21"/>
    </row>
    <row r="90" spans="1:14" s="1" customFormat="1" ht="15.75" x14ac:dyDescent="0.25">
      <c r="A90" s="21"/>
      <c r="B90" s="110" t="s">
        <v>141</v>
      </c>
      <c r="C90" s="110" t="s">
        <v>141</v>
      </c>
      <c r="D90" s="110" t="s">
        <v>141</v>
      </c>
      <c r="E90" s="110" t="s">
        <v>141</v>
      </c>
      <c r="F90" s="110" t="s">
        <v>141</v>
      </c>
      <c r="G90" s="110" t="s">
        <v>141</v>
      </c>
      <c r="I90" s="98"/>
      <c r="J90" s="21"/>
      <c r="K90" s="159"/>
      <c r="L90" s="127"/>
      <c r="M90" s="21"/>
      <c r="N90" s="21"/>
    </row>
    <row r="91" spans="1:14" s="1" customFormat="1" ht="15.75" x14ac:dyDescent="0.25">
      <c r="A91" s="98" t="s">
        <v>435</v>
      </c>
      <c r="B91" s="879">
        <v>10</v>
      </c>
      <c r="C91" s="879">
        <v>5</v>
      </c>
      <c r="D91" s="879">
        <v>100</v>
      </c>
      <c r="E91" s="879">
        <v>100</v>
      </c>
      <c r="F91" s="767">
        <v>30</v>
      </c>
      <c r="G91" s="768">
        <v>10</v>
      </c>
      <c r="I91" s="98"/>
      <c r="J91" s="21"/>
      <c r="K91" s="159"/>
      <c r="L91" s="127"/>
      <c r="M91" s="21"/>
      <c r="N91" s="21"/>
    </row>
    <row r="92" spans="1:14" s="1" customFormat="1" ht="15.75" x14ac:dyDescent="0.25">
      <c r="A92" s="21" t="s">
        <v>110</v>
      </c>
      <c r="B92" s="879">
        <v>10</v>
      </c>
      <c r="C92" s="879">
        <v>5</v>
      </c>
      <c r="D92" s="879">
        <v>20</v>
      </c>
      <c r="E92" s="879">
        <v>0</v>
      </c>
      <c r="F92" s="767">
        <v>10</v>
      </c>
      <c r="G92" s="768">
        <v>10</v>
      </c>
      <c r="I92" s="98"/>
      <c r="J92" s="21"/>
      <c r="K92" s="159"/>
      <c r="L92" s="127"/>
      <c r="M92" s="21"/>
      <c r="N92" s="21"/>
    </row>
    <row r="93" spans="1:14" s="1" customFormat="1" ht="15.75" x14ac:dyDescent="0.25">
      <c r="A93" s="21" t="s">
        <v>144</v>
      </c>
      <c r="B93" s="879">
        <v>10</v>
      </c>
      <c r="C93" s="879">
        <v>5</v>
      </c>
      <c r="D93" s="879">
        <v>40</v>
      </c>
      <c r="E93" s="879">
        <v>0</v>
      </c>
      <c r="F93" s="767">
        <v>10</v>
      </c>
      <c r="G93" s="768">
        <v>10</v>
      </c>
      <c r="I93" s="98"/>
      <c r="J93" s="21"/>
      <c r="K93" s="159"/>
      <c r="L93" s="127"/>
      <c r="M93" s="21"/>
      <c r="N93" s="21"/>
    </row>
    <row r="94" spans="1:14" s="1" customFormat="1" ht="15.75" x14ac:dyDescent="0.25">
      <c r="A94" s="1" t="s">
        <v>434</v>
      </c>
      <c r="B94" s="879">
        <v>10</v>
      </c>
      <c r="C94" s="879">
        <v>5</v>
      </c>
      <c r="D94" s="879">
        <v>60</v>
      </c>
      <c r="E94" s="879">
        <v>60</v>
      </c>
      <c r="F94" s="767">
        <v>10</v>
      </c>
      <c r="G94" s="768">
        <v>10</v>
      </c>
      <c r="I94" s="98"/>
      <c r="J94" s="21"/>
      <c r="K94" s="159"/>
      <c r="L94" s="127"/>
      <c r="M94" s="21"/>
      <c r="N94" s="21"/>
    </row>
    <row r="95" spans="1:14" s="1" customFormat="1" ht="15.75" x14ac:dyDescent="0.25">
      <c r="B95" s="168"/>
      <c r="C95" s="168"/>
      <c r="D95" s="168"/>
      <c r="E95" s="168"/>
      <c r="F95" s="84"/>
      <c r="I95" s="98"/>
      <c r="J95" s="21"/>
      <c r="K95" s="159"/>
      <c r="L95" s="127"/>
      <c r="M95" s="21"/>
      <c r="N95" s="21"/>
    </row>
    <row r="96" spans="1:14" s="1" customFormat="1" ht="32.1" customHeight="1" x14ac:dyDescent="0.4">
      <c r="A96" s="1378" t="s">
        <v>334</v>
      </c>
      <c r="B96" s="1378"/>
      <c r="C96" s="1374"/>
      <c r="D96" s="1374"/>
      <c r="E96" s="1374"/>
      <c r="F96" s="1374"/>
      <c r="G96" s="1374"/>
    </row>
    <row r="97" spans="1:14" x14ac:dyDescent="0.2">
      <c r="K97" s="1"/>
      <c r="M97" s="21"/>
      <c r="N97" s="77"/>
    </row>
    <row r="98" spans="1:14" s="1" customFormat="1" ht="26.25" x14ac:dyDescent="0.4">
      <c r="A98" s="199" t="s">
        <v>109</v>
      </c>
      <c r="B98" s="344"/>
      <c r="C98" s="201"/>
      <c r="D98" s="201"/>
      <c r="E98" s="201"/>
      <c r="F98" s="201"/>
      <c r="G98" s="1215"/>
      <c r="M98" s="21"/>
      <c r="N98" s="15"/>
    </row>
    <row r="99" spans="1:14" ht="23.1" customHeight="1" x14ac:dyDescent="0.2">
      <c r="A99" s="763"/>
      <c r="B99" s="87" t="s">
        <v>62</v>
      </c>
      <c r="C99" s="1308" t="s">
        <v>674</v>
      </c>
      <c r="D99" s="1221" t="s">
        <v>426</v>
      </c>
      <c r="E99" s="87" t="s">
        <v>152</v>
      </c>
      <c r="F99" s="110"/>
      <c r="G99" s="134"/>
      <c r="I99" s="21"/>
      <c r="J99" s="21"/>
      <c r="K99" s="21"/>
      <c r="L99" s="21"/>
      <c r="M99" s="21"/>
      <c r="N99" s="15"/>
    </row>
    <row r="100" spans="1:14" x14ac:dyDescent="0.2">
      <c r="A100" s="764" t="s">
        <v>58</v>
      </c>
      <c r="B100" s="726">
        <v>0.9</v>
      </c>
      <c r="C100" s="726">
        <v>1.08</v>
      </c>
      <c r="D100" s="726">
        <v>0.79</v>
      </c>
      <c r="E100" s="726">
        <v>0.67</v>
      </c>
      <c r="F100" s="11"/>
      <c r="H100" s="650"/>
      <c r="I100" s="154"/>
      <c r="J100" s="41"/>
      <c r="K100" s="41"/>
      <c r="L100" s="153"/>
      <c r="M100" s="21"/>
    </row>
    <row r="101" spans="1:14" x14ac:dyDescent="0.2">
      <c r="A101" s="42"/>
      <c r="B101" s="727"/>
      <c r="C101" s="727"/>
      <c r="D101" s="371"/>
      <c r="E101" s="371"/>
      <c r="F101" s="11"/>
      <c r="I101" s="154"/>
      <c r="J101" s="44"/>
      <c r="K101" s="44"/>
      <c r="L101" s="44"/>
      <c r="M101" s="21"/>
    </row>
    <row r="102" spans="1:14" x14ac:dyDescent="0.2">
      <c r="A102" s="765" t="s">
        <v>96</v>
      </c>
      <c r="B102" s="728">
        <v>150</v>
      </c>
      <c r="C102" s="728">
        <v>270</v>
      </c>
      <c r="D102" s="728">
        <v>0</v>
      </c>
      <c r="E102" s="728">
        <v>0</v>
      </c>
      <c r="F102" s="11"/>
      <c r="I102" s="154"/>
      <c r="J102" s="155"/>
      <c r="K102" s="155"/>
      <c r="L102" s="156"/>
      <c r="M102" s="21"/>
    </row>
    <row r="103" spans="1:14" x14ac:dyDescent="0.2">
      <c r="A103" s="763"/>
      <c r="B103" s="696"/>
      <c r="C103" s="669"/>
      <c r="D103" s="13"/>
      <c r="E103" s="13"/>
      <c r="F103" s="11"/>
      <c r="I103" s="21"/>
      <c r="J103" s="21"/>
      <c r="K103" s="21"/>
      <c r="L103" s="21"/>
      <c r="M103" s="21"/>
    </row>
    <row r="104" spans="1:14" x14ac:dyDescent="0.2">
      <c r="A104" s="765" t="s">
        <v>110</v>
      </c>
      <c r="B104" s="882">
        <v>150</v>
      </c>
      <c r="C104" s="882">
        <v>0</v>
      </c>
      <c r="D104" s="882">
        <v>0</v>
      </c>
      <c r="E104" s="882">
        <v>0</v>
      </c>
      <c r="F104" s="11"/>
      <c r="I104" s="40"/>
      <c r="J104" s="21"/>
      <c r="K104" s="40"/>
      <c r="L104" s="40"/>
      <c r="M104" s="21"/>
    </row>
    <row r="105" spans="1:14" x14ac:dyDescent="0.2">
      <c r="A105" s="766" t="s">
        <v>155</v>
      </c>
      <c r="B105" s="881">
        <v>2</v>
      </c>
      <c r="C105" s="881">
        <v>0</v>
      </c>
      <c r="D105" s="881">
        <v>0</v>
      </c>
      <c r="E105" s="881">
        <v>0</v>
      </c>
      <c r="F105" s="11"/>
      <c r="I105" s="40"/>
      <c r="J105" s="21"/>
      <c r="K105" s="40"/>
      <c r="L105" s="40"/>
      <c r="M105" s="21"/>
    </row>
    <row r="106" spans="1:14" x14ac:dyDescent="0.2">
      <c r="A106" s="765" t="s">
        <v>111</v>
      </c>
      <c r="B106" s="882">
        <v>150</v>
      </c>
      <c r="C106" s="882">
        <v>0</v>
      </c>
      <c r="D106" s="882">
        <v>0</v>
      </c>
      <c r="E106" s="882">
        <v>0</v>
      </c>
      <c r="F106" s="11"/>
      <c r="I106" s="40"/>
      <c r="J106" s="21"/>
      <c r="K106" s="157"/>
      <c r="L106" s="21"/>
      <c r="M106" s="21"/>
    </row>
    <row r="107" spans="1:14" x14ac:dyDescent="0.2">
      <c r="A107" s="766" t="s">
        <v>155</v>
      </c>
      <c r="B107" s="881">
        <v>2</v>
      </c>
      <c r="C107" s="881">
        <v>0</v>
      </c>
      <c r="D107" s="881">
        <v>0</v>
      </c>
      <c r="E107" s="881">
        <v>0</v>
      </c>
      <c r="F107" s="11"/>
      <c r="I107" s="40"/>
      <c r="J107" s="21"/>
      <c r="K107" s="158"/>
      <c r="L107" s="21"/>
      <c r="M107" s="21"/>
    </row>
    <row r="108" spans="1:14" ht="15.75" x14ac:dyDescent="0.25">
      <c r="A108" s="765" t="s">
        <v>436</v>
      </c>
      <c r="B108" s="882">
        <v>180</v>
      </c>
      <c r="C108" s="882">
        <v>0</v>
      </c>
      <c r="D108" s="882">
        <v>0</v>
      </c>
      <c r="E108" s="882">
        <v>0</v>
      </c>
      <c r="F108" s="11"/>
      <c r="I108" s="98"/>
      <c r="J108" s="21"/>
      <c r="K108" s="159"/>
      <c r="L108" s="127"/>
      <c r="M108" s="21"/>
    </row>
    <row r="109" spans="1:14" x14ac:dyDescent="0.2">
      <c r="A109" s="766" t="s">
        <v>155</v>
      </c>
      <c r="B109" s="881">
        <v>2</v>
      </c>
      <c r="C109" s="881">
        <v>0</v>
      </c>
      <c r="D109" s="881">
        <v>0</v>
      </c>
      <c r="E109" s="881">
        <v>0</v>
      </c>
      <c r="F109" s="11"/>
    </row>
    <row r="110" spans="1:14" x14ac:dyDescent="0.2">
      <c r="A110" s="765" t="s">
        <v>437</v>
      </c>
      <c r="B110" s="882">
        <v>220</v>
      </c>
      <c r="C110" s="882">
        <v>300</v>
      </c>
      <c r="D110" s="882">
        <v>35</v>
      </c>
      <c r="E110" s="882">
        <v>180</v>
      </c>
      <c r="F110" s="11"/>
    </row>
    <row r="111" spans="1:14" x14ac:dyDescent="0.2">
      <c r="A111" s="766" t="s">
        <v>155</v>
      </c>
      <c r="B111" s="881">
        <v>3</v>
      </c>
      <c r="C111" s="881">
        <v>1</v>
      </c>
      <c r="D111" s="881">
        <v>0</v>
      </c>
      <c r="E111" s="881">
        <v>0</v>
      </c>
      <c r="F111" s="11"/>
    </row>
    <row r="112" spans="1:14" x14ac:dyDescent="0.2">
      <c r="A112" s="763"/>
      <c r="B112" s="15"/>
      <c r="C112" s="107"/>
      <c r="D112" s="11"/>
      <c r="E112" s="11"/>
      <c r="F112" s="11"/>
    </row>
    <row r="113" spans="1:9" s="1" customFormat="1" ht="46.5" customHeight="1" x14ac:dyDescent="0.4">
      <c r="A113" s="199" t="s">
        <v>427</v>
      </c>
      <c r="B113" s="344"/>
      <c r="C113" s="201"/>
      <c r="D113" s="202"/>
      <c r="E113" s="340"/>
      <c r="F113" s="1376"/>
      <c r="G113" s="1377"/>
    </row>
    <row r="114" spans="1:9" x14ac:dyDescent="0.2">
      <c r="A114" s="171"/>
      <c r="B114" s="21"/>
      <c r="C114" s="298"/>
      <c r="D114" s="11"/>
      <c r="E114" s="11"/>
      <c r="F114" s="676"/>
    </row>
    <row r="115" spans="1:9" x14ac:dyDescent="0.2">
      <c r="A115" s="676"/>
      <c r="B115" s="1320" t="s">
        <v>41</v>
      </c>
      <c r="C115" s="1320" t="s">
        <v>42</v>
      </c>
      <c r="D115" s="1320" t="s">
        <v>43</v>
      </c>
      <c r="E115" s="1320" t="s">
        <v>688</v>
      </c>
      <c r="F115" s="650"/>
    </row>
    <row r="116" spans="1:9" x14ac:dyDescent="0.2">
      <c r="A116" s="1319" t="s">
        <v>683</v>
      </c>
      <c r="B116" s="1321">
        <v>420</v>
      </c>
      <c r="C116" s="1321">
        <v>550</v>
      </c>
      <c r="D116" s="1321">
        <v>1200</v>
      </c>
      <c r="E116" s="1321">
        <v>1200</v>
      </c>
      <c r="F116" s="650"/>
      <c r="G116" s="650"/>
    </row>
    <row r="117" spans="1:9" x14ac:dyDescent="0.2">
      <c r="A117" s="4" t="s">
        <v>684</v>
      </c>
      <c r="B117" s="1321">
        <v>55</v>
      </c>
      <c r="C117" s="1321">
        <v>55</v>
      </c>
      <c r="D117" s="1321">
        <v>900</v>
      </c>
      <c r="E117" s="1321">
        <v>1200</v>
      </c>
      <c r="F117" s="650"/>
      <c r="G117" s="650"/>
    </row>
    <row r="118" spans="1:9" x14ac:dyDescent="0.2">
      <c r="A118" s="4" t="s">
        <v>685</v>
      </c>
      <c r="B118" s="1321">
        <v>0</v>
      </c>
      <c r="C118" s="1321">
        <v>80</v>
      </c>
      <c r="D118" s="1321">
        <v>150</v>
      </c>
      <c r="E118" s="1321">
        <v>160</v>
      </c>
      <c r="F118" s="650"/>
      <c r="G118" s="650"/>
    </row>
    <row r="119" spans="1:9" x14ac:dyDescent="0.2">
      <c r="A119" s="53"/>
      <c r="B119" s="53"/>
      <c r="C119" s="53"/>
      <c r="D119" s="53"/>
      <c r="E119" s="53"/>
      <c r="F119" s="650"/>
      <c r="G119" s="650"/>
    </row>
    <row r="120" spans="1:9" x14ac:dyDescent="0.2">
      <c r="A120" s="1319" t="s">
        <v>686</v>
      </c>
      <c r="B120" s="53">
        <v>6</v>
      </c>
      <c r="C120" s="53">
        <v>7</v>
      </c>
      <c r="D120" s="53">
        <v>13</v>
      </c>
      <c r="E120" s="53">
        <v>13</v>
      </c>
      <c r="F120" s="650"/>
      <c r="G120" s="650"/>
    </row>
    <row r="121" spans="1:9" x14ac:dyDescent="0.2">
      <c r="A121" s="4" t="s">
        <v>687</v>
      </c>
      <c r="B121" s="1225">
        <v>2</v>
      </c>
      <c r="C121" s="1225">
        <v>2</v>
      </c>
      <c r="D121" s="1225">
        <v>4</v>
      </c>
      <c r="E121" s="1225">
        <v>4</v>
      </c>
      <c r="F121" s="650"/>
      <c r="G121" s="650"/>
    </row>
    <row r="122" spans="1:9" x14ac:dyDescent="0.2">
      <c r="A122" s="526"/>
      <c r="B122" s="650"/>
      <c r="C122"/>
      <c r="D122" s="650"/>
      <c r="E122"/>
      <c r="F122" s="650"/>
      <c r="G122" s="650"/>
    </row>
    <row r="123" spans="1:9" s="1" customFormat="1" ht="20.25" x14ac:dyDescent="0.3">
      <c r="B123" s="122"/>
      <c r="C123" s="111"/>
      <c r="D123" s="34"/>
      <c r="E123" s="34"/>
      <c r="F123" s="34"/>
    </row>
    <row r="124" spans="1:9" ht="26.25" x14ac:dyDescent="0.4">
      <c r="A124" s="459" t="s">
        <v>23</v>
      </c>
      <c r="B124" s="200"/>
      <c r="C124" s="460"/>
      <c r="D124" s="461"/>
      <c r="E124" s="461"/>
      <c r="F124" s="1352"/>
      <c r="G124" s="1353"/>
      <c r="H124" s="1353"/>
    </row>
    <row r="125" spans="1:9" x14ac:dyDescent="0.2">
      <c r="A125" s="109" t="s">
        <v>171</v>
      </c>
      <c r="B125" s="108"/>
      <c r="C125" s="11"/>
      <c r="D125" s="11"/>
      <c r="E125" s="11"/>
      <c r="F125" s="11"/>
      <c r="G125" s="15"/>
    </row>
    <row r="126" spans="1:9" x14ac:dyDescent="0.2">
      <c r="A126" s="109" t="s">
        <v>409</v>
      </c>
      <c r="B126" s="108"/>
      <c r="C126" s="10"/>
      <c r="E126" s="11"/>
      <c r="F126" s="11"/>
      <c r="G126" s="15"/>
    </row>
    <row r="127" spans="1:9" x14ac:dyDescent="0.2">
      <c r="A127" s="4"/>
    </row>
    <row r="128" spans="1:9" ht="15.75" x14ac:dyDescent="0.25">
      <c r="A128" s="194" t="s">
        <v>99</v>
      </c>
      <c r="B128" s="15"/>
      <c r="C128" s="113"/>
      <c r="D128" s="11"/>
      <c r="E128" s="11"/>
      <c r="F128" s="11"/>
      <c r="G128" s="15"/>
      <c r="H128" s="15"/>
      <c r="I128" s="15"/>
    </row>
    <row r="129" spans="1:11" ht="18" customHeight="1" x14ac:dyDescent="0.25">
      <c r="A129" s="773" t="s">
        <v>24</v>
      </c>
      <c r="B129" s="98" t="s">
        <v>368</v>
      </c>
      <c r="C129" s="669"/>
      <c r="D129" s="885">
        <f>D141</f>
        <v>41</v>
      </c>
      <c r="E129" s="772"/>
      <c r="F129" s="11"/>
      <c r="G129" s="128"/>
      <c r="H129" s="15"/>
      <c r="I129" s="15"/>
    </row>
    <row r="130" spans="1:11" x14ac:dyDescent="0.2">
      <c r="A130" s="80"/>
      <c r="B130" s="15"/>
      <c r="C130" s="136" t="s">
        <v>115</v>
      </c>
      <c r="D130" s="778" t="s">
        <v>116</v>
      </c>
      <c r="E130" s="110" t="s">
        <v>11</v>
      </c>
      <c r="F130" s="87" t="s">
        <v>402</v>
      </c>
      <c r="G130" s="87" t="s">
        <v>403</v>
      </c>
      <c r="H130" s="87" t="s">
        <v>404</v>
      </c>
    </row>
    <row r="131" spans="1:11" x14ac:dyDescent="0.2">
      <c r="A131" s="1354" t="s">
        <v>113</v>
      </c>
      <c r="B131" s="774" t="s">
        <v>439</v>
      </c>
      <c r="C131" s="719">
        <v>1</v>
      </c>
      <c r="D131" s="1329">
        <v>37</v>
      </c>
      <c r="E131" s="682"/>
      <c r="F131" s="1198"/>
      <c r="G131" s="1332">
        <v>11.67</v>
      </c>
      <c r="H131" s="683"/>
      <c r="J131" s="650"/>
    </row>
    <row r="132" spans="1:11" x14ac:dyDescent="0.2">
      <c r="A132" s="1354"/>
      <c r="B132" s="774" t="s">
        <v>662</v>
      </c>
      <c r="C132" s="719">
        <v>1</v>
      </c>
      <c r="D132" s="1330">
        <v>69</v>
      </c>
      <c r="E132" s="682"/>
      <c r="F132" s="1198"/>
      <c r="G132" s="1332">
        <v>13.22</v>
      </c>
      <c r="H132" s="683"/>
      <c r="J132" s="650"/>
      <c r="K132" s="651"/>
    </row>
    <row r="133" spans="1:11" x14ac:dyDescent="0.2">
      <c r="A133" s="1354"/>
      <c r="B133" s="21" t="s">
        <v>659</v>
      </c>
      <c r="C133" s="719">
        <v>1</v>
      </c>
      <c r="D133" s="1330">
        <v>18</v>
      </c>
      <c r="E133" s="682"/>
      <c r="F133" s="1198"/>
      <c r="G133" s="1332">
        <v>7.03</v>
      </c>
      <c r="H133" s="683"/>
      <c r="J133" s="650"/>
    </row>
    <row r="134" spans="1:11" ht="15.6" customHeight="1" x14ac:dyDescent="0.2">
      <c r="A134" s="1354"/>
      <c r="B134" s="171" t="s">
        <v>156</v>
      </c>
      <c r="C134" s="720">
        <v>0.1</v>
      </c>
      <c r="D134" s="1331">
        <v>25</v>
      </c>
      <c r="E134" s="11"/>
      <c r="F134" s="883"/>
      <c r="G134" s="1332">
        <v>5</v>
      </c>
      <c r="H134" s="683"/>
      <c r="I134" s="118"/>
      <c r="J134" s="650"/>
    </row>
    <row r="135" spans="1:11" ht="15.6" customHeight="1" x14ac:dyDescent="0.2">
      <c r="A135" s="1354"/>
      <c r="B135" s="774" t="s">
        <v>428</v>
      </c>
      <c r="C135" s="719">
        <v>0.5</v>
      </c>
      <c r="D135" s="1330">
        <v>42</v>
      </c>
      <c r="E135" s="13"/>
      <c r="F135" s="1198"/>
      <c r="G135" s="1332">
        <v>14.5</v>
      </c>
      <c r="H135" s="683"/>
      <c r="I135" s="118"/>
      <c r="J135" s="650"/>
    </row>
    <row r="136" spans="1:11" ht="15.6" customHeight="1" x14ac:dyDescent="0.2">
      <c r="A136" s="1354"/>
      <c r="B136" s="774" t="s">
        <v>67</v>
      </c>
      <c r="C136" s="719">
        <v>2</v>
      </c>
      <c r="D136" s="1330">
        <v>68.3</v>
      </c>
      <c r="E136" s="13"/>
      <c r="F136" s="883"/>
      <c r="G136" s="1332">
        <v>29.05</v>
      </c>
      <c r="H136" s="683"/>
      <c r="I136" s="118"/>
      <c r="J136" s="650"/>
    </row>
    <row r="137" spans="1:11" ht="15.6" customHeight="1" x14ac:dyDescent="0.2">
      <c r="A137" s="1354"/>
      <c r="B137" s="774" t="s">
        <v>157</v>
      </c>
      <c r="C137" s="39"/>
      <c r="D137" s="776">
        <v>500</v>
      </c>
      <c r="E137" s="11"/>
      <c r="F137" s="884"/>
      <c r="G137" s="884"/>
      <c r="H137" s="149"/>
      <c r="J137" s="650"/>
    </row>
    <row r="138" spans="1:11" ht="15.75" x14ac:dyDescent="0.25">
      <c r="A138" s="194"/>
      <c r="B138" s="15"/>
      <c r="C138" s="684"/>
      <c r="D138" s="107"/>
      <c r="E138" s="11"/>
      <c r="F138" s="884"/>
      <c r="G138" s="884"/>
      <c r="H138" s="149"/>
    </row>
    <row r="139" spans="1:11" ht="17.850000000000001" customHeight="1" x14ac:dyDescent="0.25">
      <c r="A139" s="194"/>
      <c r="B139" s="194" t="s">
        <v>107</v>
      </c>
      <c r="C139" s="113"/>
      <c r="D139" s="11"/>
      <c r="E139" s="11"/>
      <c r="F139" s="769" t="s">
        <v>125</v>
      </c>
      <c r="G139" s="769" t="s">
        <v>126</v>
      </c>
      <c r="H139" s="771" t="s">
        <v>93</v>
      </c>
    </row>
    <row r="140" spans="1:11" ht="17.850000000000001" customHeight="1" x14ac:dyDescent="0.25">
      <c r="A140" s="194"/>
      <c r="B140" s="76"/>
      <c r="C140" s="136" t="s">
        <v>84</v>
      </c>
      <c r="D140" s="110" t="s">
        <v>21</v>
      </c>
      <c r="E140" s="11"/>
      <c r="F140" s="777" t="s">
        <v>21</v>
      </c>
      <c r="G140" s="777" t="s">
        <v>21</v>
      </c>
      <c r="H140" s="777" t="s">
        <v>21</v>
      </c>
    </row>
    <row r="141" spans="1:11" ht="15.75" x14ac:dyDescent="0.25">
      <c r="A141" s="773" t="s">
        <v>24</v>
      </c>
      <c r="B141" s="763" t="s">
        <v>664</v>
      </c>
      <c r="C141" s="684" t="s">
        <v>2</v>
      </c>
      <c r="D141" s="1325">
        <v>41</v>
      </c>
      <c r="E141" s="11"/>
      <c r="F141" s="1200"/>
      <c r="G141" s="1200"/>
      <c r="H141" s="683"/>
      <c r="I141" s="1"/>
      <c r="J141" s="650"/>
    </row>
    <row r="142" spans="1:11" ht="15.75" x14ac:dyDescent="0.25">
      <c r="A142" s="773" t="s">
        <v>113</v>
      </c>
      <c r="B142" s="21" t="s">
        <v>187</v>
      </c>
      <c r="C142" s="719">
        <v>3.8</v>
      </c>
      <c r="D142" s="1325">
        <v>23</v>
      </c>
      <c r="E142" s="11"/>
      <c r="F142" s="1198"/>
      <c r="G142" s="1198"/>
      <c r="H142" s="683"/>
      <c r="I142" s="1"/>
      <c r="J142" s="650"/>
    </row>
    <row r="143" spans="1:11" x14ac:dyDescent="0.2">
      <c r="A143" s="763"/>
      <c r="B143" s="763" t="s">
        <v>665</v>
      </c>
      <c r="C143" s="719">
        <v>1.8</v>
      </c>
      <c r="D143" s="1325">
        <v>101</v>
      </c>
      <c r="E143" s="11"/>
      <c r="F143" s="1198"/>
      <c r="G143" s="1198"/>
      <c r="H143" s="683"/>
      <c r="I143" s="1"/>
      <c r="J143" s="650"/>
    </row>
    <row r="144" spans="1:11" x14ac:dyDescent="0.2">
      <c r="A144" s="763"/>
      <c r="B144" s="21" t="s">
        <v>97</v>
      </c>
      <c r="C144" s="719">
        <v>1.6</v>
      </c>
      <c r="D144" s="1325">
        <v>90</v>
      </c>
      <c r="E144" s="11"/>
      <c r="F144" s="683"/>
      <c r="G144" s="683"/>
      <c r="H144" s="683"/>
      <c r="I144" s="1"/>
      <c r="J144" s="650"/>
    </row>
    <row r="145" spans="1:10" x14ac:dyDescent="0.2">
      <c r="A145" s="763"/>
      <c r="B145" s="21" t="s">
        <v>98</v>
      </c>
      <c r="C145" s="685">
        <v>0.1</v>
      </c>
      <c r="D145" s="1326">
        <v>15</v>
      </c>
      <c r="E145" s="11"/>
      <c r="F145" s="683"/>
      <c r="G145" s="683"/>
      <c r="H145" s="683"/>
      <c r="I145" s="1"/>
      <c r="J145" s="650"/>
    </row>
    <row r="146" spans="1:10" x14ac:dyDescent="0.2">
      <c r="A146" s="763"/>
      <c r="B146" s="21" t="s">
        <v>470</v>
      </c>
      <c r="C146" s="685"/>
      <c r="D146" s="1326">
        <v>25</v>
      </c>
      <c r="E146" s="11"/>
      <c r="F146" s="683"/>
      <c r="G146" s="683"/>
      <c r="H146" s="683"/>
      <c r="I146" s="1"/>
      <c r="J146" s="650"/>
    </row>
    <row r="147" spans="1:10" x14ac:dyDescent="0.2">
      <c r="A147" s="763"/>
      <c r="B147" s="763" t="s">
        <v>440</v>
      </c>
      <c r="C147" s="1197"/>
      <c r="D147" s="1326">
        <v>8</v>
      </c>
      <c r="E147" s="891"/>
      <c r="F147" s="1198"/>
      <c r="G147" s="1198"/>
      <c r="H147" s="683"/>
      <c r="I147" s="1"/>
      <c r="J147" s="650"/>
    </row>
    <row r="148" spans="1:10" x14ac:dyDescent="0.2">
      <c r="A148" s="15"/>
      <c r="B148" s="774" t="s">
        <v>25</v>
      </c>
      <c r="C148" s="886"/>
      <c r="D148" s="1327">
        <v>220</v>
      </c>
      <c r="E148" s="891"/>
      <c r="F148" s="41"/>
      <c r="G148" s="763"/>
      <c r="H148" s="683"/>
      <c r="I148" s="1226"/>
      <c r="J148" s="650"/>
    </row>
    <row r="149" spans="1:10" x14ac:dyDescent="0.2">
      <c r="B149" s="763" t="s">
        <v>666</v>
      </c>
      <c r="C149" s="1199"/>
      <c r="D149" s="1328">
        <v>37</v>
      </c>
      <c r="E149" s="53"/>
      <c r="F149" s="1225"/>
      <c r="G149" s="4"/>
      <c r="H149" s="683"/>
      <c r="I149" s="1226"/>
      <c r="J149" s="135"/>
    </row>
    <row r="150" spans="1:10" x14ac:dyDescent="0.2">
      <c r="B150" s="763" t="s">
        <v>384</v>
      </c>
      <c r="C150" s="1199" t="s">
        <v>405</v>
      </c>
      <c r="D150" s="1326">
        <v>150</v>
      </c>
      <c r="E150" s="53"/>
      <c r="F150" s="1225"/>
      <c r="G150" s="4"/>
      <c r="H150" s="1226"/>
      <c r="I150" s="1226"/>
      <c r="J150" s="135"/>
    </row>
    <row r="151" spans="1:10" x14ac:dyDescent="0.2">
      <c r="B151" s="763" t="s">
        <v>433</v>
      </c>
      <c r="C151" s="1199"/>
      <c r="D151" s="1326">
        <v>17.5</v>
      </c>
      <c r="E151" s="53"/>
      <c r="F151" s="1225"/>
      <c r="G151" s="4"/>
      <c r="H151" s="683"/>
      <c r="I151" s="1226"/>
      <c r="J151" s="135"/>
    </row>
    <row r="152" spans="1:10" x14ac:dyDescent="0.2">
      <c r="F152" s="34"/>
      <c r="G152" s="1"/>
      <c r="H152" s="1"/>
      <c r="I152" s="1"/>
    </row>
    <row r="153" spans="1:10" ht="26.25" x14ac:dyDescent="0.4">
      <c r="A153" s="199" t="s">
        <v>17</v>
      </c>
      <c r="B153" s="344"/>
      <c r="C153" s="201"/>
      <c r="D153" s="202"/>
      <c r="E153" s="340"/>
      <c r="F153" s="202"/>
      <c r="G153" s="345"/>
    </row>
    <row r="154" spans="1:10" x14ac:dyDescent="0.2">
      <c r="C154" s="206" t="s">
        <v>218</v>
      </c>
      <c r="D154" s="37" t="s">
        <v>217</v>
      </c>
    </row>
    <row r="155" spans="1:10" ht="25.5" x14ac:dyDescent="0.2">
      <c r="A155" s="49" t="s">
        <v>215</v>
      </c>
      <c r="B155" s="207" t="s">
        <v>220</v>
      </c>
      <c r="C155" s="721">
        <v>10</v>
      </c>
      <c r="D155" s="1315">
        <v>21</v>
      </c>
      <c r="E155" s="118" t="s">
        <v>429</v>
      </c>
    </row>
    <row r="156" spans="1:10" ht="18" customHeight="1" x14ac:dyDescent="0.2">
      <c r="B156" t="s">
        <v>216</v>
      </c>
      <c r="C156" s="722">
        <v>15</v>
      </c>
      <c r="D156" s="1316">
        <v>15.7</v>
      </c>
    </row>
    <row r="157" spans="1:10" x14ac:dyDescent="0.2">
      <c r="C157" s="326">
        <f>SUM(C155:C156)</f>
        <v>25</v>
      </c>
      <c r="D157" s="323">
        <f>((C155*D155)+(C156*D156))/C157</f>
        <v>17.82</v>
      </c>
    </row>
    <row r="158" spans="1:10" x14ac:dyDescent="0.2">
      <c r="A158" s="49" t="s">
        <v>202</v>
      </c>
      <c r="E158" s="37" t="s">
        <v>199</v>
      </c>
    </row>
    <row r="159" spans="1:10" x14ac:dyDescent="0.2">
      <c r="B159" t="s">
        <v>200</v>
      </c>
      <c r="D159" s="34"/>
      <c r="E159" s="724">
        <v>200</v>
      </c>
      <c r="G159" s="10"/>
    </row>
    <row r="160" spans="1:10" x14ac:dyDescent="0.2">
      <c r="B160" t="s">
        <v>201</v>
      </c>
      <c r="D160" s="34"/>
      <c r="E160" s="724">
        <v>50</v>
      </c>
    </row>
    <row r="161" spans="1:7" ht="26.25" x14ac:dyDescent="0.4">
      <c r="A161" s="199" t="s">
        <v>14</v>
      </c>
      <c r="B161" s="344"/>
      <c r="C161" s="201"/>
      <c r="D161" s="202"/>
      <c r="E161" s="340"/>
      <c r="F161" s="202"/>
      <c r="G161" s="345"/>
    </row>
    <row r="162" spans="1:7" x14ac:dyDescent="0.2">
      <c r="A162" s="15"/>
      <c r="B162" s="15"/>
      <c r="C162" s="87" t="s">
        <v>11</v>
      </c>
      <c r="D162" s="87" t="s">
        <v>12</v>
      </c>
      <c r="E162" s="87" t="s">
        <v>199</v>
      </c>
      <c r="F162" s="44"/>
    </row>
    <row r="163" spans="1:7" x14ac:dyDescent="0.2">
      <c r="A163" s="76" t="s">
        <v>280</v>
      </c>
      <c r="B163" s="21" t="s">
        <v>100</v>
      </c>
      <c r="C163" s="902"/>
      <c r="D163" s="703">
        <v>6.9</v>
      </c>
      <c r="E163" s="44"/>
      <c r="F163" s="903"/>
    </row>
    <row r="164" spans="1:7" x14ac:dyDescent="0.2">
      <c r="A164" s="15"/>
      <c r="B164" s="21" t="s">
        <v>369</v>
      </c>
      <c r="C164" s="47"/>
      <c r="D164" s="703">
        <v>9.6</v>
      </c>
      <c r="E164" s="44"/>
      <c r="F164" s="903"/>
    </row>
    <row r="165" spans="1:7" x14ac:dyDescent="0.2">
      <c r="A165" s="15"/>
      <c r="B165" s="21" t="s">
        <v>370</v>
      </c>
      <c r="C165" s="47"/>
      <c r="D165" s="703">
        <v>15.5</v>
      </c>
      <c r="E165" s="44"/>
      <c r="F165" s="903"/>
    </row>
    <row r="166" spans="1:7" x14ac:dyDescent="0.2">
      <c r="A166" s="15"/>
      <c r="B166" s="21" t="s">
        <v>370</v>
      </c>
      <c r="C166" s="668">
        <v>6</v>
      </c>
      <c r="D166" s="703">
        <v>19.8</v>
      </c>
      <c r="E166" s="44"/>
      <c r="F166" s="903"/>
    </row>
    <row r="167" spans="1:7" x14ac:dyDescent="0.2">
      <c r="A167" s="15"/>
      <c r="B167" s="21" t="s">
        <v>15</v>
      </c>
      <c r="C167" s="668">
        <v>2</v>
      </c>
      <c r="D167" s="703">
        <v>200</v>
      </c>
      <c r="E167" s="44"/>
      <c r="F167" s="903"/>
    </row>
    <row r="168" spans="1:7" x14ac:dyDescent="0.2">
      <c r="A168" s="15"/>
      <c r="B168" s="21" t="s">
        <v>371</v>
      </c>
      <c r="C168" s="904"/>
      <c r="D168" s="703">
        <v>4.0999999999999996</v>
      </c>
      <c r="E168" s="44"/>
      <c r="F168" s="903"/>
    </row>
    <row r="169" spans="1:7" x14ac:dyDescent="0.2">
      <c r="A169" s="15"/>
      <c r="B169" s="21" t="s">
        <v>101</v>
      </c>
      <c r="C169" s="905">
        <v>3</v>
      </c>
      <c r="D169" s="703">
        <v>11.95</v>
      </c>
      <c r="E169" s="44"/>
      <c r="F169" s="903"/>
    </row>
    <row r="170" spans="1:7" x14ac:dyDescent="0.2">
      <c r="A170" s="15"/>
      <c r="B170" s="21" t="s">
        <v>16</v>
      </c>
      <c r="C170" s="47" t="s">
        <v>445</v>
      </c>
      <c r="D170" s="906">
        <v>0.25</v>
      </c>
      <c r="E170" s="44"/>
      <c r="F170" s="34"/>
    </row>
    <row r="171" spans="1:7" x14ac:dyDescent="0.2">
      <c r="A171" s="15"/>
      <c r="B171" s="21" t="s">
        <v>446</v>
      </c>
      <c r="C171" s="47" t="s">
        <v>447</v>
      </c>
      <c r="D171" s="906">
        <v>1</v>
      </c>
      <c r="E171" s="44"/>
      <c r="F171" s="34"/>
    </row>
    <row r="172" spans="1:7" x14ac:dyDescent="0.2">
      <c r="A172" s="21"/>
      <c r="B172" s="21" t="s">
        <v>103</v>
      </c>
      <c r="C172" s="47"/>
      <c r="D172" s="163"/>
      <c r="E172" s="907">
        <v>300</v>
      </c>
      <c r="F172" s="34"/>
    </row>
    <row r="173" spans="1:7" x14ac:dyDescent="0.2">
      <c r="A173" s="15"/>
      <c r="B173" s="15"/>
      <c r="C173" s="113"/>
      <c r="D173" s="44"/>
      <c r="E173" s="44"/>
      <c r="F173" s="34"/>
    </row>
    <row r="174" spans="1:7" x14ac:dyDescent="0.2">
      <c r="A174" s="40" t="s">
        <v>28</v>
      </c>
      <c r="B174" s="15"/>
      <c r="C174" s="908" t="s">
        <v>27</v>
      </c>
      <c r="D174" s="44"/>
      <c r="E174" s="44"/>
      <c r="F174" s="34"/>
    </row>
    <row r="175" spans="1:7" x14ac:dyDescent="0.2">
      <c r="A175" s="15"/>
      <c r="B175" s="21" t="s">
        <v>33</v>
      </c>
      <c r="C175" s="667">
        <v>70</v>
      </c>
      <c r="D175" s="44"/>
      <c r="E175" s="44"/>
      <c r="F175" s="34"/>
    </row>
    <row r="176" spans="1:7" ht="26.25" x14ac:dyDescent="0.4">
      <c r="A176" s="199" t="s">
        <v>372</v>
      </c>
      <c r="B176" s="344"/>
      <c r="C176" s="201"/>
      <c r="D176" s="202"/>
      <c r="E176" s="340"/>
      <c r="F176" s="202"/>
      <c r="G176" s="345"/>
    </row>
    <row r="177" spans="1:7" x14ac:dyDescent="0.2">
      <c r="B177" t="str">
        <f>'Varianten eingeben'!A31</f>
        <v>Hagelnetz  (ja=1, nein =0)</v>
      </c>
      <c r="C177" s="721">
        <v>0</v>
      </c>
    </row>
    <row r="178" spans="1:7" x14ac:dyDescent="0.2">
      <c r="B178" t="str">
        <f>'Varianten eingeben'!A32</f>
        <v>Hagelversicherung (ja =1, nein =0)</v>
      </c>
      <c r="C178" s="721">
        <v>0</v>
      </c>
      <c r="D178" s="111"/>
    </row>
    <row r="179" spans="1:7" x14ac:dyDescent="0.2">
      <c r="B179" t="str">
        <f>'Varianten eingeben'!A33</f>
        <v>Versicherte Summe</v>
      </c>
      <c r="C179" s="112">
        <f>'Standard Hagel'!C95</f>
        <v>41400</v>
      </c>
      <c r="D179" s="111"/>
    </row>
    <row r="180" spans="1:7" ht="26.25" x14ac:dyDescent="0.4">
      <c r="A180" s="199" t="s">
        <v>431</v>
      </c>
      <c r="B180" s="344"/>
      <c r="C180" s="201"/>
      <c r="D180" s="202"/>
      <c r="E180" s="340"/>
      <c r="F180" s="202"/>
      <c r="G180" s="345"/>
    </row>
    <row r="181" spans="1:7" x14ac:dyDescent="0.2">
      <c r="B181" t="str">
        <f>'Varianten eingeben'!A38</f>
        <v>Regendach</v>
      </c>
      <c r="C181" s="721">
        <v>0</v>
      </c>
    </row>
    <row r="182" spans="1:7" ht="26.25" x14ac:dyDescent="0.4">
      <c r="A182" s="199" t="s">
        <v>430</v>
      </c>
      <c r="B182" s="344"/>
      <c r="C182" s="201"/>
      <c r="D182" s="202"/>
      <c r="E182" s="340"/>
      <c r="F182" s="202"/>
      <c r="G182" s="345"/>
    </row>
    <row r="183" spans="1:7" x14ac:dyDescent="0.2">
      <c r="B183" t="str">
        <f>'Varianten eingeben'!A34</f>
        <v>Wasserpreis (Fr/m3)</v>
      </c>
      <c r="C183" s="909">
        <v>1.5</v>
      </c>
    </row>
    <row r="184" spans="1:7" x14ac:dyDescent="0.2">
      <c r="B184" t="s">
        <v>448</v>
      </c>
      <c r="C184" s="910">
        <v>500</v>
      </c>
    </row>
    <row r="185" spans="1:7" x14ac:dyDescent="0.2">
      <c r="B185" t="str">
        <f>'Varianten eingeben'!A36</f>
        <v>Bewässerung mit Tropfenbewässerung (ja=1, nein =0)</v>
      </c>
      <c r="C185" s="721">
        <v>0</v>
      </c>
    </row>
    <row r="186" spans="1:7" ht="13.5" thickBot="1" x14ac:dyDescent="0.25">
      <c r="B186" t="str">
        <f>'Varianten eingeben'!A37</f>
        <v>Bewässerung mit Mikrojet   (ja=1, nein=0)</v>
      </c>
      <c r="C186" s="911">
        <v>1</v>
      </c>
    </row>
    <row r="187" spans="1:7" x14ac:dyDescent="0.2">
      <c r="B187" t="s">
        <v>449</v>
      </c>
      <c r="C187" s="121">
        <f>SUM(C185:C186)</f>
        <v>1</v>
      </c>
    </row>
    <row r="188" spans="1:7" x14ac:dyDescent="0.2">
      <c r="B188" t="s">
        <v>450</v>
      </c>
      <c r="C188" s="112">
        <f>C185*'Standard Bewässerung'!H55+C186*'Standard Bewässerung'!H112</f>
        <v>2107.5169002666662</v>
      </c>
    </row>
    <row r="189" spans="1:7" ht="26.25" x14ac:dyDescent="0.4">
      <c r="A189" s="199" t="s">
        <v>451</v>
      </c>
      <c r="B189" s="344"/>
      <c r="C189" s="201"/>
      <c r="D189" s="202"/>
      <c r="E189" s="340"/>
      <c r="F189" s="202"/>
      <c r="G189" s="345"/>
    </row>
    <row r="190" spans="1:7" x14ac:dyDescent="0.2">
      <c r="B190" s="10" t="s">
        <v>452</v>
      </c>
      <c r="C190" s="10">
        <f>C177+C187</f>
        <v>1</v>
      </c>
    </row>
    <row r="191" spans="1:7" ht="26.25" x14ac:dyDescent="0.4">
      <c r="A191" s="199" t="s">
        <v>621</v>
      </c>
      <c r="B191" s="344"/>
      <c r="C191" s="201"/>
      <c r="D191" s="202"/>
      <c r="E191" s="340"/>
      <c r="F191" s="202"/>
      <c r="G191" s="345"/>
    </row>
    <row r="192" spans="1:7" x14ac:dyDescent="0.2">
      <c r="B192" s="10" t="s">
        <v>622</v>
      </c>
      <c r="C192" s="121">
        <f>C187+C181</f>
        <v>1</v>
      </c>
    </row>
  </sheetData>
  <mergeCells count="11">
    <mergeCell ref="A131:A137"/>
    <mergeCell ref="F124:H124"/>
    <mergeCell ref="C4:G4"/>
    <mergeCell ref="F113:G113"/>
    <mergeCell ref="B3:G3"/>
    <mergeCell ref="A4:B4"/>
    <mergeCell ref="A96:B96"/>
    <mergeCell ref="C96:G96"/>
    <mergeCell ref="E44:F44"/>
    <mergeCell ref="G45:H45"/>
    <mergeCell ref="G46:H46"/>
  </mergeCells>
  <phoneticPr fontId="23" type="noConversion"/>
  <dataValidations count="2">
    <dataValidation type="custom" showErrorMessage="1" errorTitle="Falsche Bruttofläche" error="Die Bruttofläche entspricht nicht 10000 m2" sqref="J101 E11 B19" xr:uid="{00000000-0002-0000-0900-000000000000}">
      <formula1>B10*B11=10000</formula1>
    </dataValidation>
    <dataValidation type="whole" operator="notEqual" showErrorMessage="1" errorTitle="Falsche Länge" error="Es muss eine Länge eingetragen sein" sqref="J100 B18 E10" xr:uid="{00000000-0002-0000-0900-000001000000}">
      <formula1>0</formula1>
    </dataValidation>
  </dataValidations>
  <printOptions gridLines="1" gridLinesSet="0"/>
  <pageMargins left="0" right="0" top="0.59055118110236227" bottom="0.59055118110236227" header="0.51181102362204722" footer="0.51181102362204722"/>
  <pageSetup paperSize="9" scale="55" orientation="portrait" verticalDpi="1200" r:id="rId1"/>
  <headerFooter alignWithMargins="0">
    <oddFooter>&amp;L&amp;6Arbokost Zwetschgen 2006&amp;R&amp;6Matthias Zürcher, Yvonne Leuneberger</oddFooter>
  </headerFooter>
  <rowBreaks count="2" manualBreakCount="2">
    <brk id="86" max="16383" man="1"/>
    <brk id="123" max="16383"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8"/>
  </sheetPr>
  <dimension ref="A1:H98"/>
  <sheetViews>
    <sheetView workbookViewId="0">
      <selection activeCell="J2" sqref="J2"/>
    </sheetView>
  </sheetViews>
  <sheetFormatPr baseColWidth="10" defaultRowHeight="12.75" x14ac:dyDescent="0.2"/>
  <cols>
    <col min="1" max="1" width="18.7109375" bestFit="1" customWidth="1"/>
  </cols>
  <sheetData>
    <row r="1" spans="1:8" ht="33.75" customHeight="1" x14ac:dyDescent="0.3">
      <c r="A1" s="1368" t="str">
        <f>'Varianten eingeben'!A1</f>
        <v>Arbokost 2023</v>
      </c>
      <c r="B1" s="1368"/>
      <c r="C1" s="920"/>
      <c r="D1" s="921"/>
      <c r="E1" s="922"/>
      <c r="F1" s="921"/>
      <c r="G1" s="1058"/>
      <c r="H1" s="1059"/>
    </row>
    <row r="2" spans="1:8" ht="27" customHeight="1" x14ac:dyDescent="0.2">
      <c r="A2" s="925" t="s">
        <v>459</v>
      </c>
      <c r="B2" s="1060"/>
      <c r="C2" s="920"/>
      <c r="D2" s="921"/>
      <c r="E2" s="922"/>
      <c r="F2" s="921"/>
      <c r="G2" s="1058"/>
      <c r="H2" s="1059"/>
    </row>
    <row r="3" spans="1:8" s="1" customFormat="1" ht="48.6" customHeight="1" x14ac:dyDescent="0.2">
      <c r="A3" s="927" t="s">
        <v>176</v>
      </c>
      <c r="B3" s="1365" t="str">
        <f>'Standard Vorgaben'!B3:G3</f>
        <v>Moderne Tafelzwetschenanlage auf schwachwachsender Unterlage. Werte sind ausgelegt auf gemischtwirtschaftliche Betriebe mit mehr als 0.5 ha Tafelzwetschgen, an geeignetem Standort in einem der Hauptproduktionsgebiete der Schweiz.</v>
      </c>
      <c r="C3" s="1365"/>
      <c r="D3" s="1365"/>
      <c r="E3" s="1365"/>
      <c r="F3" s="1365"/>
      <c r="G3" s="1365"/>
      <c r="H3" s="1365"/>
    </row>
    <row r="4" spans="1:8" s="1" customFormat="1" ht="38.25" customHeight="1" x14ac:dyDescent="0.2">
      <c r="A4" s="1366" t="s">
        <v>699</v>
      </c>
      <c r="B4" s="1366"/>
      <c r="C4" s="1366"/>
      <c r="D4" s="1366"/>
      <c r="E4" s="1366"/>
      <c r="F4" s="1366"/>
      <c r="G4" s="1366"/>
      <c r="H4" s="1366"/>
    </row>
    <row r="5" spans="1:8" ht="15.75" x14ac:dyDescent="0.25">
      <c r="A5" s="1339" t="s">
        <v>695</v>
      </c>
      <c r="C5" s="1334"/>
      <c r="E5" s="1340">
        <v>0.18</v>
      </c>
      <c r="F5" s="924"/>
      <c r="G5" s="924"/>
      <c r="H5" s="924"/>
    </row>
    <row r="6" spans="1:8" x14ac:dyDescent="0.2">
      <c r="A6" s="924"/>
      <c r="B6" s="924"/>
      <c r="C6" s="924"/>
      <c r="D6" s="924"/>
      <c r="E6" s="924"/>
      <c r="F6" s="924"/>
      <c r="G6" s="924"/>
      <c r="H6" s="924"/>
    </row>
    <row r="7" spans="1:8" x14ac:dyDescent="0.2">
      <c r="A7" s="1367" t="s">
        <v>696</v>
      </c>
      <c r="B7" s="1367"/>
      <c r="C7" s="1367"/>
      <c r="D7" s="1367"/>
      <c r="E7" s="1367"/>
      <c r="F7" s="1367"/>
      <c r="G7" s="1367"/>
      <c r="H7" s="1367"/>
    </row>
    <row r="8" spans="1:8" x14ac:dyDescent="0.2">
      <c r="A8" s="1061" t="s">
        <v>280</v>
      </c>
      <c r="B8" s="964"/>
      <c r="C8" s="1062" t="s">
        <v>11</v>
      </c>
      <c r="D8" s="1062" t="s">
        <v>12</v>
      </c>
      <c r="E8" s="929" t="s">
        <v>93</v>
      </c>
      <c r="F8" s="1044"/>
      <c r="G8" s="924"/>
      <c r="H8" s="924"/>
    </row>
    <row r="9" spans="1:8" x14ac:dyDescent="0.2">
      <c r="A9" s="964"/>
      <c r="B9" s="953"/>
      <c r="C9" s="1063"/>
      <c r="D9" s="1063"/>
      <c r="E9" s="1064"/>
      <c r="F9" s="1044"/>
      <c r="G9" s="924"/>
      <c r="H9" s="924"/>
    </row>
    <row r="10" spans="1:8" x14ac:dyDescent="0.2">
      <c r="A10" s="939"/>
      <c r="B10" s="939"/>
      <c r="C10" s="1065"/>
      <c r="D10" s="1044"/>
      <c r="E10" s="1044"/>
      <c r="F10" s="1066"/>
      <c r="G10" s="924"/>
      <c r="H10" s="924"/>
    </row>
    <row r="11" spans="1:8" x14ac:dyDescent="0.2">
      <c r="A11" s="1024" t="s">
        <v>160</v>
      </c>
      <c r="B11" s="953" t="s">
        <v>460</v>
      </c>
      <c r="C11" s="1067">
        <f>'Standard Vorgaben'!B10</f>
        <v>1125</v>
      </c>
      <c r="D11" s="1068">
        <f>1.35*(1+$E$5)</f>
        <v>1.593</v>
      </c>
      <c r="E11" s="1044">
        <f>C11*D11</f>
        <v>1792.125</v>
      </c>
      <c r="F11" s="1069"/>
      <c r="G11" s="924"/>
      <c r="H11" s="924"/>
    </row>
    <row r="12" spans="1:8" x14ac:dyDescent="0.2">
      <c r="A12" s="1024"/>
      <c r="B12" s="953" t="s">
        <v>461</v>
      </c>
      <c r="C12" s="1070">
        <v>2530</v>
      </c>
      <c r="D12" s="1068">
        <f>0.16*(1+$E$5)</f>
        <v>0.1888</v>
      </c>
      <c r="E12" s="1044">
        <f>C12*D12</f>
        <v>477.66399999999999</v>
      </c>
      <c r="F12" s="1069"/>
      <c r="G12" s="924"/>
      <c r="H12" s="924"/>
    </row>
    <row r="13" spans="1:8" x14ac:dyDescent="0.2">
      <c r="A13" s="1024"/>
      <c r="B13" s="953" t="s">
        <v>462</v>
      </c>
      <c r="C13" s="1071">
        <v>6</v>
      </c>
      <c r="D13" s="1068">
        <f>5.5*(1+$E$5)</f>
        <v>6.4899999999999993</v>
      </c>
      <c r="E13" s="1044">
        <f>C13*D13</f>
        <v>38.94</v>
      </c>
      <c r="F13" s="1069"/>
      <c r="G13" s="924"/>
      <c r="H13" s="924"/>
    </row>
    <row r="14" spans="1:8" x14ac:dyDescent="0.2">
      <c r="A14" s="1024"/>
      <c r="B14" s="953" t="s">
        <v>463</v>
      </c>
      <c r="C14" s="1067">
        <f>'Standard Vorgaben'!B10</f>
        <v>1125</v>
      </c>
      <c r="D14" s="1068">
        <f>0.2*(1+$E$5)</f>
        <v>0.23599999999999999</v>
      </c>
      <c r="E14" s="1044">
        <f>C14*D14</f>
        <v>265.5</v>
      </c>
      <c r="F14" s="1069"/>
      <c r="G14" s="924"/>
      <c r="H14" s="924"/>
    </row>
    <row r="15" spans="1:8" x14ac:dyDescent="0.2">
      <c r="A15" s="1024"/>
      <c r="B15" s="953"/>
      <c r="C15" s="1072"/>
      <c r="D15" s="1049"/>
      <c r="E15" s="1044"/>
      <c r="F15" s="1069"/>
      <c r="G15" s="924"/>
      <c r="H15" s="924"/>
    </row>
    <row r="16" spans="1:8" x14ac:dyDescent="0.2">
      <c r="A16" s="964" t="s">
        <v>372</v>
      </c>
      <c r="B16" s="946" t="s">
        <v>373</v>
      </c>
      <c r="C16" s="1073">
        <v>9800</v>
      </c>
      <c r="D16" s="1074">
        <f>0.58*(1+$E$5)</f>
        <v>0.6843999999999999</v>
      </c>
      <c r="E16" s="1075">
        <f t="shared" ref="E16:E25" si="0">C16*D16</f>
        <v>6707.119999999999</v>
      </c>
      <c r="F16" s="1069"/>
      <c r="G16" s="924"/>
      <c r="H16" s="924"/>
    </row>
    <row r="17" spans="1:8" x14ac:dyDescent="0.2">
      <c r="A17" s="964"/>
      <c r="B17" s="946" t="s">
        <v>374</v>
      </c>
      <c r="C17" s="1073">
        <v>1200</v>
      </c>
      <c r="D17" s="1074">
        <f>0.28*(1+$E$5)</f>
        <v>0.33040000000000003</v>
      </c>
      <c r="E17" s="1075">
        <f t="shared" si="0"/>
        <v>396.48</v>
      </c>
      <c r="F17" s="1069"/>
    </row>
    <row r="18" spans="1:8" x14ac:dyDescent="0.2">
      <c r="A18" s="964"/>
      <c r="B18" s="946" t="s">
        <v>375</v>
      </c>
      <c r="C18" s="1073">
        <v>1750</v>
      </c>
      <c r="D18" s="1074">
        <f>0.83*(1+$E$5)</f>
        <v>0.97939999999999994</v>
      </c>
      <c r="E18" s="1075">
        <f t="shared" si="0"/>
        <v>1713.9499999999998</v>
      </c>
      <c r="F18" s="1069"/>
    </row>
    <row r="19" spans="1:8" x14ac:dyDescent="0.2">
      <c r="A19" s="964"/>
      <c r="B19" s="946" t="s">
        <v>464</v>
      </c>
      <c r="C19" s="1073">
        <v>100</v>
      </c>
      <c r="D19" s="1074">
        <f>0.55*(1+$E$5)</f>
        <v>0.64900000000000002</v>
      </c>
      <c r="E19" s="1075">
        <f t="shared" si="0"/>
        <v>64.900000000000006</v>
      </c>
      <c r="F19" s="1069"/>
    </row>
    <row r="20" spans="1:8" x14ac:dyDescent="0.2">
      <c r="A20" s="964"/>
      <c r="B20" s="946" t="s">
        <v>411</v>
      </c>
      <c r="C20" s="1073">
        <v>165</v>
      </c>
      <c r="D20" s="1074">
        <f>1.19*(1+$E$5)</f>
        <v>1.4041999999999999</v>
      </c>
      <c r="E20" s="1075">
        <f t="shared" si="0"/>
        <v>231.69299999999998</v>
      </c>
      <c r="F20" s="1069"/>
      <c r="G20" s="924"/>
      <c r="H20" s="924"/>
    </row>
    <row r="21" spans="1:8" x14ac:dyDescent="0.2">
      <c r="A21" s="964"/>
      <c r="B21" s="946" t="s">
        <v>465</v>
      </c>
      <c r="C21" s="1073">
        <v>310</v>
      </c>
      <c r="D21" s="1074">
        <f>1.19*(1+$E$5)</f>
        <v>1.4041999999999999</v>
      </c>
      <c r="E21" s="1075">
        <f t="shared" si="0"/>
        <v>435.30199999999996</v>
      </c>
      <c r="F21" s="1069"/>
      <c r="G21" s="924"/>
      <c r="H21" s="924"/>
    </row>
    <row r="22" spans="1:8" x14ac:dyDescent="0.2">
      <c r="A22" s="964"/>
      <c r="B22" s="946" t="s">
        <v>466</v>
      </c>
      <c r="C22" s="1073">
        <v>810</v>
      </c>
      <c r="D22" s="1074">
        <f>0.7*(1+$E$5)</f>
        <v>0.82599999999999996</v>
      </c>
      <c r="E22" s="1075">
        <f t="shared" si="0"/>
        <v>669.06</v>
      </c>
      <c r="F22" s="1069"/>
      <c r="G22" s="924"/>
      <c r="H22" s="924"/>
    </row>
    <row r="23" spans="1:8" x14ac:dyDescent="0.2">
      <c r="A23" s="964"/>
      <c r="B23" s="946" t="s">
        <v>376</v>
      </c>
      <c r="C23" s="1073">
        <v>3100</v>
      </c>
      <c r="D23" s="1074">
        <f>0.3*(1+$E$5)</f>
        <v>0.35399999999999998</v>
      </c>
      <c r="E23" s="1075">
        <f t="shared" si="0"/>
        <v>1097.3999999999999</v>
      </c>
      <c r="F23" s="1069"/>
      <c r="G23" s="924"/>
      <c r="H23" s="924"/>
    </row>
    <row r="24" spans="1:8" x14ac:dyDescent="0.2">
      <c r="A24" s="964"/>
      <c r="B24" s="946" t="s">
        <v>377</v>
      </c>
      <c r="C24" s="1073">
        <v>3400</v>
      </c>
      <c r="D24" s="1074">
        <f>0.1*(1+$E$5)</f>
        <v>0.11799999999999999</v>
      </c>
      <c r="E24" s="1075">
        <f t="shared" si="0"/>
        <v>401.2</v>
      </c>
      <c r="F24" s="1069"/>
      <c r="G24" s="924"/>
      <c r="H24" s="924"/>
    </row>
    <row r="25" spans="1:8" x14ac:dyDescent="0.2">
      <c r="A25" s="964"/>
      <c r="B25" s="946" t="s">
        <v>378</v>
      </c>
      <c r="C25" s="1073">
        <v>26</v>
      </c>
      <c r="D25" s="1074">
        <f>9.15*(1+$E$5)</f>
        <v>10.797000000000001</v>
      </c>
      <c r="E25" s="1075">
        <f t="shared" si="0"/>
        <v>280.72200000000004</v>
      </c>
      <c r="F25" s="1069"/>
      <c r="G25" s="924"/>
      <c r="H25" s="924"/>
    </row>
    <row r="26" spans="1:8" x14ac:dyDescent="0.2">
      <c r="A26" s="964"/>
      <c r="B26" s="946" t="s">
        <v>379</v>
      </c>
      <c r="C26" s="1076"/>
      <c r="D26" s="1077"/>
      <c r="E26" s="1078">
        <v>500</v>
      </c>
      <c r="F26" s="1069"/>
      <c r="G26" s="924"/>
      <c r="H26" s="924"/>
    </row>
    <row r="27" spans="1:8" x14ac:dyDescent="0.2">
      <c r="A27" s="964"/>
      <c r="B27" s="946"/>
      <c r="C27" s="1076"/>
      <c r="D27" s="1079"/>
      <c r="E27" s="1075"/>
      <c r="F27" s="1069"/>
      <c r="G27" s="924"/>
      <c r="H27" s="924"/>
    </row>
    <row r="28" spans="1:8" x14ac:dyDescent="0.2">
      <c r="A28" s="964" t="s">
        <v>380</v>
      </c>
      <c r="B28" s="946" t="s">
        <v>467</v>
      </c>
      <c r="C28" s="1073">
        <v>240</v>
      </c>
      <c r="D28" s="1074">
        <f>18.5*(1+$E$5)</f>
        <v>21.83</v>
      </c>
      <c r="E28" s="1075">
        <f>C28*D28</f>
        <v>5239.2</v>
      </c>
      <c r="F28" s="1069"/>
      <c r="G28" s="924"/>
      <c r="H28" s="924"/>
    </row>
    <row r="29" spans="1:8" x14ac:dyDescent="0.2">
      <c r="A29" s="964"/>
      <c r="B29" s="946" t="s">
        <v>602</v>
      </c>
      <c r="C29" s="1073">
        <v>44</v>
      </c>
      <c r="D29" s="1074">
        <f>27*(1+$E$5)</f>
        <v>31.86</v>
      </c>
      <c r="E29" s="1075">
        <f>C29*D29</f>
        <v>1401.84</v>
      </c>
      <c r="F29" s="1069"/>
      <c r="G29" s="924"/>
      <c r="H29" s="924"/>
    </row>
    <row r="30" spans="1:8" x14ac:dyDescent="0.2">
      <c r="A30" s="964"/>
      <c r="B30" s="946" t="s">
        <v>468</v>
      </c>
      <c r="C30" s="1073">
        <v>4</v>
      </c>
      <c r="D30" s="1074">
        <f>58.95*(1+$E$5)</f>
        <v>69.560999999999993</v>
      </c>
      <c r="E30" s="1075">
        <f>C30*D30</f>
        <v>278.24399999999997</v>
      </c>
      <c r="F30" s="1069"/>
      <c r="G30" s="924"/>
      <c r="H30" s="924"/>
    </row>
    <row r="31" spans="1:8" x14ac:dyDescent="0.2">
      <c r="A31" s="964"/>
      <c r="B31" s="946" t="s">
        <v>381</v>
      </c>
      <c r="C31" s="1073">
        <v>72</v>
      </c>
      <c r="D31" s="1074">
        <f>20.15*(1+$E$5)</f>
        <v>23.776999999999997</v>
      </c>
      <c r="E31" s="1075">
        <f>C31*D31</f>
        <v>1711.9439999999997</v>
      </c>
      <c r="F31" s="1069"/>
      <c r="G31" s="924"/>
      <c r="H31" s="924"/>
    </row>
    <row r="32" spans="1:8" ht="13.5" thickBot="1" x14ac:dyDescent="0.25">
      <c r="A32" s="964"/>
      <c r="B32" s="946" t="s">
        <v>382</v>
      </c>
      <c r="C32" s="1073">
        <v>68</v>
      </c>
      <c r="D32" s="1074">
        <f>1*(1+$E$5)</f>
        <v>1.18</v>
      </c>
      <c r="E32" s="1080">
        <f>C32*D32</f>
        <v>80.239999999999995</v>
      </c>
      <c r="F32" s="1069"/>
      <c r="G32" s="924"/>
      <c r="H32" s="924"/>
    </row>
    <row r="33" spans="1:8" x14ac:dyDescent="0.2">
      <c r="A33" s="1024"/>
      <c r="B33" s="939"/>
      <c r="C33" s="1081"/>
      <c r="D33" s="1049"/>
      <c r="E33" s="1082">
        <f>SUM(E16:E32)</f>
        <v>21209.294999999998</v>
      </c>
      <c r="F33" s="1069"/>
      <c r="G33" s="924"/>
      <c r="H33" s="924"/>
    </row>
    <row r="34" spans="1:8" x14ac:dyDescent="0.2">
      <c r="A34" s="1024"/>
      <c r="B34" s="939"/>
      <c r="C34" s="1081"/>
      <c r="D34" s="1049"/>
      <c r="E34" s="1044"/>
      <c r="F34" s="1069"/>
      <c r="G34" s="924"/>
      <c r="H34" s="924"/>
    </row>
    <row r="35" spans="1:8" x14ac:dyDescent="0.2">
      <c r="A35" s="1024" t="s">
        <v>17</v>
      </c>
      <c r="B35" s="953" t="s">
        <v>34</v>
      </c>
      <c r="C35" s="1071">
        <v>40</v>
      </c>
      <c r="D35" s="1068">
        <v>7.2</v>
      </c>
      <c r="E35" s="1044"/>
      <c r="F35" s="1069"/>
      <c r="G35" s="924"/>
      <c r="H35" s="924"/>
    </row>
    <row r="36" spans="1:8" x14ac:dyDescent="0.2">
      <c r="A36" s="1024"/>
      <c r="B36" s="953" t="s">
        <v>18</v>
      </c>
      <c r="C36" s="1081"/>
      <c r="D36" s="1044"/>
      <c r="E36" s="1068">
        <v>150</v>
      </c>
      <c r="F36" s="1069"/>
      <c r="G36" s="924"/>
      <c r="H36" s="924"/>
    </row>
    <row r="37" spans="1:8" x14ac:dyDescent="0.2">
      <c r="A37" s="953"/>
      <c r="B37" s="953" t="s">
        <v>161</v>
      </c>
      <c r="C37" s="1081"/>
      <c r="D37" s="1044"/>
      <c r="E37" s="1068">
        <v>500</v>
      </c>
      <c r="F37" s="1069"/>
      <c r="G37" s="924"/>
      <c r="H37" s="924"/>
    </row>
    <row r="38" spans="1:8" x14ac:dyDescent="0.2">
      <c r="A38" s="953"/>
      <c r="B38" s="953"/>
      <c r="C38" s="1081"/>
      <c r="D38" s="1044"/>
      <c r="E38" s="1049"/>
      <c r="F38" s="1069"/>
      <c r="G38" s="924"/>
      <c r="H38" s="924"/>
    </row>
    <row r="39" spans="1:8" ht="33.75" x14ac:dyDescent="0.2">
      <c r="A39" s="1083" t="s">
        <v>469</v>
      </c>
      <c r="B39" s="946" t="s">
        <v>383</v>
      </c>
      <c r="C39" s="1084">
        <v>55</v>
      </c>
      <c r="D39" s="1075">
        <f>'Standard Vorgaben'!D129</f>
        <v>41</v>
      </c>
      <c r="E39" s="1075">
        <f>C39*D39</f>
        <v>2255</v>
      </c>
      <c r="F39" s="1069"/>
      <c r="G39" s="924"/>
      <c r="H39" s="924"/>
    </row>
    <row r="40" spans="1:8" x14ac:dyDescent="0.2">
      <c r="A40" s="964"/>
      <c r="B40" s="946" t="s">
        <v>384</v>
      </c>
      <c r="C40" s="1084">
        <v>15</v>
      </c>
      <c r="D40" s="1075">
        <f>'Standard Vorgaben'!D150</f>
        <v>150</v>
      </c>
      <c r="E40" s="1075">
        <f>C40*D40</f>
        <v>2250</v>
      </c>
      <c r="F40" s="1069"/>
      <c r="G40" s="924"/>
      <c r="H40" s="924"/>
    </row>
    <row r="41" spans="1:8" x14ac:dyDescent="0.2">
      <c r="A41" s="964"/>
      <c r="B41" s="947" t="s">
        <v>470</v>
      </c>
      <c r="C41" s="1084">
        <v>20</v>
      </c>
      <c r="D41" s="1075">
        <f>'Standard Vorgaben'!D146</f>
        <v>25</v>
      </c>
      <c r="E41" s="1075">
        <f>C41*D41</f>
        <v>500</v>
      </c>
      <c r="F41" s="1069"/>
      <c r="G41" s="924"/>
      <c r="H41" s="924"/>
    </row>
    <row r="42" spans="1:8" ht="13.5" thickBot="1" x14ac:dyDescent="0.25">
      <c r="A42" s="964"/>
      <c r="B42" s="946" t="s">
        <v>679</v>
      </c>
      <c r="C42" s="1084">
        <v>20</v>
      </c>
      <c r="D42" s="1075">
        <f>'Standard Vorgaben'!D151</f>
        <v>17.5</v>
      </c>
      <c r="E42" s="1080">
        <f>C42*D42</f>
        <v>350</v>
      </c>
      <c r="F42" s="1069"/>
      <c r="G42" s="924"/>
      <c r="H42" s="924"/>
    </row>
    <row r="43" spans="1:8" x14ac:dyDescent="0.2">
      <c r="A43" s="953"/>
      <c r="B43" s="953"/>
      <c r="C43" s="1081"/>
      <c r="D43" s="1044"/>
      <c r="E43" s="1082">
        <f>SUM(E39:E42)</f>
        <v>5355</v>
      </c>
      <c r="F43" s="1069"/>
      <c r="G43" s="924"/>
      <c r="H43" s="924"/>
    </row>
    <row r="44" spans="1:8" x14ac:dyDescent="0.2">
      <c r="A44" s="1141" t="s">
        <v>28</v>
      </c>
      <c r="B44" s="1142"/>
      <c r="C44" s="1143"/>
      <c r="D44" s="1144"/>
      <c r="E44" s="1144"/>
      <c r="F44" s="1069"/>
      <c r="G44" s="924"/>
      <c r="H44" s="924"/>
    </row>
    <row r="45" spans="1:8" x14ac:dyDescent="0.2">
      <c r="A45" s="953"/>
      <c r="B45" s="939"/>
      <c r="C45" s="1085" t="s">
        <v>27</v>
      </c>
      <c r="D45" s="1086" t="s">
        <v>21</v>
      </c>
      <c r="E45" s="1087" t="s">
        <v>93</v>
      </c>
      <c r="F45" s="1069"/>
      <c r="G45" s="924"/>
      <c r="H45" s="924"/>
    </row>
    <row r="46" spans="1:8" x14ac:dyDescent="0.2">
      <c r="A46" s="1024" t="s">
        <v>472</v>
      </c>
      <c r="B46" s="953" t="s">
        <v>30</v>
      </c>
      <c r="C46" s="1032">
        <v>1</v>
      </c>
      <c r="D46" s="1066"/>
      <c r="E46" s="1066"/>
      <c r="F46" s="1069"/>
      <c r="G46" s="924"/>
      <c r="H46" s="924"/>
    </row>
    <row r="47" spans="1:8" x14ac:dyDescent="0.2">
      <c r="A47" s="939"/>
      <c r="B47" s="953" t="s">
        <v>31</v>
      </c>
      <c r="C47" s="1032">
        <v>7.5</v>
      </c>
      <c r="D47" s="1066"/>
      <c r="E47" s="1066"/>
      <c r="F47" s="1069"/>
      <c r="G47" s="924"/>
      <c r="H47" s="924"/>
    </row>
    <row r="48" spans="1:8" x14ac:dyDescent="0.2">
      <c r="A48" s="939"/>
      <c r="B48" s="953" t="s">
        <v>32</v>
      </c>
      <c r="C48" s="1032">
        <v>75</v>
      </c>
      <c r="D48" s="1066"/>
      <c r="E48" s="1066"/>
      <c r="F48" s="1069"/>
      <c r="G48" s="924"/>
      <c r="H48" s="924"/>
    </row>
    <row r="49" spans="1:8" x14ac:dyDescent="0.2">
      <c r="A49" s="939"/>
      <c r="B49" s="953" t="s">
        <v>162</v>
      </c>
      <c r="C49" s="1032">
        <v>10</v>
      </c>
      <c r="D49" s="1066"/>
      <c r="E49" s="1066"/>
      <c r="F49" s="1069"/>
      <c r="G49" s="924"/>
      <c r="H49" s="924"/>
    </row>
    <row r="50" spans="1:8" x14ac:dyDescent="0.2">
      <c r="A50" s="939"/>
      <c r="B50" s="953" t="s">
        <v>473</v>
      </c>
      <c r="C50" s="1032">
        <v>70</v>
      </c>
      <c r="D50" s="1066"/>
      <c r="E50" s="1066"/>
      <c r="F50" s="1069"/>
      <c r="G50" s="924"/>
      <c r="H50" s="924"/>
    </row>
    <row r="51" spans="1:8" x14ac:dyDescent="0.2">
      <c r="A51" s="939"/>
      <c r="B51" s="953"/>
      <c r="C51" s="1088"/>
      <c r="D51" s="1066"/>
      <c r="E51" s="1066"/>
      <c r="F51" s="1066"/>
      <c r="G51" s="924"/>
      <c r="H51" s="924"/>
    </row>
    <row r="52" spans="1:8" x14ac:dyDescent="0.2">
      <c r="A52" s="939"/>
      <c r="B52" s="953"/>
      <c r="C52" s="1088"/>
      <c r="D52" s="1044"/>
      <c r="E52" s="1044"/>
      <c r="F52" s="1066"/>
      <c r="G52" s="924"/>
      <c r="H52" s="924"/>
    </row>
    <row r="53" spans="1:8" x14ac:dyDescent="0.2">
      <c r="A53" s="938" t="s">
        <v>385</v>
      </c>
      <c r="B53" s="947" t="s">
        <v>386</v>
      </c>
      <c r="C53" s="1089">
        <v>15</v>
      </c>
      <c r="D53" s="1075">
        <f>'Standard Vorgaben'!$C$36</f>
        <v>32.700000000000003</v>
      </c>
      <c r="E53" s="1075">
        <f>C53*D53</f>
        <v>490.50000000000006</v>
      </c>
      <c r="F53" s="1069"/>
      <c r="G53" s="924"/>
      <c r="H53" s="924"/>
    </row>
    <row r="54" spans="1:8" x14ac:dyDescent="0.2">
      <c r="A54" s="946"/>
      <c r="B54" s="947" t="s">
        <v>474</v>
      </c>
      <c r="C54" s="1089">
        <v>100</v>
      </c>
      <c r="D54" s="1075">
        <f>'Standard Vorgaben'!$C$36</f>
        <v>32.700000000000003</v>
      </c>
      <c r="E54" s="1075">
        <f>C54*D54</f>
        <v>3270.0000000000005</v>
      </c>
      <c r="F54" s="1069"/>
      <c r="G54" s="924"/>
      <c r="H54" s="924"/>
    </row>
    <row r="55" spans="1:8" x14ac:dyDescent="0.2">
      <c r="A55" s="946"/>
      <c r="B55" s="947" t="s">
        <v>387</v>
      </c>
      <c r="C55" s="1089">
        <v>175</v>
      </c>
      <c r="D55" s="1075">
        <f>'Standard Vorgaben'!$C$36</f>
        <v>32.700000000000003</v>
      </c>
      <c r="E55" s="1075">
        <f>C55*D55</f>
        <v>5722.5000000000009</v>
      </c>
      <c r="F55" s="1069"/>
      <c r="G55" s="924"/>
      <c r="H55" s="924"/>
    </row>
    <row r="56" spans="1:8" ht="13.5" thickBot="1" x14ac:dyDescent="0.25">
      <c r="A56" s="946"/>
      <c r="B56" s="947" t="s">
        <v>388</v>
      </c>
      <c r="C56" s="1090">
        <f>SUM(C53:C55) * 0.1</f>
        <v>29</v>
      </c>
      <c r="D56" s="1075">
        <f>'Standard Vorgaben'!$C$36</f>
        <v>32.700000000000003</v>
      </c>
      <c r="E56" s="1080">
        <f>C56*D56</f>
        <v>948.30000000000007</v>
      </c>
      <c r="F56" s="1069"/>
      <c r="G56" s="924"/>
      <c r="H56" s="924"/>
    </row>
    <row r="57" spans="1:8" x14ac:dyDescent="0.2">
      <c r="A57" s="939"/>
      <c r="B57" s="953"/>
      <c r="C57" s="1088"/>
      <c r="D57" s="1044"/>
      <c r="E57" s="1082">
        <f>SUM(E53:E56)</f>
        <v>10431.300000000001</v>
      </c>
      <c r="F57" s="1069"/>
      <c r="G57" s="924"/>
      <c r="H57" s="924"/>
    </row>
    <row r="58" spans="1:8" x14ac:dyDescent="0.2">
      <c r="A58" s="939"/>
      <c r="B58" s="939"/>
      <c r="C58" s="1065"/>
      <c r="D58" s="1044"/>
      <c r="E58" s="1044"/>
      <c r="F58" s="1069"/>
      <c r="G58" s="924"/>
      <c r="H58" s="924"/>
    </row>
    <row r="59" spans="1:8" x14ac:dyDescent="0.2">
      <c r="A59" s="938" t="s">
        <v>389</v>
      </c>
      <c r="B59" s="939"/>
      <c r="C59" s="1065"/>
      <c r="D59" s="1044"/>
      <c r="E59" s="1044"/>
      <c r="F59" s="1069"/>
      <c r="G59" s="924"/>
      <c r="H59" s="924"/>
    </row>
    <row r="60" spans="1:8" x14ac:dyDescent="0.2">
      <c r="A60" s="939"/>
      <c r="B60" s="939" t="s">
        <v>390</v>
      </c>
      <c r="C60" s="1091">
        <v>45</v>
      </c>
      <c r="D60" s="1068">
        <f>14*(1+$E$5)</f>
        <v>16.52</v>
      </c>
      <c r="E60" s="1075">
        <f>C60*D60</f>
        <v>743.4</v>
      </c>
      <c r="F60" s="1069"/>
      <c r="G60" s="924"/>
      <c r="H60" s="924"/>
    </row>
    <row r="61" spans="1:8" x14ac:dyDescent="0.2">
      <c r="A61" s="939"/>
      <c r="B61" s="939" t="s">
        <v>391</v>
      </c>
      <c r="C61" s="1091">
        <v>336</v>
      </c>
      <c r="D61" s="1068">
        <f>10*(1+$E$5)</f>
        <v>11.799999999999999</v>
      </c>
      <c r="E61" s="1075">
        <f>C61*D61</f>
        <v>3964.7999999999997</v>
      </c>
      <c r="F61" s="1069"/>
      <c r="G61" s="924"/>
      <c r="H61" s="924"/>
    </row>
    <row r="62" spans="1:8" ht="13.5" thickBot="1" x14ac:dyDescent="0.25">
      <c r="A62" s="939"/>
      <c r="B62" s="939" t="s">
        <v>186</v>
      </c>
      <c r="C62" s="1091">
        <v>45</v>
      </c>
      <c r="D62" s="1068">
        <f>5.2*(1+$E$5)</f>
        <v>6.1360000000000001</v>
      </c>
      <c r="E62" s="1080">
        <f>C62*D62</f>
        <v>276.12</v>
      </c>
      <c r="F62" s="1069"/>
      <c r="G62" s="924"/>
      <c r="H62" s="924"/>
    </row>
    <row r="63" spans="1:8" x14ac:dyDescent="0.2">
      <c r="A63" s="939"/>
      <c r="B63" s="939"/>
      <c r="C63" s="1092"/>
      <c r="D63" s="1049"/>
      <c r="E63" s="1082">
        <f>SUM(E60:E62)</f>
        <v>4984.32</v>
      </c>
      <c r="F63" s="1069"/>
      <c r="G63" s="924"/>
      <c r="H63" s="924"/>
    </row>
    <row r="64" spans="1:8" x14ac:dyDescent="0.2">
      <c r="A64" s="938" t="s">
        <v>412</v>
      </c>
      <c r="B64" s="953"/>
      <c r="C64" s="1065"/>
      <c r="D64" s="1044"/>
      <c r="E64" s="1064"/>
      <c r="F64" s="1069"/>
      <c r="G64" s="924"/>
      <c r="H64" s="924"/>
    </row>
    <row r="65" spans="1:8" x14ac:dyDescent="0.2">
      <c r="A65" s="939"/>
      <c r="B65" s="953" t="s">
        <v>386</v>
      </c>
      <c r="C65" s="1089">
        <v>7.5</v>
      </c>
      <c r="D65" s="1075">
        <f>'Standard Vorgaben'!$C$36</f>
        <v>32.700000000000003</v>
      </c>
      <c r="E65" s="1075">
        <f>C65*D65</f>
        <v>245.25000000000003</v>
      </c>
      <c r="F65" s="1069"/>
      <c r="G65" s="924"/>
      <c r="H65" s="924"/>
    </row>
    <row r="66" spans="1:8" x14ac:dyDescent="0.2">
      <c r="A66" s="939"/>
      <c r="B66" s="953" t="s">
        <v>414</v>
      </c>
      <c r="C66" s="1089">
        <v>35</v>
      </c>
      <c r="D66" s="1075">
        <f>'Standard Vorgaben'!$C$36</f>
        <v>32.700000000000003</v>
      </c>
      <c r="E66" s="1075">
        <f>C66*D66</f>
        <v>1144.5</v>
      </c>
      <c r="F66" s="1069"/>
      <c r="G66" s="924"/>
      <c r="H66" s="924"/>
    </row>
    <row r="67" spans="1:8" x14ac:dyDescent="0.2">
      <c r="A67" s="939"/>
      <c r="B67" s="939" t="s">
        <v>413</v>
      </c>
      <c r="C67" s="1089">
        <v>10</v>
      </c>
      <c r="D67" s="1075">
        <f>'Standard Vorgaben'!D129</f>
        <v>41</v>
      </c>
      <c r="E67" s="1075">
        <f>C67*D67</f>
        <v>410</v>
      </c>
      <c r="F67" s="1069"/>
      <c r="G67" s="924"/>
      <c r="H67" s="924"/>
    </row>
    <row r="68" spans="1:8" ht="13.5" thickBot="1" x14ac:dyDescent="0.25">
      <c r="A68" s="939"/>
      <c r="B68" s="953" t="s">
        <v>188</v>
      </c>
      <c r="C68" s="1089">
        <v>10</v>
      </c>
      <c r="D68" s="1075">
        <f>'Standard Vorgaben'!D146</f>
        <v>25</v>
      </c>
      <c r="E68" s="1080">
        <f>C68*D68</f>
        <v>250</v>
      </c>
      <c r="F68" s="1069"/>
      <c r="G68" s="924"/>
      <c r="H68" s="924"/>
    </row>
    <row r="69" spans="1:8" x14ac:dyDescent="0.2">
      <c r="A69" s="939"/>
      <c r="B69" s="953"/>
      <c r="C69" s="1090"/>
      <c r="D69" s="1075"/>
      <c r="E69" s="1082">
        <f>SUM(E65:E68)</f>
        <v>2049.75</v>
      </c>
      <c r="F69" s="1069"/>
      <c r="G69" s="924"/>
      <c r="H69" s="924"/>
    </row>
    <row r="70" spans="1:8" x14ac:dyDescent="0.2">
      <c r="A70" s="939"/>
      <c r="B70" s="953"/>
      <c r="C70" s="1090"/>
      <c r="D70" s="1075"/>
      <c r="E70" s="1082"/>
      <c r="F70" s="1069"/>
      <c r="G70" s="924"/>
      <c r="H70" s="924"/>
    </row>
    <row r="71" spans="1:8" x14ac:dyDescent="0.2">
      <c r="A71" s="964"/>
      <c r="B71" s="947" t="s">
        <v>392</v>
      </c>
      <c r="C71" s="1093"/>
      <c r="D71" s="1094"/>
      <c r="E71" s="1075">
        <f>E33</f>
        <v>21209.294999999998</v>
      </c>
      <c r="F71" s="1069"/>
      <c r="G71" s="924"/>
      <c r="H71" s="924"/>
    </row>
    <row r="72" spans="1:8" x14ac:dyDescent="0.2">
      <c r="A72" s="939"/>
      <c r="B72" s="947" t="s">
        <v>23</v>
      </c>
      <c r="C72" s="1093"/>
      <c r="D72" s="1094"/>
      <c r="E72" s="1075">
        <f>E43</f>
        <v>5355</v>
      </c>
      <c r="F72" s="1069"/>
      <c r="G72" s="924"/>
      <c r="H72" s="924"/>
    </row>
    <row r="73" spans="1:8" x14ac:dyDescent="0.2">
      <c r="A73" s="939"/>
      <c r="B73" s="947" t="s">
        <v>28</v>
      </c>
      <c r="C73" s="1093"/>
      <c r="D73" s="1094"/>
      <c r="E73" s="1075">
        <f>E57</f>
        <v>10431.300000000001</v>
      </c>
      <c r="F73" s="1069"/>
      <c r="G73" s="924"/>
      <c r="H73" s="924"/>
    </row>
    <row r="74" spans="1:8" ht="13.5" thickBot="1" x14ac:dyDescent="0.25">
      <c r="A74" s="939"/>
      <c r="B74" s="947" t="s">
        <v>393</v>
      </c>
      <c r="C74" s="1093"/>
      <c r="D74" s="1094"/>
      <c r="E74" s="1080">
        <f>E63+E69</f>
        <v>7034.07</v>
      </c>
      <c r="F74" s="1069"/>
      <c r="G74" s="924"/>
      <c r="H74" s="924"/>
    </row>
    <row r="75" spans="1:8" x14ac:dyDescent="0.2">
      <c r="A75" s="964" t="s">
        <v>394</v>
      </c>
      <c r="B75" s="953"/>
      <c r="C75" s="1065"/>
      <c r="D75" s="1044"/>
      <c r="E75" s="1082">
        <f>SUM(E71:E73)-E74</f>
        <v>29961.525000000001</v>
      </c>
      <c r="F75" s="1066"/>
      <c r="G75" s="924"/>
      <c r="H75" s="924"/>
    </row>
    <row r="76" spans="1:8" x14ac:dyDescent="0.2">
      <c r="A76" s="1141" t="s">
        <v>192</v>
      </c>
      <c r="B76" s="924"/>
      <c r="C76" s="1095"/>
      <c r="D76" s="924"/>
      <c r="E76" s="924"/>
      <c r="F76" s="924"/>
      <c r="G76" s="924"/>
      <c r="H76" s="924"/>
    </row>
    <row r="77" spans="1:8" x14ac:dyDescent="0.2">
      <c r="A77" s="1141" t="s">
        <v>475</v>
      </c>
      <c r="B77" s="1141" t="s">
        <v>476</v>
      </c>
      <c r="C77" s="1141" t="s">
        <v>93</v>
      </c>
      <c r="D77" s="1141" t="s">
        <v>477</v>
      </c>
      <c r="E77" s="1141" t="s">
        <v>478</v>
      </c>
      <c r="F77" s="924"/>
      <c r="G77" s="924"/>
      <c r="H77" s="924"/>
    </row>
    <row r="78" spans="1:8" x14ac:dyDescent="0.2">
      <c r="A78" s="924"/>
      <c r="B78" s="924"/>
      <c r="C78" s="1095"/>
      <c r="D78" s="924"/>
      <c r="E78" s="924"/>
      <c r="F78" s="924"/>
      <c r="G78" s="924"/>
      <c r="H78" s="924"/>
    </row>
    <row r="79" spans="1:8" x14ac:dyDescent="0.2">
      <c r="A79" s="924">
        <v>1</v>
      </c>
      <c r="B79" s="1096">
        <v>1</v>
      </c>
      <c r="C79" s="1097">
        <f>'Standard Vorgaben'!B46*'Standard Vorgaben'!D46*'Standard Vorgaben'!B69</f>
        <v>0</v>
      </c>
      <c r="D79" s="1098">
        <v>0.112</v>
      </c>
      <c r="E79" s="1096">
        <v>0.8</v>
      </c>
      <c r="F79" s="924"/>
      <c r="G79" s="924"/>
      <c r="H79" s="924"/>
    </row>
    <row r="80" spans="1:8" x14ac:dyDescent="0.2">
      <c r="A80" s="924">
        <v>2</v>
      </c>
      <c r="B80" s="1099">
        <f>B79</f>
        <v>1</v>
      </c>
      <c r="C80" s="1097">
        <f>'Standard Vorgaben'!B47*'Standard Vorgaben'!D47*'Standard Vorgaben'!B70</f>
        <v>6624</v>
      </c>
      <c r="D80" s="1100">
        <f>D79</f>
        <v>0.112</v>
      </c>
      <c r="E80" s="1099">
        <f>E79</f>
        <v>0.8</v>
      </c>
      <c r="F80" s="924"/>
      <c r="G80" s="924"/>
      <c r="H80" s="924"/>
    </row>
    <row r="81" spans="1:8" x14ac:dyDescent="0.2">
      <c r="A81" s="924">
        <v>3</v>
      </c>
      <c r="B81" s="1099">
        <f>B79</f>
        <v>1</v>
      </c>
      <c r="C81" s="1097">
        <f>'Standard Vorgaben'!B48*'Standard Vorgaben'!D48*'Standard Vorgaben'!B71</f>
        <v>9936</v>
      </c>
      <c r="D81" s="1100">
        <f>D79</f>
        <v>0.112</v>
      </c>
      <c r="E81" s="1099">
        <f>E79</f>
        <v>0.8</v>
      </c>
      <c r="F81" s="924"/>
      <c r="G81" s="924"/>
      <c r="H81" s="924"/>
    </row>
    <row r="82" spans="1:8" x14ac:dyDescent="0.2">
      <c r="A82" s="924">
        <v>4</v>
      </c>
      <c r="B82" s="1099">
        <f>B79</f>
        <v>1</v>
      </c>
      <c r="C82" s="1097">
        <f>'Standard Vorgaben'!B49*'Standard Vorgaben'!D49*'Standard Vorgaben'!B72</f>
        <v>16560</v>
      </c>
      <c r="D82" s="1100">
        <f>D79</f>
        <v>0.112</v>
      </c>
      <c r="E82" s="1099">
        <f>E79</f>
        <v>0.8</v>
      </c>
      <c r="F82" s="1101">
        <f>C82*D82*E82</f>
        <v>1483.7760000000001</v>
      </c>
      <c r="G82" s="924"/>
      <c r="H82" s="924"/>
    </row>
    <row r="83" spans="1:8" x14ac:dyDescent="0.2">
      <c r="A83" s="924">
        <v>5</v>
      </c>
      <c r="B83" s="1099">
        <f>B79</f>
        <v>1</v>
      </c>
      <c r="C83" s="1097">
        <f>'Standard Vorgaben'!B50*'Standard Vorgaben'!D50*'Standard Vorgaben'!B73</f>
        <v>29808</v>
      </c>
      <c r="D83" s="1100">
        <f>D79</f>
        <v>0.112</v>
      </c>
      <c r="E83" s="1099">
        <f>E79</f>
        <v>0.8</v>
      </c>
      <c r="F83" s="1101">
        <f t="shared" ref="F83:F95" si="1">C83*D83</f>
        <v>3338.4960000000001</v>
      </c>
      <c r="G83" s="924"/>
      <c r="H83" s="924"/>
    </row>
    <row r="84" spans="1:8" x14ac:dyDescent="0.2">
      <c r="A84" s="924">
        <v>6</v>
      </c>
      <c r="B84" s="1099">
        <f>B79</f>
        <v>1</v>
      </c>
      <c r="C84" s="1097">
        <f>'Standard Vorgaben'!B51*'Standard Vorgaben'!D51*'Standard Vorgaben'!B74</f>
        <v>36432</v>
      </c>
      <c r="D84" s="1100">
        <f>D79</f>
        <v>0.112</v>
      </c>
      <c r="E84" s="1099">
        <f>E79</f>
        <v>0.8</v>
      </c>
      <c r="F84" s="1101">
        <f t="shared" si="1"/>
        <v>4080.384</v>
      </c>
      <c r="G84" s="924"/>
      <c r="H84" s="924"/>
    </row>
    <row r="85" spans="1:8" x14ac:dyDescent="0.2">
      <c r="A85" s="924">
        <v>7</v>
      </c>
      <c r="B85" s="1099">
        <f>B79</f>
        <v>1</v>
      </c>
      <c r="C85" s="1097">
        <f>'Standard Vorgaben'!B52*'Standard Vorgaben'!D52*'Standard Vorgaben'!B75</f>
        <v>43056</v>
      </c>
      <c r="D85" s="1100">
        <f>D79</f>
        <v>0.112</v>
      </c>
      <c r="E85" s="1099">
        <f>E79</f>
        <v>0.8</v>
      </c>
      <c r="F85" s="1101">
        <f t="shared" si="1"/>
        <v>4822.2719999999999</v>
      </c>
      <c r="G85" s="924"/>
      <c r="H85" s="924"/>
    </row>
    <row r="86" spans="1:8" x14ac:dyDescent="0.2">
      <c r="A86" s="924">
        <v>8</v>
      </c>
      <c r="B86" s="1099">
        <f>B79</f>
        <v>1</v>
      </c>
      <c r="C86" s="1097">
        <f>'Standard Vorgaben'!B53*'Standard Vorgaben'!D53*'Standard Vorgaben'!B76</f>
        <v>43056</v>
      </c>
      <c r="D86" s="1100">
        <f>D79</f>
        <v>0.112</v>
      </c>
      <c r="E86" s="1099">
        <f>E79</f>
        <v>0.8</v>
      </c>
      <c r="F86" s="1101">
        <f t="shared" si="1"/>
        <v>4822.2719999999999</v>
      </c>
      <c r="G86" s="924"/>
      <c r="H86" s="924"/>
    </row>
    <row r="87" spans="1:8" x14ac:dyDescent="0.2">
      <c r="A87" s="924">
        <v>9</v>
      </c>
      <c r="B87" s="1099">
        <f>B79</f>
        <v>1</v>
      </c>
      <c r="C87" s="1097">
        <f>'Standard Vorgaben'!B54*'Standard Vorgaben'!D54*'Standard Vorgaben'!B77</f>
        <v>43056</v>
      </c>
      <c r="D87" s="1100">
        <f>D79</f>
        <v>0.112</v>
      </c>
      <c r="E87" s="1099">
        <f>E79</f>
        <v>0.8</v>
      </c>
      <c r="F87" s="1101">
        <f t="shared" si="1"/>
        <v>4822.2719999999999</v>
      </c>
      <c r="G87" s="924"/>
      <c r="H87" s="924"/>
    </row>
    <row r="88" spans="1:8" x14ac:dyDescent="0.2">
      <c r="A88" s="924">
        <v>10</v>
      </c>
      <c r="B88" s="1099">
        <f>B79</f>
        <v>1</v>
      </c>
      <c r="C88" s="1097">
        <f>'Standard Vorgaben'!B55*'Standard Vorgaben'!D55*'Standard Vorgaben'!B78</f>
        <v>43056</v>
      </c>
      <c r="D88" s="1100">
        <f>D79</f>
        <v>0.112</v>
      </c>
      <c r="E88" s="1099">
        <f>E79</f>
        <v>0.8</v>
      </c>
      <c r="F88" s="1101">
        <f t="shared" si="1"/>
        <v>4822.2719999999999</v>
      </c>
      <c r="G88" s="924"/>
      <c r="H88" s="924"/>
    </row>
    <row r="89" spans="1:8" x14ac:dyDescent="0.2">
      <c r="A89" s="924">
        <v>11</v>
      </c>
      <c r="B89" s="1099">
        <f>B79</f>
        <v>1</v>
      </c>
      <c r="C89" s="1097">
        <f>'Standard Vorgaben'!B56*'Standard Vorgaben'!D56*'Standard Vorgaben'!B79</f>
        <v>43056</v>
      </c>
      <c r="D89" s="1100">
        <f>D79</f>
        <v>0.112</v>
      </c>
      <c r="E89" s="1099">
        <f>E79</f>
        <v>0.8</v>
      </c>
      <c r="F89" s="1101">
        <f t="shared" si="1"/>
        <v>4822.2719999999999</v>
      </c>
      <c r="G89" s="924"/>
      <c r="H89" s="924"/>
    </row>
    <row r="90" spans="1:8" x14ac:dyDescent="0.2">
      <c r="A90" s="924">
        <v>12</v>
      </c>
      <c r="B90" s="1099">
        <f>B79</f>
        <v>1</v>
      </c>
      <c r="C90" s="1097">
        <f>'Standard Vorgaben'!B57*'Standard Vorgaben'!D57*'Standard Vorgaben'!B80</f>
        <v>43056</v>
      </c>
      <c r="D90" s="1100">
        <f>D79</f>
        <v>0.112</v>
      </c>
      <c r="E90" s="1099">
        <f>E79</f>
        <v>0.8</v>
      </c>
      <c r="F90" s="1101">
        <f t="shared" si="1"/>
        <v>4822.2719999999999</v>
      </c>
      <c r="G90" s="924"/>
      <c r="H90" s="924"/>
    </row>
    <row r="91" spans="1:8" x14ac:dyDescent="0.2">
      <c r="A91" s="924">
        <v>13</v>
      </c>
      <c r="B91" s="1099">
        <f>B79</f>
        <v>1</v>
      </c>
      <c r="C91" s="1097">
        <f>'Standard Vorgaben'!B58*'Standard Vorgaben'!D58*'Standard Vorgaben'!B81</f>
        <v>43056</v>
      </c>
      <c r="D91" s="1100">
        <f>D79</f>
        <v>0.112</v>
      </c>
      <c r="E91" s="1099">
        <f>E79</f>
        <v>0.8</v>
      </c>
      <c r="F91" s="1101">
        <f t="shared" si="1"/>
        <v>4822.2719999999999</v>
      </c>
      <c r="G91" s="924"/>
      <c r="H91" s="924"/>
    </row>
    <row r="92" spans="1:8" x14ac:dyDescent="0.2">
      <c r="A92" s="924">
        <v>14</v>
      </c>
      <c r="B92" s="1099">
        <f>B79</f>
        <v>1</v>
      </c>
      <c r="C92" s="1097">
        <f>'Standard Vorgaben'!B59*'Standard Vorgaben'!D59*'Standard Vorgaben'!B82</f>
        <v>43056</v>
      </c>
      <c r="D92" s="1100">
        <f>D79</f>
        <v>0.112</v>
      </c>
      <c r="E92" s="1099">
        <f>E79</f>
        <v>0.8</v>
      </c>
      <c r="F92" s="1101">
        <f t="shared" si="1"/>
        <v>4822.2719999999999</v>
      </c>
      <c r="G92" s="924"/>
      <c r="H92" s="924"/>
    </row>
    <row r="93" spans="1:8" x14ac:dyDescent="0.2">
      <c r="A93" s="924">
        <v>15</v>
      </c>
      <c r="B93" s="1099">
        <f>B81</f>
        <v>1</v>
      </c>
      <c r="C93" s="1097">
        <f>'Standard Vorgaben'!B60*'Standard Vorgaben'!D60*'Standard Vorgaben'!B83</f>
        <v>43056</v>
      </c>
      <c r="D93" s="1100">
        <f>D81</f>
        <v>0.112</v>
      </c>
      <c r="E93" s="1099">
        <f>E81</f>
        <v>0.8</v>
      </c>
      <c r="F93" s="1101">
        <f>C93*D93</f>
        <v>4822.2719999999999</v>
      </c>
      <c r="G93" s="924"/>
      <c r="H93" s="924"/>
    </row>
    <row r="94" spans="1:8" x14ac:dyDescent="0.2">
      <c r="A94" s="924">
        <v>16</v>
      </c>
      <c r="B94" s="1099">
        <f>B81</f>
        <v>1</v>
      </c>
      <c r="C94" s="1097">
        <f>'Standard Vorgaben'!B61*'Standard Vorgaben'!D61*'Standard Vorgaben'!B84</f>
        <v>43056</v>
      </c>
      <c r="D94" s="1100">
        <f>D81</f>
        <v>0.112</v>
      </c>
      <c r="E94" s="1099">
        <f>E81</f>
        <v>0.8</v>
      </c>
      <c r="F94" s="1101">
        <f>C94*D94</f>
        <v>4822.2719999999999</v>
      </c>
      <c r="G94" s="924"/>
      <c r="H94" s="924"/>
    </row>
    <row r="95" spans="1:8" x14ac:dyDescent="0.2">
      <c r="A95" s="1141" t="s">
        <v>479</v>
      </c>
      <c r="B95" s="924"/>
      <c r="C95" s="1187">
        <f>AVERAGE(C83:C94)</f>
        <v>41400</v>
      </c>
      <c r="D95" s="1188">
        <f>AVERAGE(D82:D94)</f>
        <v>0.11200000000000003</v>
      </c>
      <c r="E95" s="924"/>
      <c r="F95" s="1141">
        <f t="shared" si="1"/>
        <v>4636.8000000000011</v>
      </c>
      <c r="G95" s="924"/>
      <c r="H95" s="924"/>
    </row>
    <row r="96" spans="1:8" x14ac:dyDescent="0.2">
      <c r="A96" s="1141" t="s">
        <v>480</v>
      </c>
      <c r="B96" s="924"/>
      <c r="C96" s="1187">
        <f>SUM(C82:C94)</f>
        <v>513360</v>
      </c>
      <c r="D96" s="924"/>
      <c r="E96" s="924"/>
      <c r="F96" s="924"/>
      <c r="G96" s="924"/>
      <c r="H96" s="924"/>
    </row>
    <row r="97" spans="1:8" x14ac:dyDescent="0.2">
      <c r="A97" s="924"/>
      <c r="B97" s="924"/>
      <c r="C97" s="924"/>
      <c r="D97" s="924"/>
      <c r="E97" s="924"/>
      <c r="F97" s="924"/>
      <c r="G97" s="924"/>
      <c r="H97" s="924"/>
    </row>
    <row r="98" spans="1:8" x14ac:dyDescent="0.2">
      <c r="A98" s="924"/>
      <c r="B98" s="924"/>
      <c r="C98" s="924"/>
      <c r="D98" s="924"/>
      <c r="E98" s="924"/>
      <c r="F98" s="924"/>
      <c r="G98" s="924"/>
      <c r="H98" s="924"/>
    </row>
  </sheetData>
  <mergeCells count="4">
    <mergeCell ref="B3:H3"/>
    <mergeCell ref="A4:H4"/>
    <mergeCell ref="A7:H7"/>
    <mergeCell ref="A1:B1"/>
  </mergeCells>
  <phoneticPr fontId="23"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8"/>
  </sheetPr>
  <dimension ref="A1:H91"/>
  <sheetViews>
    <sheetView workbookViewId="0">
      <selection activeCell="D44" sqref="D44"/>
    </sheetView>
  </sheetViews>
  <sheetFormatPr baseColWidth="10" defaultRowHeight="12.75" x14ac:dyDescent="0.2"/>
  <cols>
    <col min="1" max="1" width="18.7109375" bestFit="1" customWidth="1"/>
  </cols>
  <sheetData>
    <row r="1" spans="1:8" ht="32.25" customHeight="1" x14ac:dyDescent="0.3">
      <c r="A1" s="1368" t="str">
        <f>'Varianten eingeben'!A1</f>
        <v>Arbokost 2023</v>
      </c>
      <c r="B1" s="1368"/>
      <c r="C1" s="920"/>
      <c r="D1" s="921"/>
      <c r="E1" s="922"/>
      <c r="F1" s="921"/>
      <c r="G1" s="1058"/>
      <c r="H1" s="1059"/>
    </row>
    <row r="2" spans="1:8" ht="27" customHeight="1" x14ac:dyDescent="0.2">
      <c r="A2" s="925" t="s">
        <v>459</v>
      </c>
      <c r="B2" s="1060"/>
      <c r="C2" s="920"/>
      <c r="D2" s="921"/>
      <c r="E2" s="922"/>
      <c r="F2" s="921"/>
      <c r="G2" s="1058"/>
      <c r="H2" s="1059"/>
    </row>
    <row r="3" spans="1:8" s="1" customFormat="1" ht="48.6" customHeight="1" x14ac:dyDescent="0.2">
      <c r="A3" s="927" t="s">
        <v>176</v>
      </c>
      <c r="B3" s="1365" t="str">
        <f>'Standard Vorgaben'!B3:G3</f>
        <v>Moderne Tafelzwetschenanlage auf schwachwachsender Unterlage. Werte sind ausgelegt auf gemischtwirtschaftliche Betriebe mit mehr als 0.5 ha Tafelzwetschgen, an geeignetem Standort in einem der Hauptproduktionsgebiete der Schweiz.</v>
      </c>
      <c r="C3" s="1365"/>
      <c r="D3" s="1365"/>
      <c r="E3" s="1365"/>
      <c r="F3" s="1365"/>
      <c r="G3" s="1365"/>
      <c r="H3" s="1365"/>
    </row>
    <row r="4" spans="1:8" s="1" customFormat="1" ht="38.25" customHeight="1" x14ac:dyDescent="0.2">
      <c r="A4" s="1366" t="s">
        <v>689</v>
      </c>
      <c r="B4" s="1366"/>
      <c r="C4" s="1366"/>
      <c r="D4" s="1366"/>
      <c r="E4" s="1366"/>
      <c r="F4" s="1366"/>
      <c r="G4" s="1366"/>
      <c r="H4" s="1366"/>
    </row>
    <row r="5" spans="1:8" x14ac:dyDescent="0.2">
      <c r="A5" s="1338" t="str">
        <f>'Standard Hagel'!A5</f>
        <v>Teuerung 2015-2023 (Baumaterialien gemäss Bundesamt für Statistik)</v>
      </c>
      <c r="B5" s="924"/>
      <c r="C5" s="924"/>
      <c r="D5" s="1099">
        <f>'Standard Hagel'!E5</f>
        <v>0.18</v>
      </c>
      <c r="E5" s="924"/>
      <c r="F5" s="924"/>
      <c r="G5" s="924"/>
      <c r="H5" s="924"/>
    </row>
    <row r="6" spans="1:8" x14ac:dyDescent="0.2">
      <c r="A6" s="924"/>
      <c r="B6" s="924"/>
      <c r="C6" s="924"/>
      <c r="D6" s="924"/>
      <c r="E6" s="924"/>
      <c r="F6" s="924"/>
      <c r="G6" s="924"/>
      <c r="H6" s="924"/>
    </row>
    <row r="7" spans="1:8" x14ac:dyDescent="0.2">
      <c r="A7" s="1367" t="s">
        <v>690</v>
      </c>
      <c r="B7" s="1367"/>
      <c r="C7" s="1367"/>
      <c r="D7" s="1367"/>
      <c r="E7" s="1367"/>
      <c r="F7" s="1367"/>
      <c r="G7" s="1367"/>
      <c r="H7" s="1367"/>
    </row>
    <row r="8" spans="1:8" x14ac:dyDescent="0.2">
      <c r="A8" s="1061" t="s">
        <v>280</v>
      </c>
      <c r="B8" s="964"/>
      <c r="C8" s="1062" t="s">
        <v>11</v>
      </c>
      <c r="D8" s="1062" t="s">
        <v>12</v>
      </c>
      <c r="E8" s="929" t="s">
        <v>93</v>
      </c>
      <c r="F8" s="1044"/>
      <c r="G8" s="924"/>
      <c r="H8" s="924"/>
    </row>
    <row r="9" spans="1:8" x14ac:dyDescent="0.2">
      <c r="A9" s="964"/>
      <c r="B9" s="953"/>
      <c r="C9" s="1063"/>
      <c r="D9" s="1063"/>
      <c r="E9" s="1064"/>
      <c r="F9" s="1044"/>
      <c r="G9" s="924"/>
      <c r="H9" s="924"/>
    </row>
    <row r="10" spans="1:8" x14ac:dyDescent="0.2">
      <c r="A10" s="939"/>
      <c r="B10" s="939"/>
      <c r="C10" s="1065"/>
      <c r="D10" s="1044"/>
      <c r="E10" s="1044"/>
      <c r="F10" s="1066"/>
      <c r="G10" s="924"/>
      <c r="H10" s="924"/>
    </row>
    <row r="11" spans="1:8" x14ac:dyDescent="0.2">
      <c r="A11" s="1024" t="s">
        <v>160</v>
      </c>
      <c r="B11" s="953" t="s">
        <v>460</v>
      </c>
      <c r="C11" s="1067">
        <v>2000</v>
      </c>
      <c r="D11" s="1068">
        <f>1.35*(1+$D$5)</f>
        <v>1.593</v>
      </c>
      <c r="E11" s="1044">
        <f>C11*D11</f>
        <v>3186</v>
      </c>
      <c r="F11" s="1069"/>
      <c r="G11" s="924"/>
      <c r="H11" s="924"/>
    </row>
    <row r="12" spans="1:8" x14ac:dyDescent="0.2">
      <c r="A12" s="1024"/>
      <c r="B12" s="953" t="s">
        <v>461</v>
      </c>
      <c r="C12" s="1070">
        <v>2530</v>
      </c>
      <c r="D12" s="1068">
        <f>0.16*(1+$D$5)</f>
        <v>0.1888</v>
      </c>
      <c r="E12" s="1044">
        <f>C12*D12</f>
        <v>477.66399999999999</v>
      </c>
      <c r="F12" s="1069"/>
      <c r="G12" s="924"/>
      <c r="H12" s="924"/>
    </row>
    <row r="13" spans="1:8" x14ac:dyDescent="0.2">
      <c r="A13" s="1024"/>
      <c r="B13" s="953" t="s">
        <v>462</v>
      </c>
      <c r="C13" s="1071">
        <v>6</v>
      </c>
      <c r="D13" s="1068">
        <f>5.5*(1+$D$5)</f>
        <v>6.4899999999999993</v>
      </c>
      <c r="E13" s="1044">
        <f>C13*D13</f>
        <v>38.94</v>
      </c>
      <c r="F13" s="1069"/>
      <c r="G13" s="924"/>
      <c r="H13" s="924"/>
    </row>
    <row r="14" spans="1:8" x14ac:dyDescent="0.2">
      <c r="A14" s="1024"/>
      <c r="B14" s="953" t="s">
        <v>463</v>
      </c>
      <c r="C14" s="1067">
        <v>2000</v>
      </c>
      <c r="D14" s="1068">
        <f>0.2*(1+$D$5)</f>
        <v>0.23599999999999999</v>
      </c>
      <c r="E14" s="1044">
        <f>C14*D14</f>
        <v>472</v>
      </c>
      <c r="F14" s="1069"/>
      <c r="G14" s="924"/>
      <c r="H14" s="924"/>
    </row>
    <row r="15" spans="1:8" x14ac:dyDescent="0.2">
      <c r="A15" s="1024"/>
      <c r="B15" s="953"/>
      <c r="C15" s="1072"/>
      <c r="D15" s="1049"/>
      <c r="E15" s="1044"/>
      <c r="F15" s="1069"/>
      <c r="G15" s="924"/>
      <c r="H15" s="924"/>
    </row>
    <row r="16" spans="1:8" x14ac:dyDescent="0.2">
      <c r="A16" s="964" t="s">
        <v>587</v>
      </c>
      <c r="B16" s="946" t="s">
        <v>588</v>
      </c>
      <c r="C16" s="1073">
        <v>8446</v>
      </c>
      <c r="D16" s="1074">
        <f>2.2*(1+$D$5)</f>
        <v>2.5960000000000001</v>
      </c>
      <c r="E16" s="1075">
        <f t="shared" ref="E16:E29" si="0">C16*D16</f>
        <v>21925.816000000003</v>
      </c>
      <c r="F16" s="1069"/>
      <c r="G16" s="924"/>
      <c r="H16" s="924"/>
    </row>
    <row r="17" spans="1:8" x14ac:dyDescent="0.2">
      <c r="A17" s="964"/>
      <c r="B17" s="946" t="s">
        <v>589</v>
      </c>
      <c r="C17" s="1073">
        <v>4080</v>
      </c>
      <c r="D17" s="1074">
        <f>0.75*(1+$D$5)</f>
        <v>0.88500000000000001</v>
      </c>
      <c r="E17" s="1075">
        <f t="shared" si="0"/>
        <v>3610.8</v>
      </c>
      <c r="F17" s="1069"/>
    </row>
    <row r="18" spans="1:8" x14ac:dyDescent="0.2">
      <c r="A18" s="964"/>
      <c r="B18" s="946" t="s">
        <v>590</v>
      </c>
      <c r="C18" s="1073">
        <v>78</v>
      </c>
      <c r="D18" s="1074">
        <f>5.5*(1+$D$5)</f>
        <v>6.4899999999999993</v>
      </c>
      <c r="E18" s="1075">
        <f t="shared" si="0"/>
        <v>506.21999999999997</v>
      </c>
      <c r="F18" s="1069"/>
    </row>
    <row r="19" spans="1:8" x14ac:dyDescent="0.2">
      <c r="A19" s="964"/>
      <c r="B19" s="946"/>
      <c r="C19" s="1073"/>
      <c r="D19" s="1074"/>
      <c r="E19" s="1075"/>
      <c r="F19" s="1069"/>
    </row>
    <row r="20" spans="1:8" x14ac:dyDescent="0.2">
      <c r="A20" s="964" t="s">
        <v>591</v>
      </c>
      <c r="B20" s="946" t="s">
        <v>592</v>
      </c>
      <c r="C20" s="1073">
        <v>864</v>
      </c>
      <c r="D20" s="1074">
        <f>0.58*(1+$D$5)</f>
        <v>0.6843999999999999</v>
      </c>
      <c r="E20" s="1075">
        <f t="shared" si="0"/>
        <v>591.32159999999988</v>
      </c>
      <c r="F20" s="1069"/>
    </row>
    <row r="21" spans="1:8" x14ac:dyDescent="0.2">
      <c r="A21" s="964"/>
      <c r="B21" s="946" t="s">
        <v>592</v>
      </c>
      <c r="C21" s="1073">
        <v>648</v>
      </c>
      <c r="D21" s="1074">
        <f>0.58*(1+$D$5)</f>
        <v>0.6843999999999999</v>
      </c>
      <c r="E21" s="1075">
        <f t="shared" si="0"/>
        <v>443.49119999999994</v>
      </c>
      <c r="F21" s="1069"/>
      <c r="G21" s="924"/>
      <c r="H21" s="924"/>
    </row>
    <row r="22" spans="1:8" x14ac:dyDescent="0.2">
      <c r="A22" s="964"/>
      <c r="B22" s="946" t="s">
        <v>593</v>
      </c>
      <c r="C22" s="1073">
        <v>1210</v>
      </c>
      <c r="D22" s="1074">
        <f>0.58*(1+$D$5)</f>
        <v>0.6843999999999999</v>
      </c>
      <c r="E22" s="1075">
        <f t="shared" si="0"/>
        <v>828.12399999999991</v>
      </c>
      <c r="F22" s="1069"/>
      <c r="G22" s="924"/>
      <c r="H22" s="924"/>
    </row>
    <row r="23" spans="1:8" x14ac:dyDescent="0.2">
      <c r="A23" s="964"/>
      <c r="B23" s="946" t="s">
        <v>594</v>
      </c>
      <c r="C23" s="1073">
        <v>400</v>
      </c>
      <c r="D23" s="1074">
        <f>0.28*(1+$D$5)</f>
        <v>0.33040000000000003</v>
      </c>
      <c r="E23" s="1075">
        <f t="shared" si="0"/>
        <v>132.16000000000003</v>
      </c>
      <c r="F23" s="1069"/>
      <c r="G23" s="924"/>
      <c r="H23" s="924"/>
    </row>
    <row r="24" spans="1:8" x14ac:dyDescent="0.2">
      <c r="A24" s="964"/>
      <c r="B24" s="946"/>
      <c r="C24" s="1073"/>
      <c r="D24" s="1074"/>
      <c r="E24" s="1075"/>
      <c r="F24" s="1069"/>
      <c r="G24" s="924"/>
      <c r="H24" s="924"/>
    </row>
    <row r="25" spans="1:8" x14ac:dyDescent="0.2">
      <c r="A25" s="964" t="s">
        <v>595</v>
      </c>
      <c r="B25" s="946" t="s">
        <v>597</v>
      </c>
      <c r="C25" s="1073">
        <v>1630</v>
      </c>
      <c r="D25" s="1074">
        <f>0.7*(1+$D$5)</f>
        <v>0.82599999999999996</v>
      </c>
      <c r="E25" s="1075">
        <f t="shared" si="0"/>
        <v>1346.3799999999999</v>
      </c>
      <c r="F25" s="1069"/>
      <c r="G25" s="924"/>
      <c r="H25" s="924"/>
    </row>
    <row r="26" spans="1:8" x14ac:dyDescent="0.2">
      <c r="A26" s="964"/>
      <c r="B26" s="946" t="s">
        <v>596</v>
      </c>
      <c r="C26" s="1073">
        <v>6030</v>
      </c>
      <c r="D26" s="1074">
        <f>0.41*(1+$D$5)</f>
        <v>0.48379999999999995</v>
      </c>
      <c r="E26" s="1075">
        <f t="shared" si="0"/>
        <v>2917.3139999999999</v>
      </c>
      <c r="F26" s="1069"/>
      <c r="G26" s="924"/>
      <c r="H26" s="924"/>
    </row>
    <row r="27" spans="1:8" x14ac:dyDescent="0.2">
      <c r="A27" s="964"/>
      <c r="B27" s="946" t="s">
        <v>598</v>
      </c>
      <c r="C27" s="1073">
        <v>340</v>
      </c>
      <c r="D27" s="1074">
        <f>19.5*(1+$D$5)</f>
        <v>23.009999999999998</v>
      </c>
      <c r="E27" s="1075">
        <f t="shared" si="0"/>
        <v>7823.4</v>
      </c>
      <c r="F27" s="1069"/>
      <c r="G27" s="924"/>
      <c r="H27" s="924"/>
    </row>
    <row r="28" spans="1:8" x14ac:dyDescent="0.2">
      <c r="A28" s="964"/>
      <c r="B28" s="946" t="s">
        <v>599</v>
      </c>
      <c r="C28" s="1341">
        <v>800</v>
      </c>
      <c r="D28" s="1336">
        <f>0.44*(1+$D$5)</f>
        <v>0.51919999999999999</v>
      </c>
      <c r="E28" s="1075">
        <f t="shared" si="0"/>
        <v>415.36</v>
      </c>
      <c r="F28" s="1069"/>
      <c r="G28" s="924"/>
      <c r="H28" s="924"/>
    </row>
    <row r="29" spans="1:8" x14ac:dyDescent="0.2">
      <c r="A29" s="964"/>
      <c r="B29" s="946" t="s">
        <v>600</v>
      </c>
      <c r="C29" s="1341">
        <v>52</v>
      </c>
      <c r="D29" s="1336">
        <f>4.5*(1+$D$5)</f>
        <v>5.31</v>
      </c>
      <c r="E29" s="1075">
        <f t="shared" si="0"/>
        <v>276.12</v>
      </c>
      <c r="F29" s="1069"/>
      <c r="G29" s="924"/>
      <c r="H29" s="924"/>
    </row>
    <row r="30" spans="1:8" x14ac:dyDescent="0.2">
      <c r="A30" s="964"/>
      <c r="B30" s="946" t="s">
        <v>601</v>
      </c>
      <c r="C30" s="1076"/>
      <c r="D30" s="1077"/>
      <c r="E30" s="1078">
        <f>1233*(1+$D$5)</f>
        <v>1454.9399999999998</v>
      </c>
      <c r="F30" s="1069"/>
      <c r="G30" s="924"/>
      <c r="H30" s="924"/>
    </row>
    <row r="31" spans="1:8" x14ac:dyDescent="0.2">
      <c r="A31" s="964"/>
      <c r="B31" s="946" t="s">
        <v>379</v>
      </c>
      <c r="C31" s="1076"/>
      <c r="D31" s="1077"/>
      <c r="E31" s="1078">
        <v>800</v>
      </c>
      <c r="F31" s="1069"/>
      <c r="G31" s="924"/>
      <c r="H31" s="924"/>
    </row>
    <row r="32" spans="1:8" x14ac:dyDescent="0.2">
      <c r="A32" s="964"/>
      <c r="B32" s="946"/>
      <c r="C32" s="1076"/>
      <c r="D32" s="1077"/>
      <c r="E32" s="1075"/>
      <c r="F32" s="1069"/>
      <c r="G32" s="924"/>
      <c r="H32" s="924"/>
    </row>
    <row r="33" spans="1:8" x14ac:dyDescent="0.2">
      <c r="A33" s="964" t="s">
        <v>380</v>
      </c>
      <c r="B33" s="946" t="s">
        <v>605</v>
      </c>
      <c r="C33" s="1073">
        <v>4</v>
      </c>
      <c r="D33" s="1074">
        <f>58.95*(1+$D$5)</f>
        <v>69.560999999999993</v>
      </c>
      <c r="E33" s="1075">
        <f>C33*D33</f>
        <v>278.24399999999997</v>
      </c>
      <c r="F33" s="1069"/>
      <c r="G33" s="924"/>
      <c r="H33" s="924"/>
    </row>
    <row r="34" spans="1:8" x14ac:dyDescent="0.2">
      <c r="B34" s="946" t="s">
        <v>603</v>
      </c>
      <c r="C34" s="1073">
        <v>380</v>
      </c>
      <c r="D34" s="1074">
        <f>23.25*(1+$D$5)</f>
        <v>27.434999999999999</v>
      </c>
      <c r="E34" s="1075">
        <f>C34*D34</f>
        <v>10425.299999999999</v>
      </c>
      <c r="F34" s="1069"/>
      <c r="G34" s="924"/>
      <c r="H34" s="924"/>
    </row>
    <row r="35" spans="1:8" x14ac:dyDescent="0.2">
      <c r="A35" s="964"/>
      <c r="B35" s="946" t="s">
        <v>604</v>
      </c>
      <c r="C35" s="1073">
        <v>34</v>
      </c>
      <c r="D35" s="1074">
        <f>33.5*(1+$D$5)</f>
        <v>39.53</v>
      </c>
      <c r="E35" s="1075">
        <f>C35*D35</f>
        <v>1344.02</v>
      </c>
      <c r="F35" s="1069"/>
      <c r="G35" s="924"/>
      <c r="H35" s="924"/>
    </row>
    <row r="36" spans="1:8" x14ac:dyDescent="0.2">
      <c r="A36" s="964"/>
      <c r="B36" s="946" t="s">
        <v>606</v>
      </c>
      <c r="C36" s="1073">
        <v>82</v>
      </c>
      <c r="D36" s="1074">
        <f>20.18*(1+$D$5)</f>
        <v>23.812399999999997</v>
      </c>
      <c r="E36" s="1075">
        <f>C36*D36</f>
        <v>1952.6167999999998</v>
      </c>
      <c r="F36" s="1069"/>
      <c r="G36" s="924"/>
      <c r="H36" s="924"/>
    </row>
    <row r="37" spans="1:8" ht="13.5" thickBot="1" x14ac:dyDescent="0.25">
      <c r="A37" s="964"/>
      <c r="B37" s="946" t="s">
        <v>607</v>
      </c>
      <c r="C37" s="1073">
        <v>530</v>
      </c>
      <c r="D37" s="1074">
        <f>1.28*(1+$D$5)</f>
        <v>1.5104</v>
      </c>
      <c r="E37" s="1080">
        <f>C37*D37</f>
        <v>800.51199999999994</v>
      </c>
      <c r="F37" s="1069"/>
      <c r="G37" s="924"/>
      <c r="H37" s="924"/>
    </row>
    <row r="38" spans="1:8" x14ac:dyDescent="0.2">
      <c r="A38" s="1024"/>
      <c r="B38" s="939"/>
      <c r="C38" s="1081"/>
      <c r="D38" s="1049"/>
      <c r="E38" s="1082">
        <f>SUM(E16:E37)</f>
        <v>57872.139599999995</v>
      </c>
      <c r="F38" s="1069"/>
      <c r="G38" s="924"/>
      <c r="H38" s="924"/>
    </row>
    <row r="39" spans="1:8" x14ac:dyDescent="0.2">
      <c r="A39" s="1024"/>
      <c r="B39" s="939"/>
      <c r="C39" s="1081"/>
      <c r="D39" s="1049"/>
      <c r="E39" s="1044"/>
      <c r="F39" s="1069"/>
      <c r="G39" s="924"/>
      <c r="H39" s="924"/>
    </row>
    <row r="40" spans="1:8" x14ac:dyDescent="0.2">
      <c r="A40" s="1024" t="s">
        <v>17</v>
      </c>
      <c r="B40" s="953" t="s">
        <v>34</v>
      </c>
      <c r="C40" s="1071">
        <v>40</v>
      </c>
      <c r="D40" s="1068">
        <v>7.2</v>
      </c>
      <c r="E40" s="1044"/>
      <c r="F40" s="1069"/>
      <c r="G40" s="924"/>
      <c r="H40" s="924"/>
    </row>
    <row r="41" spans="1:8" x14ac:dyDescent="0.2">
      <c r="A41" s="1024"/>
      <c r="B41" s="953" t="s">
        <v>18</v>
      </c>
      <c r="C41" s="1081"/>
      <c r="D41" s="1044"/>
      <c r="E41" s="1068">
        <v>150</v>
      </c>
      <c r="F41" s="1069"/>
      <c r="G41" s="924"/>
      <c r="H41" s="924"/>
    </row>
    <row r="42" spans="1:8" x14ac:dyDescent="0.2">
      <c r="A42" s="953"/>
      <c r="B42" s="953" t="s">
        <v>161</v>
      </c>
      <c r="C42" s="1081"/>
      <c r="D42" s="1044"/>
      <c r="E42" s="1068">
        <v>500</v>
      </c>
      <c r="F42" s="1069"/>
      <c r="G42" s="924"/>
      <c r="H42" s="924"/>
    </row>
    <row r="43" spans="1:8" x14ac:dyDescent="0.2">
      <c r="A43" s="953"/>
      <c r="B43" s="953"/>
      <c r="C43" s="1081"/>
      <c r="D43" s="1044"/>
      <c r="E43" s="1049"/>
      <c r="F43" s="1069"/>
      <c r="G43" s="924"/>
      <c r="H43" s="924"/>
    </row>
    <row r="44" spans="1:8" x14ac:dyDescent="0.2">
      <c r="A44" s="1083" t="s">
        <v>23</v>
      </c>
      <c r="B44" s="946" t="s">
        <v>383</v>
      </c>
      <c r="C44" s="1084">
        <v>55</v>
      </c>
      <c r="D44" s="1075">
        <f>'Standard Vorgaben'!D129</f>
        <v>41</v>
      </c>
      <c r="E44" s="1075">
        <f>C44*D44</f>
        <v>2255</v>
      </c>
      <c r="F44" s="1069"/>
      <c r="G44" s="924"/>
      <c r="H44" s="924"/>
    </row>
    <row r="45" spans="1:8" x14ac:dyDescent="0.2">
      <c r="A45" s="964"/>
      <c r="B45" s="946" t="s">
        <v>384</v>
      </c>
      <c r="C45" s="1084">
        <v>15</v>
      </c>
      <c r="D45" s="1075">
        <f>'Standard Vorgaben'!D150</f>
        <v>150</v>
      </c>
      <c r="E45" s="1075">
        <f>C45*D45</f>
        <v>2250</v>
      </c>
      <c r="F45" s="1069"/>
      <c r="G45" s="924"/>
      <c r="H45" s="924"/>
    </row>
    <row r="46" spans="1:8" x14ac:dyDescent="0.2">
      <c r="A46" s="964"/>
      <c r="B46" s="947" t="s">
        <v>470</v>
      </c>
      <c r="C46" s="1084">
        <v>20</v>
      </c>
      <c r="D46" s="1075">
        <f>'Standard Vorgaben'!D146</f>
        <v>25</v>
      </c>
      <c r="E46" s="1075">
        <f>C46*D46</f>
        <v>500</v>
      </c>
      <c r="F46" s="1069"/>
      <c r="G46" s="924"/>
      <c r="H46" s="924"/>
    </row>
    <row r="47" spans="1:8" ht="13.5" thickBot="1" x14ac:dyDescent="0.25">
      <c r="A47" s="964"/>
      <c r="B47" s="946" t="s">
        <v>471</v>
      </c>
      <c r="C47" s="1084">
        <v>10</v>
      </c>
      <c r="D47" s="1075">
        <f>'Standard Vorgaben'!D151</f>
        <v>17.5</v>
      </c>
      <c r="E47" s="1080">
        <f>C47*D47</f>
        <v>175</v>
      </c>
      <c r="F47" s="1069"/>
      <c r="G47" s="924"/>
      <c r="H47" s="924"/>
    </row>
    <row r="48" spans="1:8" x14ac:dyDescent="0.2">
      <c r="A48" s="953"/>
      <c r="B48" s="953"/>
      <c r="C48" s="1081"/>
      <c r="D48" s="1044"/>
      <c r="E48" s="1082">
        <f>SUM(E44:E47)</f>
        <v>5180</v>
      </c>
      <c r="F48" s="1069"/>
      <c r="G48" s="924"/>
      <c r="H48" s="924"/>
    </row>
    <row r="49" spans="1:8" x14ac:dyDescent="0.2">
      <c r="A49" s="1141" t="s">
        <v>28</v>
      </c>
      <c r="B49" s="1142"/>
      <c r="C49" s="1143"/>
      <c r="D49" s="1144"/>
      <c r="E49" s="1144"/>
      <c r="F49" s="1069"/>
      <c r="G49" s="924"/>
      <c r="H49" s="924"/>
    </row>
    <row r="50" spans="1:8" x14ac:dyDescent="0.2">
      <c r="A50" s="953"/>
      <c r="B50" s="939"/>
      <c r="C50" s="1085" t="s">
        <v>27</v>
      </c>
      <c r="D50" s="1086" t="s">
        <v>21</v>
      </c>
      <c r="E50" s="1087" t="s">
        <v>93</v>
      </c>
      <c r="F50" s="1069"/>
      <c r="G50" s="924"/>
      <c r="H50" s="924"/>
    </row>
    <row r="51" spans="1:8" x14ac:dyDescent="0.2">
      <c r="A51" s="1024" t="s">
        <v>472</v>
      </c>
      <c r="B51" s="953" t="s">
        <v>30</v>
      </c>
      <c r="C51" s="1032">
        <v>1</v>
      </c>
      <c r="D51" s="1066"/>
      <c r="E51" s="1066"/>
      <c r="F51" s="1069"/>
      <c r="G51" s="924"/>
      <c r="H51" s="924"/>
    </row>
    <row r="52" spans="1:8" x14ac:dyDescent="0.2">
      <c r="A52" s="939"/>
      <c r="B52" s="953" t="s">
        <v>31</v>
      </c>
      <c r="C52" s="1032">
        <v>7.5</v>
      </c>
      <c r="D52" s="1066"/>
      <c r="E52" s="1066"/>
      <c r="F52" s="1069"/>
      <c r="G52" s="924"/>
      <c r="H52" s="924"/>
    </row>
    <row r="53" spans="1:8" x14ac:dyDescent="0.2">
      <c r="A53" s="939"/>
      <c r="B53" s="953" t="s">
        <v>32</v>
      </c>
      <c r="C53" s="1032">
        <v>75</v>
      </c>
      <c r="D53" s="1066"/>
      <c r="E53" s="1066"/>
      <c r="F53" s="1069"/>
      <c r="G53" s="924"/>
      <c r="H53" s="924"/>
    </row>
    <row r="54" spans="1:8" x14ac:dyDescent="0.2">
      <c r="A54" s="939"/>
      <c r="B54" s="953" t="s">
        <v>162</v>
      </c>
      <c r="C54" s="1032">
        <v>10</v>
      </c>
      <c r="D54" s="1066"/>
      <c r="E54" s="1066"/>
      <c r="F54" s="1069"/>
      <c r="G54" s="924"/>
      <c r="H54" s="924"/>
    </row>
    <row r="55" spans="1:8" x14ac:dyDescent="0.2">
      <c r="A55" s="939"/>
      <c r="B55" s="953" t="s">
        <v>473</v>
      </c>
      <c r="C55" s="1032">
        <v>70</v>
      </c>
      <c r="D55" s="1066"/>
      <c r="E55" s="1066"/>
      <c r="F55" s="1069"/>
      <c r="G55" s="924"/>
      <c r="H55" s="924"/>
    </row>
    <row r="56" spans="1:8" x14ac:dyDescent="0.2">
      <c r="A56" s="939"/>
      <c r="B56" s="953"/>
      <c r="C56" s="1088"/>
      <c r="D56" s="1066"/>
      <c r="E56" s="1066"/>
      <c r="F56" s="1066"/>
      <c r="G56" s="924"/>
      <c r="H56" s="924"/>
    </row>
    <row r="57" spans="1:8" x14ac:dyDescent="0.2">
      <c r="A57" s="939"/>
      <c r="B57" s="953"/>
      <c r="C57" s="1088"/>
      <c r="D57" s="1044"/>
      <c r="E57" s="1044"/>
      <c r="F57" s="1066"/>
      <c r="G57" s="924"/>
      <c r="H57" s="924"/>
    </row>
    <row r="58" spans="1:8" x14ac:dyDescent="0.2">
      <c r="A58" s="938" t="s">
        <v>609</v>
      </c>
      <c r="B58" s="947" t="s">
        <v>386</v>
      </c>
      <c r="C58" s="1089">
        <v>15</v>
      </c>
      <c r="D58" s="1075">
        <f>'Standard Vorgaben'!$C$36</f>
        <v>32.700000000000003</v>
      </c>
      <c r="E58" s="1075">
        <f>C58*D58</f>
        <v>490.50000000000006</v>
      </c>
      <c r="F58" s="1069"/>
      <c r="G58" s="924"/>
      <c r="H58" s="924"/>
    </row>
    <row r="59" spans="1:8" x14ac:dyDescent="0.2">
      <c r="A59" s="946"/>
      <c r="B59" s="947" t="s">
        <v>474</v>
      </c>
      <c r="C59" s="1089">
        <v>100</v>
      </c>
      <c r="D59" s="1075">
        <f>'Standard Vorgaben'!$C$36</f>
        <v>32.700000000000003</v>
      </c>
      <c r="E59" s="1075">
        <f>C59*D59</f>
        <v>3270.0000000000005</v>
      </c>
      <c r="F59" s="1069"/>
      <c r="G59" s="924"/>
      <c r="H59" s="924"/>
    </row>
    <row r="60" spans="1:8" x14ac:dyDescent="0.2">
      <c r="A60" s="946"/>
      <c r="B60" s="947" t="s">
        <v>610</v>
      </c>
      <c r="C60" s="1089">
        <v>150</v>
      </c>
      <c r="D60" s="1075">
        <f>'Standard Vorgaben'!$C$36</f>
        <v>32.700000000000003</v>
      </c>
      <c r="E60" s="1075">
        <f>C60*D60</f>
        <v>4905</v>
      </c>
      <c r="F60" s="1069"/>
      <c r="G60" s="924"/>
      <c r="H60" s="924"/>
    </row>
    <row r="61" spans="1:8" ht="13.5" thickBot="1" x14ac:dyDescent="0.25">
      <c r="A61" s="946"/>
      <c r="B61" s="947" t="s">
        <v>388</v>
      </c>
      <c r="C61" s="1090">
        <f>SUM(C58:C60) * 0.1</f>
        <v>26.5</v>
      </c>
      <c r="D61" s="1075">
        <f>'Standard Vorgaben'!$C$36</f>
        <v>32.700000000000003</v>
      </c>
      <c r="E61" s="1080">
        <f>C61*D61</f>
        <v>866.55000000000007</v>
      </c>
      <c r="F61" s="1069"/>
      <c r="G61" s="924"/>
      <c r="H61" s="924"/>
    </row>
    <row r="62" spans="1:8" x14ac:dyDescent="0.2">
      <c r="A62" s="939"/>
      <c r="B62" s="953"/>
      <c r="C62" s="1088"/>
      <c r="D62" s="1044"/>
      <c r="E62" s="1082">
        <f>SUM(E58:E61)</f>
        <v>9532.0499999999993</v>
      </c>
      <c r="F62" s="1069"/>
      <c r="G62" s="924"/>
      <c r="H62" s="924"/>
    </row>
    <row r="63" spans="1:8" x14ac:dyDescent="0.2">
      <c r="A63" s="939"/>
      <c r="B63" s="939"/>
      <c r="C63" s="1065"/>
      <c r="D63" s="1044"/>
      <c r="E63" s="1044"/>
      <c r="F63" s="1069"/>
      <c r="G63" s="924"/>
      <c r="H63" s="924"/>
    </row>
    <row r="64" spans="1:8" x14ac:dyDescent="0.2">
      <c r="A64" s="964"/>
      <c r="B64" s="947" t="s">
        <v>392</v>
      </c>
      <c r="C64" s="1093"/>
      <c r="D64" s="1094"/>
      <c r="E64" s="1075">
        <f>E38</f>
        <v>57872.139599999995</v>
      </c>
      <c r="F64" s="1069"/>
      <c r="G64" s="924"/>
      <c r="H64" s="924"/>
    </row>
    <row r="65" spans="1:8" x14ac:dyDescent="0.2">
      <c r="A65" s="939"/>
      <c r="B65" s="947" t="s">
        <v>23</v>
      </c>
      <c r="C65" s="1093"/>
      <c r="D65" s="1094"/>
      <c r="E65" s="1075">
        <f>E48</f>
        <v>5180</v>
      </c>
      <c r="F65" s="1069"/>
      <c r="G65" s="924"/>
      <c r="H65" s="924"/>
    </row>
    <row r="66" spans="1:8" x14ac:dyDescent="0.2">
      <c r="A66" s="939"/>
      <c r="B66" s="947" t="s">
        <v>28</v>
      </c>
      <c r="C66" s="1093"/>
      <c r="D66" s="1094"/>
      <c r="E66" s="1075">
        <f>E62</f>
        <v>9532.0499999999993</v>
      </c>
      <c r="F66" s="1069"/>
      <c r="G66" s="924"/>
      <c r="H66" s="924"/>
    </row>
    <row r="67" spans="1:8" x14ac:dyDescent="0.2">
      <c r="A67" s="964" t="s">
        <v>653</v>
      </c>
      <c r="B67" s="953"/>
      <c r="C67" s="1065"/>
      <c r="D67" s="1044"/>
      <c r="E67" s="1082">
        <f>SUM(E64:E66)</f>
        <v>72584.189599999998</v>
      </c>
      <c r="F67" s="1066"/>
      <c r="G67" s="924"/>
      <c r="H67" s="924"/>
    </row>
    <row r="68" spans="1:8" x14ac:dyDescent="0.2">
      <c r="A68" s="964"/>
      <c r="B68" s="953"/>
      <c r="C68" s="1065"/>
      <c r="D68" s="1044"/>
      <c r="E68" s="1082"/>
      <c r="F68" s="1066"/>
      <c r="G68" s="924"/>
      <c r="H68" s="924"/>
    </row>
    <row r="69" spans="1:8" x14ac:dyDescent="0.2">
      <c r="A69" s="1141" t="s">
        <v>192</v>
      </c>
      <c r="B69" s="924"/>
      <c r="C69" s="1095"/>
      <c r="D69" s="924"/>
      <c r="E69" s="924"/>
      <c r="F69" s="924"/>
      <c r="G69" s="924"/>
      <c r="H69" s="924"/>
    </row>
    <row r="70" spans="1:8" x14ac:dyDescent="0.2">
      <c r="A70" s="1141" t="s">
        <v>475</v>
      </c>
      <c r="B70" s="1141" t="s">
        <v>476</v>
      </c>
      <c r="C70" s="1141" t="s">
        <v>93</v>
      </c>
      <c r="D70" s="1141" t="s">
        <v>477</v>
      </c>
      <c r="E70" s="1141" t="s">
        <v>478</v>
      </c>
      <c r="F70" s="924"/>
      <c r="G70" s="924"/>
      <c r="H70" s="924"/>
    </row>
    <row r="71" spans="1:8" x14ac:dyDescent="0.2">
      <c r="A71" s="924"/>
      <c r="B71" s="924"/>
      <c r="C71" s="1095"/>
      <c r="D71" s="924"/>
      <c r="E71" s="924"/>
      <c r="F71" s="924"/>
      <c r="G71" s="924"/>
      <c r="H71" s="924"/>
    </row>
    <row r="72" spans="1:8" x14ac:dyDescent="0.2">
      <c r="A72" s="924">
        <v>1</v>
      </c>
      <c r="B72" s="1096">
        <v>1</v>
      </c>
      <c r="C72" s="1097">
        <f>'Standard Vorgaben'!B46*'Standard Vorgaben'!D46*'Standard Vorgaben'!B69</f>
        <v>0</v>
      </c>
      <c r="D72" s="1098">
        <v>0.112</v>
      </c>
      <c r="E72" s="1096">
        <v>0.8</v>
      </c>
      <c r="F72" s="924"/>
      <c r="G72" s="924"/>
      <c r="H72" s="924"/>
    </row>
    <row r="73" spans="1:8" x14ac:dyDescent="0.2">
      <c r="A73" s="924">
        <v>2</v>
      </c>
      <c r="B73" s="1099">
        <f>B72</f>
        <v>1</v>
      </c>
      <c r="C73" s="1097">
        <f>'Standard Vorgaben'!B47*'Standard Vorgaben'!D47*'Standard Vorgaben'!B70</f>
        <v>6624</v>
      </c>
      <c r="D73" s="1100">
        <f>D72</f>
        <v>0.112</v>
      </c>
      <c r="E73" s="1099">
        <f>E72</f>
        <v>0.8</v>
      </c>
      <c r="F73" s="924"/>
      <c r="G73" s="924"/>
      <c r="H73" s="924"/>
    </row>
    <row r="74" spans="1:8" x14ac:dyDescent="0.2">
      <c r="A74" s="924">
        <v>3</v>
      </c>
      <c r="B74" s="1099">
        <f>B72</f>
        <v>1</v>
      </c>
      <c r="C74" s="1097">
        <f>'Standard Vorgaben'!B48*'Standard Vorgaben'!D48*'Standard Vorgaben'!B71</f>
        <v>9936</v>
      </c>
      <c r="D74" s="1100">
        <f>D72</f>
        <v>0.112</v>
      </c>
      <c r="E74" s="1099">
        <f>E72</f>
        <v>0.8</v>
      </c>
      <c r="F74" s="924"/>
      <c r="G74" s="924"/>
      <c r="H74" s="924"/>
    </row>
    <row r="75" spans="1:8" x14ac:dyDescent="0.2">
      <c r="A75" s="924">
        <v>4</v>
      </c>
      <c r="B75" s="1099">
        <f>B72</f>
        <v>1</v>
      </c>
      <c r="C75" s="1097">
        <f>'Standard Vorgaben'!B49*'Standard Vorgaben'!D49*'Standard Vorgaben'!B72</f>
        <v>16560</v>
      </c>
      <c r="D75" s="1100">
        <f>D72</f>
        <v>0.112</v>
      </c>
      <c r="E75" s="1099">
        <f>E72</f>
        <v>0.8</v>
      </c>
      <c r="F75" s="1101">
        <f>C75*D75*E75</f>
        <v>1483.7760000000001</v>
      </c>
      <c r="G75" s="924"/>
      <c r="H75" s="924"/>
    </row>
    <row r="76" spans="1:8" x14ac:dyDescent="0.2">
      <c r="A76" s="924">
        <v>5</v>
      </c>
      <c r="B76" s="1099">
        <f>B72</f>
        <v>1</v>
      </c>
      <c r="C76" s="1097">
        <f>'Standard Vorgaben'!B50*'Standard Vorgaben'!D50*'Standard Vorgaben'!B73</f>
        <v>29808</v>
      </c>
      <c r="D76" s="1100">
        <f>D72</f>
        <v>0.112</v>
      </c>
      <c r="E76" s="1099">
        <f>E72</f>
        <v>0.8</v>
      </c>
      <c r="F76" s="1101">
        <f t="shared" ref="F76:F88" si="1">C76*D76</f>
        <v>3338.4960000000001</v>
      </c>
      <c r="G76" s="924"/>
      <c r="H76" s="924"/>
    </row>
    <row r="77" spans="1:8" x14ac:dyDescent="0.2">
      <c r="A77" s="924">
        <v>6</v>
      </c>
      <c r="B77" s="1099">
        <f>B72</f>
        <v>1</v>
      </c>
      <c r="C77" s="1097">
        <f>'Standard Vorgaben'!B51*'Standard Vorgaben'!D51*'Standard Vorgaben'!B74</f>
        <v>36432</v>
      </c>
      <c r="D77" s="1100">
        <f>D72</f>
        <v>0.112</v>
      </c>
      <c r="E77" s="1099">
        <f>E72</f>
        <v>0.8</v>
      </c>
      <c r="F77" s="1101">
        <f t="shared" si="1"/>
        <v>4080.384</v>
      </c>
      <c r="G77" s="924"/>
      <c r="H77" s="924"/>
    </row>
    <row r="78" spans="1:8" x14ac:dyDescent="0.2">
      <c r="A78" s="924">
        <v>7</v>
      </c>
      <c r="B78" s="1099">
        <f>B72</f>
        <v>1</v>
      </c>
      <c r="C78" s="1097">
        <f>'Standard Vorgaben'!B52*'Standard Vorgaben'!D52*'Standard Vorgaben'!B75</f>
        <v>43056</v>
      </c>
      <c r="D78" s="1100">
        <f>D72</f>
        <v>0.112</v>
      </c>
      <c r="E78" s="1099">
        <f>E72</f>
        <v>0.8</v>
      </c>
      <c r="F78" s="1101">
        <f t="shared" si="1"/>
        <v>4822.2719999999999</v>
      </c>
      <c r="G78" s="924"/>
      <c r="H78" s="924"/>
    </row>
    <row r="79" spans="1:8" x14ac:dyDescent="0.2">
      <c r="A79" s="924">
        <v>8</v>
      </c>
      <c r="B79" s="1099">
        <f>B72</f>
        <v>1</v>
      </c>
      <c r="C79" s="1097">
        <f>'Standard Vorgaben'!B53*'Standard Vorgaben'!D53*'Standard Vorgaben'!B75</f>
        <v>43056</v>
      </c>
      <c r="D79" s="1100">
        <f>D72</f>
        <v>0.112</v>
      </c>
      <c r="E79" s="1099">
        <f>E72</f>
        <v>0.8</v>
      </c>
      <c r="F79" s="1101">
        <f t="shared" si="1"/>
        <v>4822.2719999999999</v>
      </c>
      <c r="G79" s="924"/>
      <c r="H79" s="924"/>
    </row>
    <row r="80" spans="1:8" x14ac:dyDescent="0.2">
      <c r="A80" s="924">
        <v>9</v>
      </c>
      <c r="B80" s="1099">
        <f>B72</f>
        <v>1</v>
      </c>
      <c r="C80" s="1097">
        <f>'Standard Vorgaben'!B54*'Standard Vorgaben'!D54*'Standard Vorgaben'!B76</f>
        <v>43056</v>
      </c>
      <c r="D80" s="1100">
        <f>D72</f>
        <v>0.112</v>
      </c>
      <c r="E80" s="1099">
        <f>E72</f>
        <v>0.8</v>
      </c>
      <c r="F80" s="1101">
        <f t="shared" si="1"/>
        <v>4822.2719999999999</v>
      </c>
      <c r="G80" s="924"/>
      <c r="H80" s="924"/>
    </row>
    <row r="81" spans="1:8" x14ac:dyDescent="0.2">
      <c r="A81" s="924">
        <v>10</v>
      </c>
      <c r="B81" s="1099">
        <f>B72</f>
        <v>1</v>
      </c>
      <c r="C81" s="1097">
        <f>'Standard Vorgaben'!B55*'Standard Vorgaben'!D55*'Standard Vorgaben'!B78</f>
        <v>43056</v>
      </c>
      <c r="D81" s="1100">
        <f>D72</f>
        <v>0.112</v>
      </c>
      <c r="E81" s="1099">
        <f>E72</f>
        <v>0.8</v>
      </c>
      <c r="F81" s="1101">
        <f t="shared" si="1"/>
        <v>4822.2719999999999</v>
      </c>
      <c r="G81" s="924"/>
      <c r="H81" s="924"/>
    </row>
    <row r="82" spans="1:8" x14ac:dyDescent="0.2">
      <c r="A82" s="924">
        <v>11</v>
      </c>
      <c r="B82" s="1099">
        <f>B72</f>
        <v>1</v>
      </c>
      <c r="C82" s="1097">
        <f>'Standard Vorgaben'!B56*'Standard Vorgaben'!D56*'Standard Vorgaben'!B79</f>
        <v>43056</v>
      </c>
      <c r="D82" s="1100">
        <f>D72</f>
        <v>0.112</v>
      </c>
      <c r="E82" s="1099">
        <f>E72</f>
        <v>0.8</v>
      </c>
      <c r="F82" s="1101">
        <f t="shared" si="1"/>
        <v>4822.2719999999999</v>
      </c>
      <c r="G82" s="924"/>
      <c r="H82" s="924"/>
    </row>
    <row r="83" spans="1:8" x14ac:dyDescent="0.2">
      <c r="A83" s="924">
        <v>12</v>
      </c>
      <c r="B83" s="1099">
        <f>B72</f>
        <v>1</v>
      </c>
      <c r="C83" s="1097">
        <f>'Standard Vorgaben'!B57*'Standard Vorgaben'!D57*'Standard Vorgaben'!B80</f>
        <v>43056</v>
      </c>
      <c r="D83" s="1100">
        <f>D72</f>
        <v>0.112</v>
      </c>
      <c r="E83" s="1099">
        <f>E72</f>
        <v>0.8</v>
      </c>
      <c r="F83" s="1101">
        <f t="shared" si="1"/>
        <v>4822.2719999999999</v>
      </c>
      <c r="G83" s="924"/>
      <c r="H83" s="924"/>
    </row>
    <row r="84" spans="1:8" x14ac:dyDescent="0.2">
      <c r="A84" s="924">
        <v>13</v>
      </c>
      <c r="B84" s="1099">
        <f>B72</f>
        <v>1</v>
      </c>
      <c r="C84" s="1097">
        <f>'Standard Vorgaben'!B58*'Standard Vorgaben'!D58*'Standard Vorgaben'!B81</f>
        <v>43056</v>
      </c>
      <c r="D84" s="1100">
        <f>D72</f>
        <v>0.112</v>
      </c>
      <c r="E84" s="1099">
        <f>E72</f>
        <v>0.8</v>
      </c>
      <c r="F84" s="1101">
        <f t="shared" si="1"/>
        <v>4822.2719999999999</v>
      </c>
      <c r="G84" s="924"/>
      <c r="H84" s="924"/>
    </row>
    <row r="85" spans="1:8" x14ac:dyDescent="0.2">
      <c r="A85" s="924">
        <v>14</v>
      </c>
      <c r="B85" s="1099">
        <f>B72</f>
        <v>1</v>
      </c>
      <c r="C85" s="1097">
        <f>'Standard Vorgaben'!B59*'Standard Vorgaben'!D59*'Standard Vorgaben'!B82</f>
        <v>43056</v>
      </c>
      <c r="D85" s="1100">
        <f>D72</f>
        <v>0.112</v>
      </c>
      <c r="E85" s="1099">
        <f>E72</f>
        <v>0.8</v>
      </c>
      <c r="F85" s="1101">
        <f t="shared" si="1"/>
        <v>4822.2719999999999</v>
      </c>
      <c r="G85" s="924"/>
      <c r="H85" s="924"/>
    </row>
    <row r="86" spans="1:8" x14ac:dyDescent="0.2">
      <c r="A86" s="924">
        <v>15</v>
      </c>
      <c r="B86" s="1099">
        <f>B74</f>
        <v>1</v>
      </c>
      <c r="C86" s="1097">
        <f>'Standard Vorgaben'!B60*'Standard Vorgaben'!D60*'Standard Vorgaben'!B83</f>
        <v>43056</v>
      </c>
      <c r="D86" s="1100">
        <f>D74</f>
        <v>0.112</v>
      </c>
      <c r="E86" s="1099">
        <f>E74</f>
        <v>0.8</v>
      </c>
      <c r="F86" s="1101">
        <f t="shared" si="1"/>
        <v>4822.2719999999999</v>
      </c>
      <c r="G86" s="924"/>
      <c r="H86" s="924"/>
    </row>
    <row r="87" spans="1:8" x14ac:dyDescent="0.2">
      <c r="A87" s="924">
        <v>16</v>
      </c>
      <c r="B87" s="1099">
        <f>B74</f>
        <v>1</v>
      </c>
      <c r="C87" s="1097">
        <f>'Standard Vorgaben'!B61*'Standard Vorgaben'!D61*'Standard Vorgaben'!B84</f>
        <v>43056</v>
      </c>
      <c r="D87" s="1100">
        <f>D74</f>
        <v>0.112</v>
      </c>
      <c r="E87" s="1099">
        <f>E74</f>
        <v>0.8</v>
      </c>
      <c r="F87" s="1101">
        <f t="shared" si="1"/>
        <v>4822.2719999999999</v>
      </c>
      <c r="G87" s="924"/>
      <c r="H87" s="924"/>
    </row>
    <row r="88" spans="1:8" x14ac:dyDescent="0.2">
      <c r="A88" s="1141" t="s">
        <v>479</v>
      </c>
      <c r="B88" s="924"/>
      <c r="C88" s="1187">
        <f>AVERAGE(C75:C87)</f>
        <v>39489.230769230766</v>
      </c>
      <c r="D88" s="1188">
        <f>AVERAGE(D75:D87)</f>
        <v>0.11200000000000003</v>
      </c>
      <c r="E88" s="924"/>
      <c r="F88" s="1141">
        <f t="shared" si="1"/>
        <v>4422.793846153847</v>
      </c>
      <c r="G88" s="924"/>
      <c r="H88" s="924"/>
    </row>
    <row r="89" spans="1:8" x14ac:dyDescent="0.2">
      <c r="A89" s="1141" t="s">
        <v>480</v>
      </c>
      <c r="B89" s="924"/>
      <c r="C89" s="1187">
        <f>SUM(C75:C87)</f>
        <v>513360</v>
      </c>
      <c r="D89" s="924"/>
      <c r="E89" s="924"/>
      <c r="F89" s="924"/>
      <c r="G89" s="924"/>
      <c r="H89" s="924"/>
    </row>
    <row r="90" spans="1:8" x14ac:dyDescent="0.2">
      <c r="A90" s="924"/>
      <c r="B90" s="924"/>
      <c r="C90" s="924"/>
      <c r="D90" s="924"/>
      <c r="E90" s="924"/>
      <c r="F90" s="924"/>
      <c r="G90" s="924"/>
      <c r="H90" s="924"/>
    </row>
    <row r="91" spans="1:8" x14ac:dyDescent="0.2">
      <c r="A91" s="924"/>
      <c r="B91" s="924"/>
      <c r="C91" s="924"/>
      <c r="D91" s="924"/>
      <c r="E91" s="924"/>
      <c r="F91" s="924"/>
      <c r="G91" s="924"/>
      <c r="H91" s="924"/>
    </row>
  </sheetData>
  <mergeCells count="4">
    <mergeCell ref="B3:H3"/>
    <mergeCell ref="A4:H4"/>
    <mergeCell ref="A7:H7"/>
    <mergeCell ref="A1:B1"/>
  </mergeCells>
  <phoneticPr fontId="23"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8"/>
  </sheetPr>
  <dimension ref="A1:O114"/>
  <sheetViews>
    <sheetView workbookViewId="0">
      <selection activeCell="H112" sqref="H112"/>
    </sheetView>
  </sheetViews>
  <sheetFormatPr baseColWidth="10" defaultRowHeight="12.75" x14ac:dyDescent="0.2"/>
  <cols>
    <col min="3" max="3" width="13.42578125" customWidth="1"/>
    <col min="5" max="5" width="11.7109375" bestFit="1" customWidth="1"/>
  </cols>
  <sheetData>
    <row r="1" spans="1:15" ht="33.75" customHeight="1" x14ac:dyDescent="0.3">
      <c r="A1" s="1368" t="str">
        <f>'Varianten eingeben'!A1</f>
        <v>Arbokost 2023</v>
      </c>
      <c r="B1" s="1368"/>
      <c r="C1" s="920"/>
      <c r="D1" s="921"/>
      <c r="E1" s="922"/>
      <c r="F1" s="921"/>
      <c r="G1" s="923"/>
      <c r="H1" s="924"/>
    </row>
    <row r="2" spans="1:15" ht="14.25" x14ac:dyDescent="0.2">
      <c r="A2" s="925" t="s">
        <v>459</v>
      </c>
      <c r="B2" s="926"/>
      <c r="C2" s="920"/>
      <c r="D2" s="921"/>
      <c r="E2" s="922"/>
      <c r="F2" s="921"/>
      <c r="G2" s="923"/>
      <c r="H2" s="924"/>
    </row>
    <row r="3" spans="1:15" x14ac:dyDescent="0.2">
      <c r="A3" s="927"/>
      <c r="B3" s="1365"/>
      <c r="C3" s="1365"/>
      <c r="D3" s="1365"/>
      <c r="E3" s="1365"/>
      <c r="F3" s="1365"/>
      <c r="G3" s="928"/>
      <c r="H3" s="924"/>
    </row>
    <row r="4" spans="1:15" x14ac:dyDescent="0.2">
      <c r="A4" s="1145" t="s">
        <v>691</v>
      </c>
      <c r="B4" s="1145"/>
      <c r="C4" s="1145"/>
      <c r="D4" s="1145"/>
      <c r="E4" s="1145"/>
      <c r="F4" s="1145"/>
      <c r="G4" s="1145"/>
      <c r="H4" s="1145"/>
    </row>
    <row r="5" spans="1:15" ht="22.5" x14ac:dyDescent="0.45">
      <c r="A5" s="1145" t="s">
        <v>481</v>
      </c>
      <c r="B5" s="1145"/>
      <c r="C5" s="1145"/>
      <c r="D5" s="1145"/>
      <c r="E5" s="1145"/>
      <c r="F5" s="1145"/>
      <c r="G5" s="1145"/>
      <c r="H5" s="1145"/>
      <c r="K5" s="1337">
        <f>'Var Regendach'!K4</f>
        <v>0</v>
      </c>
      <c r="O5" s="1342">
        <f>'Var Regendach'!N4</f>
        <v>0</v>
      </c>
    </row>
    <row r="6" spans="1:15" x14ac:dyDescent="0.2">
      <c r="A6" s="1343" t="str">
        <f>'Standard Regendach'!A5</f>
        <v>Teuerung 2015-2023 (Baumaterialien gemäss Bundesamt für Statistik)</v>
      </c>
      <c r="B6" s="1343"/>
      <c r="C6" s="1343"/>
      <c r="D6" s="1344"/>
      <c r="E6" s="1347">
        <f>'Standard Regendach'!D5</f>
        <v>0.18</v>
      </c>
      <c r="F6" s="1145"/>
      <c r="G6" s="1145"/>
      <c r="H6" s="1145"/>
      <c r="K6" s="1337"/>
      <c r="O6" s="1342"/>
    </row>
    <row r="7" spans="1:15" x14ac:dyDescent="0.2">
      <c r="A7" s="1145"/>
      <c r="B7" s="1145"/>
      <c r="C7" s="1145"/>
      <c r="D7" s="929" t="s">
        <v>11</v>
      </c>
      <c r="E7" s="930"/>
      <c r="F7" s="929" t="s">
        <v>12</v>
      </c>
      <c r="G7" s="931"/>
      <c r="H7" s="929" t="s">
        <v>199</v>
      </c>
    </row>
    <row r="8" spans="1:15" x14ac:dyDescent="0.2">
      <c r="A8" s="932"/>
      <c r="B8" s="932"/>
      <c r="C8" s="933">
        <f>'Standard Vorgaben'!$C$18</f>
        <v>115</v>
      </c>
      <c r="D8" s="934">
        <f>'Standard Vorgaben'!$C$19</f>
        <v>75</v>
      </c>
      <c r="E8" s="935">
        <f>'Standard Vorgaben'!$C$23</f>
        <v>19</v>
      </c>
      <c r="F8" s="924"/>
      <c r="G8" s="936">
        <f>'Standard Vorgaben'!C21</f>
        <v>4</v>
      </c>
      <c r="H8" s="937">
        <f>'Standard Vorgaben'!C22</f>
        <v>2</v>
      </c>
    </row>
    <row r="9" spans="1:15" x14ac:dyDescent="0.2">
      <c r="A9" s="938" t="s">
        <v>482</v>
      </c>
      <c r="B9" s="939" t="s">
        <v>483</v>
      </c>
      <c r="C9" s="939"/>
      <c r="D9" s="939"/>
      <c r="E9" s="940"/>
      <c r="F9" s="941"/>
      <c r="G9" s="941"/>
      <c r="H9" s="942"/>
    </row>
    <row r="10" spans="1:15" x14ac:dyDescent="0.2">
      <c r="A10" s="943" t="s">
        <v>484</v>
      </c>
      <c r="B10" s="939" t="s">
        <v>485</v>
      </c>
      <c r="C10" s="939"/>
      <c r="D10" s="944"/>
      <c r="E10" s="940"/>
      <c r="F10" s="941"/>
      <c r="G10" s="941"/>
      <c r="H10" s="945"/>
    </row>
    <row r="11" spans="1:15" x14ac:dyDescent="0.2">
      <c r="A11" s="939"/>
      <c r="B11" s="946" t="s">
        <v>486</v>
      </c>
      <c r="C11" s="939"/>
      <c r="D11" s="944">
        <f>((C8*E8)+50)</f>
        <v>2235</v>
      </c>
      <c r="E11" s="940"/>
      <c r="F11" s="1346">
        <f>1.35*(1+E6)</f>
        <v>1.593</v>
      </c>
      <c r="G11" s="941"/>
      <c r="H11" s="945">
        <f>F11*D11</f>
        <v>3560.355</v>
      </c>
    </row>
    <row r="12" spans="1:15" x14ac:dyDescent="0.2">
      <c r="A12" s="939"/>
      <c r="B12" s="947" t="s">
        <v>487</v>
      </c>
      <c r="C12" s="939"/>
      <c r="D12" s="944"/>
      <c r="E12" s="940"/>
      <c r="F12" s="1346"/>
      <c r="G12" s="941"/>
      <c r="H12" s="945"/>
    </row>
    <row r="13" spans="1:15" x14ac:dyDescent="0.2">
      <c r="A13" s="939"/>
      <c r="B13" s="948" t="s">
        <v>488</v>
      </c>
      <c r="C13" s="949"/>
      <c r="D13" s="950">
        <f>E8</f>
        <v>19</v>
      </c>
      <c r="E13" s="951"/>
      <c r="F13" s="952">
        <f>7*(1+E6)</f>
        <v>8.26</v>
      </c>
      <c r="G13" s="941"/>
      <c r="H13" s="945">
        <f>F13*D13</f>
        <v>156.94</v>
      </c>
    </row>
    <row r="14" spans="1:15" x14ac:dyDescent="0.2">
      <c r="A14" s="939"/>
      <c r="B14" s="953" t="s">
        <v>489</v>
      </c>
      <c r="C14" s="939"/>
      <c r="D14" s="950">
        <f>E8</f>
        <v>19</v>
      </c>
      <c r="E14" s="951"/>
      <c r="F14" s="952">
        <f>6.5*(1+E6)</f>
        <v>7.67</v>
      </c>
      <c r="G14" s="941"/>
      <c r="H14" s="945">
        <f>F14*D14</f>
        <v>145.72999999999999</v>
      </c>
    </row>
    <row r="15" spans="1:15" x14ac:dyDescent="0.2">
      <c r="A15" s="939"/>
      <c r="B15" s="953" t="s">
        <v>490</v>
      </c>
      <c r="C15" s="939"/>
      <c r="D15" s="950">
        <v>5000</v>
      </c>
      <c r="E15" s="951"/>
      <c r="F15" s="952">
        <f>0.06*(1+E6)</f>
        <v>7.0799999999999988E-2</v>
      </c>
      <c r="G15" s="941"/>
      <c r="H15" s="945">
        <f>F15*D15</f>
        <v>353.99999999999994</v>
      </c>
    </row>
    <row r="16" spans="1:15" ht="13.5" thickBot="1" x14ac:dyDescent="0.25">
      <c r="A16" s="939"/>
      <c r="B16" s="939" t="s">
        <v>379</v>
      </c>
      <c r="C16" s="939"/>
      <c r="D16" s="950"/>
      <c r="E16" s="951"/>
      <c r="F16" s="952"/>
      <c r="G16" s="941"/>
      <c r="H16" s="945">
        <v>250</v>
      </c>
    </row>
    <row r="17" spans="1:8" x14ac:dyDescent="0.2">
      <c r="A17" s="938" t="s">
        <v>491</v>
      </c>
      <c r="B17" s="938"/>
      <c r="C17" s="938"/>
      <c r="D17" s="954"/>
      <c r="E17" s="955"/>
      <c r="F17" s="956"/>
      <c r="G17" s="957"/>
      <c r="H17" s="958">
        <f>SUM(H11:H16)</f>
        <v>4467.0249999999996</v>
      </c>
    </row>
    <row r="18" spans="1:8" x14ac:dyDescent="0.2">
      <c r="A18" s="939" t="s">
        <v>492</v>
      </c>
      <c r="B18" s="939" t="s">
        <v>493</v>
      </c>
      <c r="C18" s="939"/>
      <c r="D18" s="950"/>
      <c r="E18" s="951"/>
      <c r="F18" s="952"/>
      <c r="G18" s="941"/>
      <c r="H18" s="945"/>
    </row>
    <row r="19" spans="1:8" x14ac:dyDescent="0.2">
      <c r="A19" s="939"/>
      <c r="B19" s="939" t="s">
        <v>494</v>
      </c>
      <c r="C19" s="939"/>
      <c r="D19" s="959">
        <v>300</v>
      </c>
      <c r="E19" s="951"/>
      <c r="F19" s="952">
        <f>3.8*(1+E6)</f>
        <v>4.484</v>
      </c>
      <c r="G19" s="941"/>
      <c r="H19" s="945">
        <f>F19*D19</f>
        <v>1345.2</v>
      </c>
    </row>
    <row r="20" spans="1:8" x14ac:dyDescent="0.2">
      <c r="A20" s="939"/>
      <c r="B20" s="953" t="s">
        <v>495</v>
      </c>
      <c r="C20" s="939"/>
      <c r="D20" s="960">
        <v>3</v>
      </c>
      <c r="E20" s="961"/>
      <c r="F20" s="952">
        <f>60*(1+E6)</f>
        <v>70.8</v>
      </c>
      <c r="G20" s="941"/>
      <c r="H20" s="945">
        <f>F20*D20</f>
        <v>212.39999999999998</v>
      </c>
    </row>
    <row r="21" spans="1:8" ht="13.5" thickBot="1" x14ac:dyDescent="0.25">
      <c r="A21" s="939"/>
      <c r="B21" s="939" t="s">
        <v>496</v>
      </c>
      <c r="C21" s="939"/>
      <c r="D21" s="962"/>
      <c r="E21" s="962"/>
      <c r="F21" s="962"/>
      <c r="G21" s="939"/>
      <c r="H21" s="963">
        <v>250</v>
      </c>
    </row>
    <row r="22" spans="1:8" x14ac:dyDescent="0.2">
      <c r="A22" s="938" t="s">
        <v>497</v>
      </c>
      <c r="B22" s="964"/>
      <c r="C22" s="938"/>
      <c r="D22" s="965"/>
      <c r="E22" s="966"/>
      <c r="F22" s="956"/>
      <c r="G22" s="957"/>
      <c r="H22" s="967">
        <f>SUM(H19:H21)</f>
        <v>1807.6</v>
      </c>
    </row>
    <row r="23" spans="1:8" x14ac:dyDescent="0.2">
      <c r="A23" s="939" t="s">
        <v>498</v>
      </c>
      <c r="B23" s="939" t="s">
        <v>499</v>
      </c>
      <c r="C23" s="939"/>
      <c r="D23" s="960">
        <v>1</v>
      </c>
      <c r="E23" s="961"/>
      <c r="F23" s="952">
        <f>300*(1+E6)</f>
        <v>354</v>
      </c>
      <c r="G23" s="941"/>
      <c r="H23" s="945">
        <f t="shared" ref="H23:H28" si="0">F23*D23</f>
        <v>354</v>
      </c>
    </row>
    <row r="24" spans="1:8" x14ac:dyDescent="0.2">
      <c r="A24" s="939"/>
      <c r="B24" s="953" t="s">
        <v>500</v>
      </c>
      <c r="C24" s="939"/>
      <c r="D24" s="960">
        <v>1</v>
      </c>
      <c r="E24" s="961"/>
      <c r="F24" s="952">
        <f>120*(1+E6)</f>
        <v>141.6</v>
      </c>
      <c r="G24" s="941"/>
      <c r="H24" s="945">
        <f t="shared" si="0"/>
        <v>141.6</v>
      </c>
    </row>
    <row r="25" spans="1:8" x14ac:dyDescent="0.2">
      <c r="A25" s="939"/>
      <c r="B25" s="939" t="s">
        <v>501</v>
      </c>
      <c r="C25" s="939"/>
      <c r="D25" s="960">
        <v>1</v>
      </c>
      <c r="E25" s="961"/>
      <c r="F25" s="952">
        <f>75*(1+E6)</f>
        <v>88.5</v>
      </c>
      <c r="G25" s="941"/>
      <c r="H25" s="945">
        <f t="shared" si="0"/>
        <v>88.5</v>
      </c>
    </row>
    <row r="26" spans="1:8" x14ac:dyDescent="0.2">
      <c r="A26" s="939"/>
      <c r="B26" s="939" t="s">
        <v>502</v>
      </c>
      <c r="C26" s="939"/>
      <c r="D26" s="960">
        <v>1</v>
      </c>
      <c r="E26" s="961"/>
      <c r="F26" s="952">
        <f>70*(1+E6)</f>
        <v>82.6</v>
      </c>
      <c r="G26" s="941"/>
      <c r="H26" s="945">
        <f t="shared" si="0"/>
        <v>82.6</v>
      </c>
    </row>
    <row r="27" spans="1:8" x14ac:dyDescent="0.2">
      <c r="A27" s="939"/>
      <c r="B27" s="939" t="s">
        <v>503</v>
      </c>
      <c r="C27" s="939"/>
      <c r="D27" s="960">
        <v>2</v>
      </c>
      <c r="E27" s="961"/>
      <c r="F27" s="952">
        <f>130*(1+E6)</f>
        <v>153.4</v>
      </c>
      <c r="G27" s="941"/>
      <c r="H27" s="945">
        <f t="shared" si="0"/>
        <v>306.8</v>
      </c>
    </row>
    <row r="28" spans="1:8" x14ac:dyDescent="0.2">
      <c r="A28" s="939"/>
      <c r="B28" s="939" t="s">
        <v>504</v>
      </c>
      <c r="C28" s="939"/>
      <c r="D28" s="960">
        <v>1</v>
      </c>
      <c r="E28" s="961"/>
      <c r="F28" s="952">
        <f>350*(1+E6)</f>
        <v>413</v>
      </c>
      <c r="G28" s="941"/>
      <c r="H28" s="945">
        <f t="shared" si="0"/>
        <v>413</v>
      </c>
    </row>
    <row r="29" spans="1:8" ht="13.5" thickBot="1" x14ac:dyDescent="0.25">
      <c r="A29" s="939"/>
      <c r="B29" s="953" t="s">
        <v>496</v>
      </c>
      <c r="C29" s="939"/>
      <c r="D29" s="962"/>
      <c r="E29" s="962"/>
      <c r="F29" s="962"/>
      <c r="G29" s="939"/>
      <c r="H29" s="945">
        <v>100</v>
      </c>
    </row>
    <row r="30" spans="1:8" x14ac:dyDescent="0.2">
      <c r="A30" s="938" t="s">
        <v>505</v>
      </c>
      <c r="B30" s="964"/>
      <c r="C30" s="938"/>
      <c r="D30" s="965"/>
      <c r="E30" s="966"/>
      <c r="F30" s="956"/>
      <c r="G30" s="957"/>
      <c r="H30" s="958">
        <f>SUM(H23:H28)</f>
        <v>1386.5</v>
      </c>
    </row>
    <row r="31" spans="1:8" ht="13.5" thickBot="1" x14ac:dyDescent="0.25">
      <c r="A31" s="946" t="s">
        <v>506</v>
      </c>
      <c r="B31" s="946" t="s">
        <v>507</v>
      </c>
      <c r="C31" s="946"/>
      <c r="D31" s="968">
        <v>1</v>
      </c>
      <c r="E31" s="969"/>
      <c r="F31" s="970">
        <f>1250*(1+E6)</f>
        <v>1475</v>
      </c>
      <c r="G31" s="971"/>
      <c r="H31" s="972"/>
    </row>
    <row r="32" spans="1:8" x14ac:dyDescent="0.2">
      <c r="A32" s="938" t="s">
        <v>508</v>
      </c>
      <c r="B32" s="964"/>
      <c r="C32" s="938"/>
      <c r="D32" s="973"/>
      <c r="E32" s="974"/>
      <c r="F32" s="957"/>
      <c r="G32" s="957"/>
      <c r="H32" s="958">
        <f>SUM(H17,H22,H30,H31)</f>
        <v>7661.125</v>
      </c>
    </row>
    <row r="33" spans="1:8" x14ac:dyDescent="0.2">
      <c r="A33" s="939" t="s">
        <v>509</v>
      </c>
      <c r="B33" s="953"/>
      <c r="C33" s="939"/>
      <c r="D33" s="975"/>
      <c r="E33" s="976"/>
      <c r="F33" s="941"/>
      <c r="G33" s="941"/>
      <c r="H33" s="945"/>
    </row>
    <row r="34" spans="1:8" x14ac:dyDescent="0.2">
      <c r="A34" s="939"/>
      <c r="B34" s="953" t="s">
        <v>68</v>
      </c>
      <c r="C34" s="977"/>
      <c r="D34" s="929" t="s">
        <v>11</v>
      </c>
      <c r="E34" s="929" t="s">
        <v>510</v>
      </c>
      <c r="F34" s="929" t="s">
        <v>511</v>
      </c>
      <c r="G34" s="929"/>
      <c r="H34" s="929" t="s">
        <v>199</v>
      </c>
    </row>
    <row r="35" spans="1:8" x14ac:dyDescent="0.2">
      <c r="A35" s="939"/>
      <c r="B35" s="953"/>
      <c r="C35" s="939"/>
      <c r="D35" s="975"/>
      <c r="E35" s="976"/>
      <c r="F35" s="941"/>
      <c r="G35" s="978" t="s">
        <v>21</v>
      </c>
      <c r="H35" s="979" t="s">
        <v>93</v>
      </c>
    </row>
    <row r="36" spans="1:8" x14ac:dyDescent="0.2">
      <c r="A36" s="939" t="s">
        <v>512</v>
      </c>
      <c r="B36" s="953" t="s">
        <v>513</v>
      </c>
      <c r="C36" s="939"/>
      <c r="D36" s="975"/>
      <c r="E36" s="976">
        <v>10</v>
      </c>
      <c r="F36" s="941">
        <v>2</v>
      </c>
      <c r="G36" s="941"/>
      <c r="H36" s="945"/>
    </row>
    <row r="37" spans="1:8" x14ac:dyDescent="0.2">
      <c r="A37" s="980"/>
      <c r="B37" s="939" t="s">
        <v>514</v>
      </c>
      <c r="C37" s="981">
        <v>6.5</v>
      </c>
      <c r="D37" s="982">
        <f>D19</f>
        <v>300</v>
      </c>
      <c r="E37" s="983"/>
      <c r="F37" s="983"/>
      <c r="G37" s="984">
        <f>C37</f>
        <v>6.5</v>
      </c>
      <c r="H37" s="945">
        <f>G37*D37</f>
        <v>1950</v>
      </c>
    </row>
    <row r="38" spans="1:8" x14ac:dyDescent="0.2">
      <c r="A38" s="939"/>
      <c r="B38" s="939" t="s">
        <v>515</v>
      </c>
      <c r="C38" s="985"/>
      <c r="D38" s="986">
        <v>1</v>
      </c>
      <c r="E38" s="983">
        <v>25</v>
      </c>
      <c r="F38" s="983">
        <v>4</v>
      </c>
      <c r="G38" s="984">
        <v>13.6</v>
      </c>
      <c r="H38" s="945">
        <f>G38*F38</f>
        <v>54.4</v>
      </c>
    </row>
    <row r="39" spans="1:8" x14ac:dyDescent="0.2">
      <c r="A39" s="939"/>
      <c r="B39" s="939" t="s">
        <v>516</v>
      </c>
      <c r="C39" s="987"/>
      <c r="D39" s="986"/>
      <c r="E39" s="983">
        <v>35</v>
      </c>
      <c r="F39" s="983"/>
      <c r="G39" s="984"/>
      <c r="H39" s="945"/>
    </row>
    <row r="40" spans="1:8" x14ac:dyDescent="0.2">
      <c r="A40" s="939"/>
      <c r="B40" s="939" t="s">
        <v>517</v>
      </c>
      <c r="C40" s="987"/>
      <c r="D40" s="986"/>
      <c r="E40" s="983">
        <v>18</v>
      </c>
      <c r="F40" s="983"/>
      <c r="G40" s="984"/>
      <c r="H40" s="945"/>
    </row>
    <row r="41" spans="1:8" x14ac:dyDescent="0.2">
      <c r="A41" s="939"/>
      <c r="B41" s="939" t="s">
        <v>518</v>
      </c>
      <c r="C41" s="985"/>
      <c r="D41" s="988"/>
      <c r="E41" s="983">
        <v>3</v>
      </c>
      <c r="F41" s="983"/>
      <c r="G41" s="984"/>
      <c r="H41" s="945"/>
    </row>
    <row r="42" spans="1:8" x14ac:dyDescent="0.2">
      <c r="A42" s="939"/>
      <c r="B42" s="939" t="s">
        <v>384</v>
      </c>
      <c r="C42" s="989">
        <v>125</v>
      </c>
      <c r="D42" s="990">
        <v>3</v>
      </c>
      <c r="E42" s="983">
        <v>3</v>
      </c>
      <c r="F42" s="962"/>
      <c r="G42" s="984">
        <v>3</v>
      </c>
      <c r="H42" s="945">
        <f>G42*C42</f>
        <v>375</v>
      </c>
    </row>
    <row r="43" spans="1:8" ht="13.5" thickBot="1" x14ac:dyDescent="0.25">
      <c r="A43" s="980" t="s">
        <v>519</v>
      </c>
      <c r="B43" s="991">
        <v>0.1</v>
      </c>
      <c r="C43" s="992" t="s">
        <v>520</v>
      </c>
      <c r="D43" s="962"/>
      <c r="E43" s="993">
        <f>SUM(E36:E42)*B43</f>
        <v>9.4</v>
      </c>
      <c r="F43" s="993">
        <f>SUM(F36:F42)*B43</f>
        <v>0.60000000000000009</v>
      </c>
      <c r="G43" s="994"/>
      <c r="H43" s="945"/>
    </row>
    <row r="44" spans="1:8" x14ac:dyDescent="0.2">
      <c r="A44" s="938" t="s">
        <v>521</v>
      </c>
      <c r="B44" s="938"/>
      <c r="C44" s="938"/>
      <c r="D44" s="973"/>
      <c r="E44" s="995">
        <f>SUM(E36:E43)</f>
        <v>103.4</v>
      </c>
      <c r="F44" s="957">
        <f>SUM(F36:F43)</f>
        <v>6.6</v>
      </c>
      <c r="G44" s="957"/>
      <c r="H44" s="958">
        <f>SUM(H36:H43)</f>
        <v>2379.4</v>
      </c>
    </row>
    <row r="45" spans="1:8" x14ac:dyDescent="0.2">
      <c r="A45" s="939" t="s">
        <v>522</v>
      </c>
      <c r="B45" s="939"/>
      <c r="C45" s="939"/>
      <c r="D45" s="975"/>
      <c r="E45" s="996"/>
      <c r="F45" s="941"/>
      <c r="G45" s="941"/>
      <c r="H45" s="945"/>
    </row>
    <row r="46" spans="1:8" x14ac:dyDescent="0.2">
      <c r="A46" s="939" t="s">
        <v>523</v>
      </c>
      <c r="B46" s="939"/>
      <c r="C46" s="939"/>
      <c r="D46" s="975"/>
      <c r="E46" s="996"/>
      <c r="F46" s="941"/>
      <c r="G46" s="941"/>
      <c r="H46" s="945">
        <f>H32</f>
        <v>7661.125</v>
      </c>
    </row>
    <row r="47" spans="1:8" x14ac:dyDescent="0.2">
      <c r="A47" s="939" t="s">
        <v>524</v>
      </c>
      <c r="B47" s="939" t="s">
        <v>525</v>
      </c>
      <c r="C47" s="939" t="s">
        <v>526</v>
      </c>
      <c r="D47" s="960">
        <f>E43</f>
        <v>9.4</v>
      </c>
      <c r="E47" s="961" t="s">
        <v>527</v>
      </c>
      <c r="F47" s="1075">
        <f>'Standard Vorgaben'!D129</f>
        <v>41</v>
      </c>
      <c r="G47" s="941"/>
      <c r="H47" s="945">
        <f>((D47*F47)+H44)</f>
        <v>2764.8</v>
      </c>
    </row>
    <row r="48" spans="1:8" ht="13.5" thickBot="1" x14ac:dyDescent="0.25">
      <c r="A48" s="939" t="s">
        <v>528</v>
      </c>
      <c r="B48" s="939"/>
      <c r="C48" s="939" t="s">
        <v>529</v>
      </c>
      <c r="D48" s="960">
        <f>E44</f>
        <v>103.4</v>
      </c>
      <c r="E48" s="961" t="s">
        <v>527</v>
      </c>
      <c r="F48" s="952">
        <f>'Standard Vorgaben'!$C$36</f>
        <v>32.700000000000003</v>
      </c>
      <c r="G48" s="941"/>
      <c r="H48" s="963">
        <f>D48*F48</f>
        <v>3381.1800000000003</v>
      </c>
    </row>
    <row r="49" spans="1:8" x14ac:dyDescent="0.2">
      <c r="A49" s="938" t="s">
        <v>530</v>
      </c>
      <c r="B49" s="939"/>
      <c r="C49" s="939"/>
      <c r="D49" s="960"/>
      <c r="E49" s="961"/>
      <c r="F49" s="952"/>
      <c r="G49" s="941"/>
      <c r="H49" s="967">
        <f>SUM(H46:H48)</f>
        <v>13807.105</v>
      </c>
    </row>
    <row r="50" spans="1:8" x14ac:dyDescent="0.2">
      <c r="A50" s="939" t="s">
        <v>531</v>
      </c>
      <c r="B50" s="939"/>
      <c r="C50" s="939" t="s">
        <v>532</v>
      </c>
      <c r="D50" s="960"/>
      <c r="E50" s="961"/>
      <c r="F50" s="952"/>
      <c r="G50" s="941"/>
      <c r="H50" s="945">
        <v>50</v>
      </c>
    </row>
    <row r="51" spans="1:8" x14ac:dyDescent="0.2">
      <c r="A51" s="939" t="s">
        <v>533</v>
      </c>
      <c r="B51" s="939"/>
      <c r="C51" s="997" t="s">
        <v>534</v>
      </c>
      <c r="D51" s="998"/>
      <c r="E51" s="999">
        <v>4</v>
      </c>
      <c r="F51" s="952">
        <f>'Standard Vorgaben'!$C$36</f>
        <v>32.700000000000003</v>
      </c>
      <c r="G51" s="1000"/>
      <c r="H51" s="945">
        <f>E51*F51</f>
        <v>130.80000000000001</v>
      </c>
    </row>
    <row r="52" spans="1:8" x14ac:dyDescent="0.2">
      <c r="A52" s="939"/>
      <c r="B52" s="939"/>
      <c r="C52" s="997" t="s">
        <v>535</v>
      </c>
      <c r="D52" s="998"/>
      <c r="E52" s="999"/>
      <c r="F52" s="1001"/>
      <c r="G52" s="1000"/>
      <c r="H52" s="945">
        <v>300</v>
      </c>
    </row>
    <row r="53" spans="1:8" x14ac:dyDescent="0.2">
      <c r="A53" s="939"/>
      <c r="B53" s="939"/>
      <c r="C53" s="997" t="s">
        <v>536</v>
      </c>
      <c r="D53" s="998"/>
      <c r="E53" s="999">
        <v>10</v>
      </c>
      <c r="F53" s="952">
        <f>'Standard Vorgaben'!$C$36</f>
        <v>32.700000000000003</v>
      </c>
      <c r="G53" s="1000"/>
      <c r="H53" s="945">
        <f>E53*F53</f>
        <v>327</v>
      </c>
    </row>
    <row r="54" spans="1:8" ht="13.5" thickBot="1" x14ac:dyDescent="0.25">
      <c r="A54" s="939"/>
      <c r="B54" s="939"/>
      <c r="C54" s="939" t="s">
        <v>537</v>
      </c>
      <c r="D54" s="960"/>
      <c r="E54" s="1002">
        <f>'Standard Vorgaben'!C184</f>
        <v>500</v>
      </c>
      <c r="F54" s="1003">
        <f>'Standard Vorgaben'!C183</f>
        <v>1.5</v>
      </c>
      <c r="G54" s="941"/>
      <c r="H54" s="963">
        <f>E54*F54</f>
        <v>750</v>
      </c>
    </row>
    <row r="55" spans="1:8" x14ac:dyDescent="0.2">
      <c r="A55" s="938" t="s">
        <v>538</v>
      </c>
      <c r="B55" s="939"/>
      <c r="C55" s="997"/>
      <c r="D55" s="1004"/>
      <c r="E55" s="1005"/>
      <c r="F55" s="1000"/>
      <c r="G55" s="1000"/>
      <c r="H55" s="967">
        <f>SUM(H50:H54)</f>
        <v>1557.8</v>
      </c>
    </row>
    <row r="56" spans="1:8" x14ac:dyDescent="0.2">
      <c r="A56" s="939"/>
      <c r="B56" s="939"/>
      <c r="C56" s="997"/>
      <c r="D56" s="1004"/>
      <c r="E56" s="1005"/>
      <c r="F56" s="1000"/>
      <c r="G56" s="1000"/>
      <c r="H56" s="945"/>
    </row>
    <row r="57" spans="1:8" x14ac:dyDescent="0.2">
      <c r="A57" s="939"/>
      <c r="B57" s="939"/>
      <c r="C57" s="997"/>
      <c r="D57" s="1004"/>
      <c r="E57" s="1005"/>
      <c r="F57" s="1000"/>
      <c r="G57" s="1000"/>
      <c r="H57" s="945"/>
    </row>
    <row r="58" spans="1:8" x14ac:dyDescent="0.2">
      <c r="A58" s="924"/>
      <c r="B58" s="924"/>
      <c r="C58" s="924"/>
      <c r="D58" s="924"/>
      <c r="E58" s="924"/>
      <c r="F58" s="924"/>
      <c r="G58" s="924"/>
      <c r="H58" s="924"/>
    </row>
    <row r="59" spans="1:8" x14ac:dyDescent="0.2">
      <c r="A59" s="924"/>
      <c r="B59" s="924"/>
      <c r="C59" s="924"/>
      <c r="D59" s="924"/>
      <c r="E59" s="924"/>
      <c r="F59" s="924"/>
      <c r="G59" s="924"/>
      <c r="H59" s="924"/>
    </row>
    <row r="60" spans="1:8" x14ac:dyDescent="0.2">
      <c r="A60" s="1145" t="s">
        <v>539</v>
      </c>
      <c r="B60" s="1145"/>
      <c r="C60" s="1145"/>
      <c r="D60" s="1145"/>
      <c r="E60" s="1145"/>
      <c r="F60" s="1145"/>
      <c r="G60" s="1145"/>
      <c r="H60" s="1145"/>
    </row>
    <row r="61" spans="1:8" x14ac:dyDescent="0.2">
      <c r="A61" s="1145" t="s">
        <v>540</v>
      </c>
      <c r="B61" s="1145"/>
      <c r="C61" s="1145"/>
      <c r="D61" s="1145"/>
      <c r="E61" s="1145"/>
      <c r="F61" s="1145"/>
      <c r="G61" s="1145"/>
      <c r="H61" s="1145"/>
    </row>
    <row r="62" spans="1:8" x14ac:dyDescent="0.2">
      <c r="A62" s="932" t="s">
        <v>541</v>
      </c>
      <c r="B62" s="932"/>
      <c r="C62" s="933">
        <f>'Standard Vorgaben'!$C$18</f>
        <v>115</v>
      </c>
      <c r="D62" s="934">
        <f>'Standard Vorgaben'!$C$19</f>
        <v>75</v>
      </c>
      <c r="E62" s="935">
        <f>'Standard Vorgaben'!$C$23</f>
        <v>19</v>
      </c>
      <c r="F62" s="924"/>
      <c r="G62" s="936">
        <f>'Standard Vorgaben'!C21</f>
        <v>4</v>
      </c>
      <c r="H62" s="937">
        <f>'Standard Vorgaben'!C22</f>
        <v>2</v>
      </c>
    </row>
    <row r="63" spans="1:8" x14ac:dyDescent="0.2">
      <c r="A63" s="953" t="s">
        <v>482</v>
      </c>
      <c r="B63" s="953" t="s">
        <v>542</v>
      </c>
      <c r="C63" s="953"/>
      <c r="D63" s="1006">
        <f>((E62*C62)+50)</f>
        <v>2235</v>
      </c>
      <c r="E63" s="1007"/>
      <c r="F63" s="952">
        <f>0.9*(1+E6)</f>
        <v>1.0620000000000001</v>
      </c>
      <c r="G63" s="1003"/>
      <c r="H63" s="1008">
        <f>F63*D63</f>
        <v>2373.5700000000002</v>
      </c>
    </row>
    <row r="64" spans="1:8" x14ac:dyDescent="0.2">
      <c r="A64" s="1009"/>
      <c r="B64" s="953" t="s">
        <v>543</v>
      </c>
      <c r="C64" s="953"/>
      <c r="D64" s="950">
        <f>'Standard Vorgaben'!C24/2</f>
        <v>560.5</v>
      </c>
      <c r="E64" s="1007" t="s">
        <v>544</v>
      </c>
      <c r="F64" s="952">
        <f>2.6*(1+E6)</f>
        <v>3.0680000000000001</v>
      </c>
      <c r="G64" s="1003"/>
      <c r="H64" s="1008">
        <f>F64*D64</f>
        <v>1719.614</v>
      </c>
    </row>
    <row r="65" spans="1:8" x14ac:dyDescent="0.2">
      <c r="A65" s="953"/>
      <c r="B65" s="1010" t="s">
        <v>488</v>
      </c>
      <c r="C65" s="1011"/>
      <c r="D65" s="950">
        <f>E62</f>
        <v>19</v>
      </c>
      <c r="E65" s="951"/>
      <c r="F65" s="952">
        <f>20.65*(1+E6)</f>
        <v>24.366999999999997</v>
      </c>
      <c r="G65" s="1003"/>
      <c r="H65" s="1008">
        <f>F65*D65</f>
        <v>462.97299999999996</v>
      </c>
    </row>
    <row r="66" spans="1:8" x14ac:dyDescent="0.2">
      <c r="A66" s="953"/>
      <c r="B66" s="953" t="s">
        <v>545</v>
      </c>
      <c r="C66" s="953"/>
      <c r="D66" s="950">
        <f>E62</f>
        <v>19</v>
      </c>
      <c r="E66" s="951"/>
      <c r="F66" s="952">
        <f>8.5*(1+E6)</f>
        <v>10.029999999999999</v>
      </c>
      <c r="G66" s="1003"/>
      <c r="H66" s="1008">
        <f>F66*D66</f>
        <v>190.57</v>
      </c>
    </row>
    <row r="67" spans="1:8" x14ac:dyDescent="0.2">
      <c r="A67" s="953"/>
      <c r="B67" s="953" t="s">
        <v>546</v>
      </c>
      <c r="C67" s="953"/>
      <c r="D67" s="950">
        <f>D63</f>
        <v>2235</v>
      </c>
      <c r="E67" s="951"/>
      <c r="F67" s="952">
        <f>0.078*(1+E6)</f>
        <v>9.2039999999999997E-2</v>
      </c>
      <c r="G67" s="1003"/>
      <c r="H67" s="1008">
        <f>F67*D67</f>
        <v>205.70939999999999</v>
      </c>
    </row>
    <row r="68" spans="1:8" ht="13.5" thickBot="1" x14ac:dyDescent="0.25">
      <c r="A68" s="953"/>
      <c r="B68" s="953" t="s">
        <v>379</v>
      </c>
      <c r="C68" s="953"/>
      <c r="D68" s="960"/>
      <c r="E68" s="951"/>
      <c r="F68" s="952"/>
      <c r="G68" s="1003"/>
      <c r="H68" s="1012">
        <v>250</v>
      </c>
    </row>
    <row r="69" spans="1:8" x14ac:dyDescent="0.2">
      <c r="A69" s="964" t="s">
        <v>491</v>
      </c>
      <c r="B69" s="964"/>
      <c r="C69" s="964"/>
      <c r="D69" s="1013"/>
      <c r="E69" s="955"/>
      <c r="F69" s="955"/>
      <c r="G69" s="1014"/>
      <c r="H69" s="1015">
        <f>SUM(H63:H68)</f>
        <v>5202.4363999999996</v>
      </c>
    </row>
    <row r="70" spans="1:8" x14ac:dyDescent="0.2">
      <c r="A70" s="953" t="s">
        <v>492</v>
      </c>
      <c r="B70" s="953" t="s">
        <v>493</v>
      </c>
      <c r="C70" s="953"/>
      <c r="D70" s="960"/>
      <c r="E70" s="951"/>
      <c r="F70" s="952"/>
      <c r="G70" s="1003"/>
      <c r="H70" s="1008"/>
    </row>
    <row r="71" spans="1:8" x14ac:dyDescent="0.2">
      <c r="A71" s="953"/>
      <c r="B71" s="953" t="s">
        <v>494</v>
      </c>
      <c r="C71" s="953"/>
      <c r="D71" s="959">
        <v>300</v>
      </c>
      <c r="E71" s="951"/>
      <c r="F71" s="952">
        <f>3.8*(1+E6)</f>
        <v>4.484</v>
      </c>
      <c r="G71" s="1003"/>
      <c r="H71" s="1008">
        <f>F71*D71</f>
        <v>1345.2</v>
      </c>
    </row>
    <row r="72" spans="1:8" x14ac:dyDescent="0.2">
      <c r="A72" s="953"/>
      <c r="B72" s="953" t="s">
        <v>495</v>
      </c>
      <c r="C72" s="953"/>
      <c r="D72" s="960">
        <v>2</v>
      </c>
      <c r="E72" s="961"/>
      <c r="F72" s="952">
        <f>55*(1+$E$6)</f>
        <v>64.899999999999991</v>
      </c>
      <c r="G72" s="1003"/>
      <c r="H72" s="1008">
        <f>F72*D72</f>
        <v>129.79999999999998</v>
      </c>
    </row>
    <row r="73" spans="1:8" ht="13.5" thickBot="1" x14ac:dyDescent="0.25">
      <c r="A73" s="953"/>
      <c r="B73" s="953" t="s">
        <v>496</v>
      </c>
      <c r="C73" s="953"/>
      <c r="D73" s="962"/>
      <c r="E73" s="962"/>
      <c r="F73" s="962"/>
      <c r="G73" s="953"/>
      <c r="H73" s="1012">
        <v>250</v>
      </c>
    </row>
    <row r="74" spans="1:8" x14ac:dyDescent="0.2">
      <c r="A74" s="964" t="s">
        <v>497</v>
      </c>
      <c r="B74" s="964"/>
      <c r="C74" s="964"/>
      <c r="D74" s="1013"/>
      <c r="E74" s="955"/>
      <c r="F74" s="955"/>
      <c r="G74" s="1014"/>
      <c r="H74" s="1015">
        <f>SUM(H71:H73)</f>
        <v>1725</v>
      </c>
    </row>
    <row r="75" spans="1:8" x14ac:dyDescent="0.2">
      <c r="A75" s="953" t="s">
        <v>498</v>
      </c>
      <c r="B75" s="953" t="s">
        <v>499</v>
      </c>
      <c r="C75" s="953"/>
      <c r="D75" s="960">
        <v>1</v>
      </c>
      <c r="E75" s="961"/>
      <c r="F75" s="952">
        <f>300*(1+$E$6)</f>
        <v>354</v>
      </c>
      <c r="G75" s="1003"/>
      <c r="H75" s="1008">
        <f t="shared" ref="H75:H80" si="1">F75*D75</f>
        <v>354</v>
      </c>
    </row>
    <row r="76" spans="1:8" x14ac:dyDescent="0.2">
      <c r="A76" s="953"/>
      <c r="B76" s="953" t="s">
        <v>500</v>
      </c>
      <c r="C76" s="953"/>
      <c r="D76" s="960">
        <v>1</v>
      </c>
      <c r="E76" s="961"/>
      <c r="F76" s="952">
        <f>120*(1+$E$6)</f>
        <v>141.6</v>
      </c>
      <c r="G76" s="1003"/>
      <c r="H76" s="1008">
        <f t="shared" si="1"/>
        <v>141.6</v>
      </c>
    </row>
    <row r="77" spans="1:8" x14ac:dyDescent="0.2">
      <c r="A77" s="953"/>
      <c r="B77" s="953" t="s">
        <v>547</v>
      </c>
      <c r="C77" s="953"/>
      <c r="D77" s="960">
        <v>1</v>
      </c>
      <c r="E77" s="961"/>
      <c r="F77" s="952">
        <f>190*(1+$E$6)</f>
        <v>224.2</v>
      </c>
      <c r="G77" s="1003"/>
      <c r="H77" s="1008">
        <f t="shared" si="1"/>
        <v>224.2</v>
      </c>
    </row>
    <row r="78" spans="1:8" x14ac:dyDescent="0.2">
      <c r="A78" s="953"/>
      <c r="B78" s="953" t="s">
        <v>502</v>
      </c>
      <c r="C78" s="953"/>
      <c r="D78" s="960">
        <v>1</v>
      </c>
      <c r="E78" s="961"/>
      <c r="F78" s="952">
        <f>70*(1+$E$6)</f>
        <v>82.6</v>
      </c>
      <c r="G78" s="1003"/>
      <c r="H78" s="1008">
        <f t="shared" si="1"/>
        <v>82.6</v>
      </c>
    </row>
    <row r="79" spans="1:8" x14ac:dyDescent="0.2">
      <c r="A79" s="953"/>
      <c r="B79" s="953" t="s">
        <v>503</v>
      </c>
      <c r="C79" s="953"/>
      <c r="D79" s="960">
        <v>4</v>
      </c>
      <c r="E79" s="961"/>
      <c r="F79" s="952">
        <f>130*(1+$E$6)</f>
        <v>153.4</v>
      </c>
      <c r="G79" s="1003"/>
      <c r="H79" s="1008">
        <f t="shared" si="1"/>
        <v>613.6</v>
      </c>
    </row>
    <row r="80" spans="1:8" x14ac:dyDescent="0.2">
      <c r="A80" s="953"/>
      <c r="B80" s="953" t="s">
        <v>504</v>
      </c>
      <c r="C80" s="953"/>
      <c r="D80" s="960">
        <v>1</v>
      </c>
      <c r="E80" s="961"/>
      <c r="F80" s="952">
        <f>350*(1+$E$6)</f>
        <v>413</v>
      </c>
      <c r="G80" s="1003"/>
      <c r="H80" s="1008">
        <f t="shared" si="1"/>
        <v>413</v>
      </c>
    </row>
    <row r="81" spans="1:8" ht="13.5" thickBot="1" x14ac:dyDescent="0.25">
      <c r="A81" s="953"/>
      <c r="B81" s="953" t="s">
        <v>496</v>
      </c>
      <c r="C81" s="953"/>
      <c r="D81" s="962"/>
      <c r="E81" s="962"/>
      <c r="F81" s="962"/>
      <c r="G81" s="953"/>
      <c r="H81" s="1012">
        <v>100</v>
      </c>
    </row>
    <row r="82" spans="1:8" x14ac:dyDescent="0.2">
      <c r="A82" s="964" t="s">
        <v>505</v>
      </c>
      <c r="B82" s="964"/>
      <c r="C82" s="964"/>
      <c r="D82" s="1013"/>
      <c r="E82" s="955"/>
      <c r="F82" s="955"/>
      <c r="G82" s="1014"/>
      <c r="H82" s="1015">
        <f>SUM(H75:H80)</f>
        <v>1829</v>
      </c>
    </row>
    <row r="83" spans="1:8" x14ac:dyDescent="0.2">
      <c r="A83" s="1016" t="s">
        <v>506</v>
      </c>
      <c r="B83" s="1016" t="s">
        <v>548</v>
      </c>
      <c r="C83" s="1016"/>
      <c r="D83" s="1017">
        <v>1</v>
      </c>
      <c r="E83" s="1018"/>
      <c r="F83" s="1019">
        <f>1580*(1+$E$6)</f>
        <v>1864.3999999999999</v>
      </c>
      <c r="G83" s="1020"/>
      <c r="H83" s="1021"/>
    </row>
    <row r="84" spans="1:8" x14ac:dyDescent="0.2">
      <c r="A84" s="1016" t="s">
        <v>506</v>
      </c>
      <c r="B84" s="1016" t="s">
        <v>507</v>
      </c>
      <c r="C84" s="1016"/>
      <c r="D84" s="1017">
        <v>1</v>
      </c>
      <c r="E84" s="1018"/>
      <c r="F84" s="1019">
        <f>2250*(1+$E$6)</f>
        <v>2655</v>
      </c>
      <c r="G84" s="1020"/>
      <c r="H84" s="1022"/>
    </row>
    <row r="85" spans="1:8" x14ac:dyDescent="0.2">
      <c r="A85" s="964" t="s">
        <v>549</v>
      </c>
      <c r="B85" s="964"/>
      <c r="C85" s="964"/>
      <c r="D85" s="964"/>
      <c r="E85" s="1014"/>
      <c r="F85" s="1014"/>
      <c r="G85" s="1014"/>
      <c r="H85" s="1015">
        <f>H69+H74+H82+H83+H84</f>
        <v>8756.4363999999987</v>
      </c>
    </row>
    <row r="86" spans="1:8" x14ac:dyDescent="0.2">
      <c r="A86" s="964" t="s">
        <v>509</v>
      </c>
      <c r="B86" s="947"/>
      <c r="C86" s="947"/>
      <c r="D86" s="947"/>
      <c r="E86" s="947"/>
      <c r="F86" s="947"/>
      <c r="G86" s="947"/>
      <c r="H86" s="1023"/>
    </row>
    <row r="87" spans="1:8" x14ac:dyDescent="0.2">
      <c r="A87" s="1024"/>
      <c r="B87" s="1024" t="s">
        <v>68</v>
      </c>
      <c r="C87" s="1025"/>
      <c r="D87" s="1025"/>
      <c r="E87" s="1026" t="s">
        <v>510</v>
      </c>
      <c r="F87" s="1026" t="s">
        <v>511</v>
      </c>
      <c r="G87" s="1026"/>
      <c r="H87" s="1027" t="s">
        <v>550</v>
      </c>
    </row>
    <row r="88" spans="1:8" x14ac:dyDescent="0.2">
      <c r="A88" s="1024"/>
      <c r="B88" s="1024"/>
      <c r="C88" s="1025"/>
      <c r="D88" s="1025"/>
      <c r="E88" s="1026"/>
      <c r="F88" s="1026"/>
      <c r="G88" s="1028" t="s">
        <v>21</v>
      </c>
      <c r="H88" s="1029" t="s">
        <v>93</v>
      </c>
    </row>
    <row r="89" spans="1:8" x14ac:dyDescent="0.2">
      <c r="A89" s="947" t="s">
        <v>512</v>
      </c>
      <c r="B89" s="953" t="s">
        <v>513</v>
      </c>
      <c r="C89" s="1030"/>
      <c r="D89" s="1031"/>
      <c r="E89" s="983">
        <v>10</v>
      </c>
      <c r="F89" s="983">
        <v>2</v>
      </c>
      <c r="G89" s="1032"/>
      <c r="H89" s="1008"/>
    </row>
    <row r="90" spans="1:8" x14ac:dyDescent="0.2">
      <c r="A90" s="1024"/>
      <c r="B90" s="953" t="s">
        <v>514</v>
      </c>
      <c r="C90" s="1033">
        <v>6.5</v>
      </c>
      <c r="D90" s="1034">
        <f>D71</f>
        <v>300</v>
      </c>
      <c r="E90" s="983"/>
      <c r="F90" s="983"/>
      <c r="G90" s="1032">
        <f>C90</f>
        <v>6.5</v>
      </c>
      <c r="H90" s="1008">
        <f>G90*D90</f>
        <v>1950</v>
      </c>
    </row>
    <row r="91" spans="1:8" x14ac:dyDescent="0.2">
      <c r="A91" s="953"/>
      <c r="B91" s="953" t="s">
        <v>515</v>
      </c>
      <c r="C91" s="1035"/>
      <c r="D91" s="986">
        <v>1</v>
      </c>
      <c r="E91" s="983">
        <v>25</v>
      </c>
      <c r="F91" s="983">
        <v>4</v>
      </c>
      <c r="G91" s="1032">
        <v>13.6</v>
      </c>
      <c r="H91" s="1008">
        <f>G91*F91</f>
        <v>54.4</v>
      </c>
    </row>
    <row r="92" spans="1:8" x14ac:dyDescent="0.2">
      <c r="A92" s="953"/>
      <c r="B92" s="953" t="s">
        <v>516</v>
      </c>
      <c r="C92" s="1030"/>
      <c r="D92" s="986"/>
      <c r="E92" s="983">
        <v>35</v>
      </c>
      <c r="F92" s="983"/>
      <c r="G92" s="1032"/>
      <c r="H92" s="1008"/>
    </row>
    <row r="93" spans="1:8" x14ac:dyDescent="0.2">
      <c r="A93" s="953"/>
      <c r="B93" s="953" t="s">
        <v>551</v>
      </c>
      <c r="C93" s="1030"/>
      <c r="D93" s="986"/>
      <c r="E93" s="983">
        <v>10</v>
      </c>
      <c r="F93" s="983"/>
      <c r="G93" s="1032"/>
      <c r="H93" s="1008"/>
    </row>
    <row r="94" spans="1:8" x14ac:dyDescent="0.2">
      <c r="A94" s="953"/>
      <c r="B94" s="953" t="s">
        <v>517</v>
      </c>
      <c r="C94" s="1030"/>
      <c r="D94" s="986"/>
      <c r="E94" s="983">
        <v>18</v>
      </c>
      <c r="F94" s="983"/>
      <c r="G94" s="1032"/>
      <c r="H94" s="1008"/>
    </row>
    <row r="95" spans="1:8" x14ac:dyDescent="0.2">
      <c r="A95" s="953"/>
      <c r="B95" s="953" t="s">
        <v>518</v>
      </c>
      <c r="C95" s="1035"/>
      <c r="D95" s="988"/>
      <c r="E95" s="983">
        <v>3</v>
      </c>
      <c r="F95" s="983"/>
      <c r="G95" s="1032"/>
      <c r="H95" s="1008"/>
    </row>
    <row r="96" spans="1:8" x14ac:dyDescent="0.2">
      <c r="A96" s="953"/>
      <c r="B96" s="953" t="s">
        <v>384</v>
      </c>
      <c r="C96" s="1036">
        <v>125</v>
      </c>
      <c r="D96" s="990">
        <v>3</v>
      </c>
      <c r="E96" s="983">
        <v>3</v>
      </c>
      <c r="F96" s="962"/>
      <c r="G96" s="1032">
        <v>3</v>
      </c>
      <c r="H96" s="1008">
        <f>G96*C96</f>
        <v>375</v>
      </c>
    </row>
    <row r="97" spans="1:8" x14ac:dyDescent="0.2">
      <c r="A97" s="1024" t="s">
        <v>519</v>
      </c>
      <c r="B97" s="1037">
        <v>0.1</v>
      </c>
      <c r="C97" s="1030" t="s">
        <v>520</v>
      </c>
      <c r="D97" s="962"/>
      <c r="E97" s="983">
        <f>SUM(E89:E96)*B97</f>
        <v>10.4</v>
      </c>
      <c r="F97" s="983">
        <f>SUM(F89:F96)*B97</f>
        <v>0.60000000000000009</v>
      </c>
      <c r="G97" s="983"/>
      <c r="H97" s="1008"/>
    </row>
    <row r="98" spans="1:8" x14ac:dyDescent="0.2">
      <c r="A98" s="964" t="s">
        <v>521</v>
      </c>
      <c r="B98" s="947"/>
      <c r="C98" s="1038"/>
      <c r="D98" s="1039"/>
      <c r="E98" s="1040">
        <f>SUM(E89:E97)</f>
        <v>114.4</v>
      </c>
      <c r="F98" s="1040">
        <f>SUM(F89:F97)</f>
        <v>6.6</v>
      </c>
      <c r="G98" s="1040"/>
      <c r="H98" s="1021">
        <f>SUM(H89:H97)</f>
        <v>2379.4</v>
      </c>
    </row>
    <row r="99" spans="1:8" x14ac:dyDescent="0.2">
      <c r="A99" s="964" t="s">
        <v>522</v>
      </c>
      <c r="B99" s="947"/>
      <c r="C99" s="1041"/>
      <c r="D99" s="947"/>
      <c r="E99" s="947"/>
      <c r="F99" s="1041"/>
      <c r="G99" s="1041"/>
      <c r="H99" s="1042"/>
    </row>
    <row r="100" spans="1:8" x14ac:dyDescent="0.2">
      <c r="A100" s="1024" t="s">
        <v>523</v>
      </c>
      <c r="B100" s="953"/>
      <c r="C100" s="953"/>
      <c r="D100" s="1043"/>
      <c r="E100" s="1044"/>
      <c r="F100" s="953"/>
      <c r="G100" s="953"/>
      <c r="H100" s="1008">
        <f>H85</f>
        <v>8756.4363999999987</v>
      </c>
    </row>
    <row r="101" spans="1:8" x14ac:dyDescent="0.2">
      <c r="A101" s="1024" t="s">
        <v>524</v>
      </c>
      <c r="B101" s="1024" t="s">
        <v>525</v>
      </c>
      <c r="C101" s="947" t="s">
        <v>526</v>
      </c>
      <c r="D101" s="990">
        <f>F98</f>
        <v>6.6</v>
      </c>
      <c r="E101" s="1045" t="s">
        <v>527</v>
      </c>
      <c r="F101" s="952">
        <v>27.5</v>
      </c>
      <c r="G101" s="1003"/>
      <c r="H101" s="1008">
        <f>((D101*F101)+H98)</f>
        <v>2560.9</v>
      </c>
    </row>
    <row r="102" spans="1:8" ht="13.5" thickBot="1" x14ac:dyDescent="0.25">
      <c r="A102" s="1024" t="s">
        <v>528</v>
      </c>
      <c r="B102" s="953"/>
      <c r="C102" s="953" t="s">
        <v>529</v>
      </c>
      <c r="D102" s="990">
        <f>E98</f>
        <v>114.4</v>
      </c>
      <c r="E102" s="1045" t="s">
        <v>527</v>
      </c>
      <c r="F102" s="952">
        <f>'Standard Vorgaben'!$C$36</f>
        <v>32.700000000000003</v>
      </c>
      <c r="G102" s="1003"/>
      <c r="H102" s="1012">
        <f>D102*F102</f>
        <v>3740.8800000000006</v>
      </c>
    </row>
    <row r="103" spans="1:8" x14ac:dyDescent="0.2">
      <c r="A103" s="964" t="s">
        <v>552</v>
      </c>
      <c r="B103" s="964"/>
      <c r="C103" s="964"/>
      <c r="D103" s="964"/>
      <c r="E103" s="964"/>
      <c r="F103" s="964"/>
      <c r="G103" s="964"/>
      <c r="H103" s="1015">
        <f>SUM(H100:H102)</f>
        <v>15058.216399999999</v>
      </c>
    </row>
    <row r="104" spans="1:8" x14ac:dyDescent="0.2">
      <c r="A104" s="964" t="s">
        <v>553</v>
      </c>
      <c r="B104" s="947"/>
      <c r="C104" s="947"/>
      <c r="D104" s="947"/>
      <c r="E104" s="947"/>
      <c r="F104" s="947"/>
      <c r="G104" s="947"/>
      <c r="H104" s="1023"/>
    </row>
    <row r="105" spans="1:8" x14ac:dyDescent="0.2">
      <c r="A105" s="953" t="s">
        <v>554</v>
      </c>
      <c r="B105" s="953" t="s">
        <v>555</v>
      </c>
      <c r="C105" s="1046">
        <v>4</v>
      </c>
      <c r="D105" s="1001">
        <f>H100</f>
        <v>8756.4363999999987</v>
      </c>
      <c r="E105" s="1045" t="s">
        <v>556</v>
      </c>
      <c r="F105" s="1047">
        <v>60</v>
      </c>
      <c r="G105" s="1048"/>
      <c r="H105" s="1008">
        <f>(D105/100*F105)/100*C105</f>
        <v>210.15447359999996</v>
      </c>
    </row>
    <row r="106" spans="1:8" x14ac:dyDescent="0.2">
      <c r="A106" s="953"/>
      <c r="B106" s="953" t="s">
        <v>557</v>
      </c>
      <c r="C106" s="1046">
        <v>4</v>
      </c>
      <c r="D106" s="1001">
        <f>H90+H96</f>
        <v>2325</v>
      </c>
      <c r="E106" s="1045" t="s">
        <v>556</v>
      </c>
      <c r="F106" s="1047">
        <v>60</v>
      </c>
      <c r="G106" s="1048"/>
      <c r="H106" s="1008">
        <f>(D106/100*F106)/100*C106</f>
        <v>55.8</v>
      </c>
    </row>
    <row r="107" spans="1:8" x14ac:dyDescent="0.2">
      <c r="A107" s="953" t="s">
        <v>558</v>
      </c>
      <c r="B107" s="953"/>
      <c r="C107" s="1049">
        <f>D105</f>
        <v>8756.4363999999987</v>
      </c>
      <c r="D107" s="953" t="s">
        <v>559</v>
      </c>
      <c r="E107" s="953"/>
      <c r="F107" s="953"/>
      <c r="G107" s="953"/>
      <c r="H107" s="1008">
        <f>C107/15</f>
        <v>583.76242666666656</v>
      </c>
    </row>
    <row r="108" spans="1:8" x14ac:dyDescent="0.2">
      <c r="A108" s="953" t="s">
        <v>531</v>
      </c>
      <c r="B108" s="953"/>
      <c r="C108" s="1050" t="s">
        <v>532</v>
      </c>
      <c r="D108" s="1051"/>
      <c r="E108" s="1052"/>
      <c r="F108" s="1053"/>
      <c r="G108" s="1053"/>
      <c r="H108" s="1008">
        <v>50</v>
      </c>
    </row>
    <row r="109" spans="1:8" x14ac:dyDescent="0.2">
      <c r="A109" s="953" t="s">
        <v>533</v>
      </c>
      <c r="B109" s="953"/>
      <c r="C109" s="1054" t="s">
        <v>534</v>
      </c>
      <c r="D109" s="998"/>
      <c r="E109" s="1055">
        <f>E51</f>
        <v>4</v>
      </c>
      <c r="F109" s="952">
        <f>'Standard Vorgaben'!$C$36</f>
        <v>32.700000000000003</v>
      </c>
      <c r="G109" s="1053"/>
      <c r="H109" s="1008">
        <f>E109*F109</f>
        <v>130.80000000000001</v>
      </c>
    </row>
    <row r="110" spans="1:8" x14ac:dyDescent="0.2">
      <c r="A110" s="953"/>
      <c r="B110" s="953"/>
      <c r="C110" s="1054" t="s">
        <v>536</v>
      </c>
      <c r="D110" s="998"/>
      <c r="E110" s="1055">
        <f>E53</f>
        <v>10</v>
      </c>
      <c r="F110" s="952">
        <f>'Standard Vorgaben'!$C$36</f>
        <v>32.700000000000003</v>
      </c>
      <c r="G110" s="1053"/>
      <c r="H110" s="1008">
        <f>E110*F110</f>
        <v>327</v>
      </c>
    </row>
    <row r="111" spans="1:8" ht="13.5" thickBot="1" x14ac:dyDescent="0.25">
      <c r="A111" s="953"/>
      <c r="B111" s="953"/>
      <c r="C111" s="1054" t="s">
        <v>537</v>
      </c>
      <c r="D111" s="998"/>
      <c r="E111" s="1056">
        <f>'Standard Vorgaben'!C184</f>
        <v>500</v>
      </c>
      <c r="F111" s="1057">
        <f>'Standard Vorgaben'!C183</f>
        <v>1.5</v>
      </c>
      <c r="G111" s="1057"/>
      <c r="H111" s="1012">
        <f>E111*F111</f>
        <v>750</v>
      </c>
    </row>
    <row r="112" spans="1:8" x14ac:dyDescent="0.2">
      <c r="A112" s="964" t="s">
        <v>560</v>
      </c>
      <c r="B112" s="964"/>
      <c r="C112" s="964"/>
      <c r="D112" s="964"/>
      <c r="E112" s="964"/>
      <c r="F112" s="964"/>
      <c r="G112" s="964"/>
      <c r="H112" s="1015">
        <f>SUM(H104:H111)</f>
        <v>2107.5169002666662</v>
      </c>
    </row>
    <row r="113" spans="1:8" x14ac:dyDescent="0.2">
      <c r="A113" s="953"/>
      <c r="B113" s="953"/>
      <c r="C113" s="953"/>
      <c r="D113" s="953"/>
      <c r="E113" s="953"/>
      <c r="F113" s="953"/>
      <c r="G113" s="953"/>
      <c r="H113" s="953"/>
    </row>
    <row r="114" spans="1:8" x14ac:dyDescent="0.2">
      <c r="A114" s="953"/>
      <c r="B114" s="953"/>
      <c r="C114" s="953"/>
      <c r="D114" s="953"/>
      <c r="E114" s="953"/>
      <c r="F114" s="953"/>
      <c r="G114" s="953"/>
      <c r="H114" s="953"/>
    </row>
  </sheetData>
  <mergeCells count="2">
    <mergeCell ref="A1:B1"/>
    <mergeCell ref="B3:F3"/>
  </mergeCells>
  <phoneticPr fontId="23" type="noConversion"/>
  <pageMargins left="0.78740157499999996" right="0.78740157499999996" top="0.984251969" bottom="0.984251969" header="0.4921259845" footer="0.4921259845"/>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tandardErstellung">
    <tabColor indexed="18"/>
  </sheetPr>
  <dimension ref="A1:AO262"/>
  <sheetViews>
    <sheetView zoomScale="75" workbookViewId="0">
      <selection activeCell="C141" sqref="C141"/>
    </sheetView>
  </sheetViews>
  <sheetFormatPr baseColWidth="10" defaultRowHeight="12.75" x14ac:dyDescent="0.2"/>
  <cols>
    <col min="1" max="1" width="32.42578125" customWidth="1"/>
    <col min="2" max="2" width="56.5703125" customWidth="1"/>
    <col min="3" max="3" width="14.5703125" customWidth="1"/>
    <col min="4" max="4" width="20.5703125" customWidth="1"/>
    <col min="5" max="5" width="17.7109375" customWidth="1"/>
    <col min="6" max="6" width="18.28515625" customWidth="1"/>
    <col min="7" max="7" width="19.28515625" customWidth="1"/>
    <col min="8" max="8" width="20.7109375" style="15" customWidth="1"/>
    <col min="9" max="9" width="13" style="15" customWidth="1"/>
    <col min="10" max="10" width="11.42578125" style="15" customWidth="1"/>
    <col min="11" max="11" width="12.7109375" style="15" customWidth="1"/>
    <col min="12" max="41" width="11.42578125" style="15" customWidth="1"/>
  </cols>
  <sheetData>
    <row r="1" spans="1:41" ht="26.25" x14ac:dyDescent="0.4">
      <c r="A1" s="199" t="str">
        <f>'Standard Vorgaben'!$A$1</f>
        <v>Arbokost 2023</v>
      </c>
      <c r="B1" s="625" t="str">
        <f>'Standard Vorgaben'!B7</f>
        <v>Tafelzwetschge</v>
      </c>
      <c r="C1" s="615"/>
      <c r="D1" s="615"/>
      <c r="E1" s="616"/>
      <c r="F1" s="619"/>
      <c r="G1" s="611"/>
    </row>
    <row r="2" spans="1:41" ht="17.850000000000001" customHeight="1" x14ac:dyDescent="0.25">
      <c r="A2" s="187" t="str">
        <f>'Standard Vorgaben'!$A$2</f>
        <v>Standard 1ha</v>
      </c>
      <c r="B2" s="617">
        <f>'Standard Vorgaben'!B24</f>
        <v>1125</v>
      </c>
      <c r="C2" s="607"/>
      <c r="D2" s="616"/>
      <c r="E2" s="611"/>
      <c r="F2" s="611"/>
      <c r="G2" s="611"/>
      <c r="H2" s="159"/>
    </row>
    <row r="3" spans="1:41" ht="37.5" customHeight="1" x14ac:dyDescent="0.25">
      <c r="A3" s="642"/>
      <c r="B3" s="617"/>
      <c r="C3" s="607"/>
      <c r="D3" s="616"/>
      <c r="E3" s="611"/>
      <c r="F3" s="611"/>
      <c r="G3" s="611"/>
      <c r="H3" s="159"/>
    </row>
    <row r="4" spans="1:41" s="1" customFormat="1" ht="37.5" customHeight="1" x14ac:dyDescent="0.2">
      <c r="A4" s="636" t="s">
        <v>176</v>
      </c>
      <c r="B4" s="1362" t="str">
        <f>'Standard Vorgaben'!B3</f>
        <v>Moderne Tafelzwetschenanlage auf schwachwachsender Unterlage. Werte sind ausgelegt auf gemischtwirtschaftliche Betriebe mit mehr als 0.5 ha Tafelzwetschgen, an geeignetem Standort in einem der Hauptproduktionsgebiete der Schweiz.</v>
      </c>
      <c r="C4" s="1383"/>
      <c r="D4" s="1383"/>
      <c r="E4" s="1383"/>
      <c r="F4" s="1383"/>
      <c r="G4" s="1383"/>
    </row>
    <row r="5" spans="1:41" s="1" customFormat="1" ht="11.25" customHeight="1" x14ac:dyDescent="0.2">
      <c r="A5" s="636"/>
      <c r="B5" s="688"/>
      <c r="C5" s="689"/>
      <c r="D5" s="689"/>
      <c r="E5" s="689"/>
      <c r="F5" s="689"/>
      <c r="G5" s="689"/>
    </row>
    <row r="6" spans="1:41" ht="36" customHeight="1" x14ac:dyDescent="0.4">
      <c r="A6" s="332" t="s">
        <v>336</v>
      </c>
      <c r="B6" s="331"/>
      <c r="C6" s="333" t="s">
        <v>337</v>
      </c>
      <c r="D6" s="334"/>
      <c r="E6" s="334"/>
      <c r="F6" s="335"/>
      <c r="G6" s="78"/>
      <c r="H6" s="78"/>
    </row>
    <row r="7" spans="1:41" ht="15.75" x14ac:dyDescent="0.25">
      <c r="A7" s="21"/>
      <c r="B7" s="1102"/>
      <c r="C7" s="1103"/>
      <c r="F7" s="723" t="s">
        <v>114</v>
      </c>
      <c r="G7" s="73"/>
      <c r="H7" s="171"/>
      <c r="I7" s="21"/>
      <c r="J7" s="21"/>
      <c r="K7" s="21"/>
      <c r="L7" s="21"/>
    </row>
    <row r="8" spans="1:41" s="14" customFormat="1" ht="22.5" x14ac:dyDescent="0.2">
      <c r="A8" s="1"/>
      <c r="B8" s="3"/>
      <c r="C8" s="20" t="s">
        <v>11</v>
      </c>
      <c r="D8" s="20" t="s">
        <v>12</v>
      </c>
      <c r="E8" s="101" t="s">
        <v>13</v>
      </c>
      <c r="F8" s="1104" t="s">
        <v>561</v>
      </c>
      <c r="G8" s="350"/>
      <c r="H8" s="350"/>
      <c r="I8" s="171"/>
      <c r="J8" s="171"/>
      <c r="K8" s="40"/>
      <c r="L8" s="40"/>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row>
    <row r="9" spans="1:41" s="1" customFormat="1" x14ac:dyDescent="0.2">
      <c r="A9" s="1105" t="s">
        <v>8</v>
      </c>
      <c r="B9" s="21"/>
      <c r="C9" s="156">
        <f>'Standard Vorgaben'!B24</f>
        <v>1125</v>
      </c>
      <c r="D9" s="45">
        <f>'Standard Vorgaben'!C31</f>
        <v>16</v>
      </c>
      <c r="E9" s="92">
        <f>C9*D9</f>
        <v>18000</v>
      </c>
      <c r="F9" s="1106">
        <f>E9/$E$111</f>
        <v>0.42818160999472932</v>
      </c>
      <c r="G9" s="65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row>
    <row r="10" spans="1:41" s="1" customFormat="1" x14ac:dyDescent="0.2">
      <c r="A10" s="40"/>
      <c r="B10" s="21"/>
      <c r="C10" s="156"/>
      <c r="D10" s="45"/>
      <c r="E10" s="92"/>
      <c r="F10" s="1107"/>
      <c r="G10" s="65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row>
    <row r="11" spans="1:41" s="1" customFormat="1" x14ac:dyDescent="0.2">
      <c r="A11" s="1369" t="s">
        <v>160</v>
      </c>
      <c r="B11" s="21" t="str">
        <f>'Standard Hagel'!B11</f>
        <v>Stützpfahl je B.</v>
      </c>
      <c r="C11" s="156">
        <f>'Standard Hagel'!C11</f>
        <v>1125</v>
      </c>
      <c r="D11" s="45">
        <f>'Standard Hagel'!D11</f>
        <v>1.593</v>
      </c>
      <c r="E11" s="46">
        <f>C11*D11</f>
        <v>1792.125</v>
      </c>
      <c r="F11" s="1107">
        <f>E11/$E$111</f>
        <v>4.2630831545100237E-2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row>
    <row r="12" spans="1:41" s="1" customFormat="1" x14ac:dyDescent="0.2">
      <c r="A12" s="1369"/>
      <c r="B12" s="21" t="str">
        <f>'Standard Hagel'!B12</f>
        <v xml:space="preserve">Spanndraht 3 mm </v>
      </c>
      <c r="C12" s="156">
        <f>'Standard Hagel'!C12</f>
        <v>2530</v>
      </c>
      <c r="D12" s="45">
        <f>'Standard Hagel'!D12</f>
        <v>0.1888</v>
      </c>
      <c r="E12" s="46">
        <f>C12*D12</f>
        <v>477.66399999999999</v>
      </c>
      <c r="F12" s="1107">
        <f>E12/$E$111</f>
        <v>1.1362607808695687E-2</v>
      </c>
      <c r="G12" s="65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row>
    <row r="13" spans="1:41" s="1" customFormat="1" x14ac:dyDescent="0.2">
      <c r="A13" s="1369"/>
      <c r="B13" s="21" t="str">
        <f>'Standard Hagel'!B13</f>
        <v xml:space="preserve">Agraffen </v>
      </c>
      <c r="C13" s="156">
        <f>'Standard Hagel'!C13</f>
        <v>6</v>
      </c>
      <c r="D13" s="45">
        <f>'Standard Hagel'!D13</f>
        <v>6.4899999999999993</v>
      </c>
      <c r="E13" s="46">
        <f>C13*D13</f>
        <v>38.94</v>
      </c>
      <c r="F13" s="1107">
        <f>E13/$E$111</f>
        <v>9.2629954962193098E-4</v>
      </c>
      <c r="G13" s="65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row>
    <row r="14" spans="1:41" s="1" customFormat="1" ht="13.5" thickBot="1" x14ac:dyDescent="0.25">
      <c r="A14" s="1369"/>
      <c r="B14" s="21" t="str">
        <f>'Standard Hagel'!B14</f>
        <v>Klemmfix</v>
      </c>
      <c r="C14" s="156">
        <f>'Standard Hagel'!C14</f>
        <v>1125</v>
      </c>
      <c r="D14" s="45">
        <f>'Standard Hagel'!D14</f>
        <v>0.23599999999999999</v>
      </c>
      <c r="E14" s="160">
        <f>C14*D14</f>
        <v>265.5</v>
      </c>
      <c r="F14" s="1107">
        <f>E14/$E$111</f>
        <v>6.3156787474222577E-3</v>
      </c>
      <c r="G14" s="65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row>
    <row r="15" spans="1:41" s="1" customFormat="1" x14ac:dyDescent="0.2">
      <c r="A15" s="40"/>
      <c r="B15" s="21"/>
      <c r="C15" s="156"/>
      <c r="D15" s="45"/>
      <c r="E15" s="1108">
        <f>SUM(E11:E14)</f>
        <v>2574.2289999999998</v>
      </c>
      <c r="F15" s="1107">
        <f>E15/$E$111</f>
        <v>6.1235417650840111E-2</v>
      </c>
      <c r="G15" s="65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row>
    <row r="16" spans="1:41" s="1" customFormat="1" x14ac:dyDescent="0.2">
      <c r="A16" s="40"/>
      <c r="B16" s="21"/>
      <c r="C16" s="662"/>
      <c r="D16" s="1109"/>
      <c r="E16" s="1108"/>
      <c r="F16" s="1107"/>
      <c r="G16" s="65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row>
    <row r="17" spans="1:41" s="1" customFormat="1" x14ac:dyDescent="0.2">
      <c r="A17" s="1369" t="s">
        <v>372</v>
      </c>
      <c r="B17" s="21" t="str">
        <f>'Standard Hagel'!B16</f>
        <v>3-fädige Standardbreite m2</v>
      </c>
      <c r="C17" s="47">
        <f>'Standard Hagel'!C16</f>
        <v>9800</v>
      </c>
      <c r="D17" s="45">
        <f>'Standard Hagel'!D16</f>
        <v>0.6843999999999999</v>
      </c>
      <c r="E17" s="1110">
        <f>C17*D17</f>
        <v>6707.119999999999</v>
      </c>
      <c r="F17" s="1107">
        <f>E17/$E$112</f>
        <v>0.10417986948532243</v>
      </c>
      <c r="G17" s="65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row>
    <row r="18" spans="1:41" s="1" customFormat="1" x14ac:dyDescent="0.2">
      <c r="A18" s="1369"/>
      <c r="B18" s="21" t="str">
        <f>'Standard Hagel'!B17</f>
        <v>Firstplaketten</v>
      </c>
      <c r="C18" s="47">
        <f>'Standard Hagel'!C17</f>
        <v>1200</v>
      </c>
      <c r="D18" s="45">
        <f>'Standard Hagel'!D17</f>
        <v>0.33040000000000003</v>
      </c>
      <c r="E18" s="1110">
        <f t="shared" ref="E18:E27" si="0">C18*D18</f>
        <v>396.48</v>
      </c>
      <c r="F18" s="1107">
        <f t="shared" ref="F18:F28" si="1">E18/$E$112</f>
        <v>6.158415930166845E-3</v>
      </c>
      <c r="G18" s="65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row>
    <row r="19" spans="1:41" s="1" customFormat="1" x14ac:dyDescent="0.2">
      <c r="A19" s="1369"/>
      <c r="B19" s="21" t="str">
        <f>'Standard Hagel'!B18</f>
        <v>Traufenplaketten FRUSTAR 1</v>
      </c>
      <c r="C19" s="47">
        <f>'Standard Hagel'!C18</f>
        <v>1750</v>
      </c>
      <c r="D19" s="45">
        <f>'Standard Hagel'!D18</f>
        <v>0.97939999999999994</v>
      </c>
      <c r="E19" s="1110">
        <f t="shared" si="0"/>
        <v>1713.9499999999998</v>
      </c>
      <c r="F19" s="1107">
        <f t="shared" si="1"/>
        <v>2.6622318864783751E-2</v>
      </c>
      <c r="G19" s="65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row>
    <row r="20" spans="1:41" s="1" customFormat="1" x14ac:dyDescent="0.2">
      <c r="A20" s="1369"/>
      <c r="B20" s="21" t="str">
        <f>'Standard Hagel'!B19</f>
        <v>Plaketten Standart inkl. S-Hacken</v>
      </c>
      <c r="C20" s="47">
        <f>'Standard Hagel'!C19</f>
        <v>100</v>
      </c>
      <c r="D20" s="45">
        <f>'Standard Hagel'!D19</f>
        <v>0.64900000000000002</v>
      </c>
      <c r="E20" s="1110">
        <f t="shared" si="0"/>
        <v>64.900000000000006</v>
      </c>
      <c r="F20" s="1107">
        <f t="shared" si="1"/>
        <v>1.0080740361880251E-3</v>
      </c>
      <c r="G20" s="65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row>
    <row r="21" spans="1:41" s="1" customFormat="1" x14ac:dyDescent="0.2">
      <c r="A21" s="1369"/>
      <c r="B21" s="21" t="str">
        <f>'Standard Hagel'!B20</f>
        <v xml:space="preserve">Stirnseil 9.5 mm </v>
      </c>
      <c r="C21" s="47">
        <f>'Standard Hagel'!C20</f>
        <v>165</v>
      </c>
      <c r="D21" s="45">
        <f>'Standard Hagel'!D20</f>
        <v>1.4041999999999999</v>
      </c>
      <c r="E21" s="1110">
        <f t="shared" si="0"/>
        <v>231.69299999999998</v>
      </c>
      <c r="F21" s="1107">
        <f t="shared" si="1"/>
        <v>3.5988243091912495E-3</v>
      </c>
      <c r="G21" s="65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row>
    <row r="22" spans="1:41" s="1" customFormat="1" x14ac:dyDescent="0.2">
      <c r="A22" s="1369"/>
      <c r="B22" s="21" t="str">
        <f>'Standard Hagel'!B21</f>
        <v>Ankerseil 9.5 mm</v>
      </c>
      <c r="C22" s="47">
        <f>'Standard Hagel'!C21</f>
        <v>310</v>
      </c>
      <c r="D22" s="45">
        <f>'Standard Hagel'!D21</f>
        <v>1.4041999999999999</v>
      </c>
      <c r="E22" s="1110">
        <f t="shared" si="0"/>
        <v>435.30199999999996</v>
      </c>
      <c r="F22" s="1107">
        <f t="shared" si="1"/>
        <v>6.7614274899956807E-3</v>
      </c>
      <c r="G22" s="65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row>
    <row r="23" spans="1:41" s="1" customFormat="1" x14ac:dyDescent="0.2">
      <c r="A23" s="1369"/>
      <c r="B23" s="21" t="str">
        <f>'Standard Hagel'!B22</f>
        <v>Querseil 9mm</v>
      </c>
      <c r="C23" s="47">
        <f>'Standard Hagel'!C22</f>
        <v>810</v>
      </c>
      <c r="D23" s="45">
        <f>'Standard Hagel'!D22</f>
        <v>0.82599999999999996</v>
      </c>
      <c r="E23" s="1110">
        <f t="shared" si="0"/>
        <v>669.06</v>
      </c>
      <c r="F23" s="1107">
        <f t="shared" si="1"/>
        <v>1.039232688215655E-2</v>
      </c>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row>
    <row r="24" spans="1:41" s="1" customFormat="1" x14ac:dyDescent="0.2">
      <c r="A24" s="1369"/>
      <c r="B24" s="21" t="str">
        <f>'Standard Hagel'!B23</f>
        <v>Firstdraht</v>
      </c>
      <c r="C24" s="47">
        <f>'Standard Hagel'!C23</f>
        <v>3100</v>
      </c>
      <c r="D24" s="45">
        <f>'Standard Hagel'!D23</f>
        <v>0.35399999999999998</v>
      </c>
      <c r="E24" s="1110">
        <f t="shared" si="0"/>
        <v>1097.3999999999999</v>
      </c>
      <c r="F24" s="1107">
        <f t="shared" si="1"/>
        <v>1.7045615520997513E-2</v>
      </c>
      <c r="G24" s="65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row>
    <row r="25" spans="1:41" s="1" customFormat="1" x14ac:dyDescent="0.2">
      <c r="A25" s="1369"/>
      <c r="B25" s="21" t="str">
        <f>'Standard Hagel'!B24</f>
        <v>Netzschnur</v>
      </c>
      <c r="C25" s="47">
        <f>'Standard Hagel'!C24</f>
        <v>3400</v>
      </c>
      <c r="D25" s="45">
        <f>'Standard Hagel'!D24</f>
        <v>0.11799999999999999</v>
      </c>
      <c r="E25" s="1110">
        <f t="shared" si="0"/>
        <v>401.2</v>
      </c>
      <c r="F25" s="1107">
        <f t="shared" si="1"/>
        <v>6.2317304055259735E-3</v>
      </c>
      <c r="G25" s="65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row>
    <row r="26" spans="1:41" s="1" customFormat="1" x14ac:dyDescent="0.2">
      <c r="A26" s="1369"/>
      <c r="B26" s="21" t="str">
        <f>'Standard Hagel'!B25</f>
        <v>Drahtspanner</v>
      </c>
      <c r="C26" s="47">
        <f>'Standard Hagel'!C25</f>
        <v>26</v>
      </c>
      <c r="D26" s="45">
        <f>'Standard Hagel'!D25</f>
        <v>10.797000000000001</v>
      </c>
      <c r="E26" s="1110">
        <f t="shared" si="0"/>
        <v>280.72200000000004</v>
      </c>
      <c r="F26" s="1107">
        <f t="shared" si="1"/>
        <v>4.3603784219842035E-3</v>
      </c>
      <c r="G26" s="65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row>
    <row r="27" spans="1:41" s="1" customFormat="1" ht="13.5" thickBot="1" x14ac:dyDescent="0.25">
      <c r="A27" s="1369"/>
      <c r="B27" s="21" t="str">
        <f>'Standard Hagel'!B26</f>
        <v>Kleinmaterial</v>
      </c>
      <c r="C27" s="47">
        <f>'Standard Hagel'!C26</f>
        <v>0</v>
      </c>
      <c r="D27" s="45">
        <f>'Standard Hagel'!D26</f>
        <v>0</v>
      </c>
      <c r="E27" s="1111">
        <f t="shared" si="0"/>
        <v>0</v>
      </c>
      <c r="F27" s="1107">
        <f t="shared" si="1"/>
        <v>0</v>
      </c>
      <c r="G27" s="65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row>
    <row r="28" spans="1:41" s="1" customFormat="1" x14ac:dyDescent="0.2">
      <c r="A28" s="3"/>
      <c r="C28" s="34"/>
      <c r="D28" s="48"/>
      <c r="E28" s="1112">
        <f>SUM(E17:E27)</f>
        <v>11997.826999999997</v>
      </c>
      <c r="F28" s="1107">
        <f t="shared" si="1"/>
        <v>0.18635898134631221</v>
      </c>
      <c r="G28" s="65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row>
    <row r="29" spans="1:41" s="1" customFormat="1" x14ac:dyDescent="0.2">
      <c r="A29" s="3"/>
      <c r="C29" s="34"/>
      <c r="D29" s="48"/>
      <c r="E29" s="1112"/>
      <c r="F29" s="1107"/>
      <c r="G29" s="65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row>
    <row r="30" spans="1:41" s="1" customFormat="1" x14ac:dyDescent="0.2">
      <c r="A30" s="1369" t="s">
        <v>562</v>
      </c>
      <c r="B30" s="21" t="str">
        <f>'Standard Hagel'!B28</f>
        <v>Reihenpfähle 4 m 8/10 10m Abstand</v>
      </c>
      <c r="C30" s="47">
        <f>'Standard Hagel'!C28</f>
        <v>240</v>
      </c>
      <c r="D30" s="45">
        <f>'Standard Hagel'!D28</f>
        <v>21.83</v>
      </c>
      <c r="E30" s="1110">
        <f>C30*D30</f>
        <v>5239.2</v>
      </c>
      <c r="F30" s="1107">
        <f t="shared" ref="F30:F35" si="2">E30/$E$112</f>
        <v>8.1379067648633299E-2</v>
      </c>
      <c r="G30" s="65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row>
    <row r="31" spans="1:41" s="1" customFormat="1" x14ac:dyDescent="0.2">
      <c r="A31" s="1369"/>
      <c r="B31" s="21" t="str">
        <f>'Standard Hagel'!B29</f>
        <v>Endpfähle 4.20 m 10/12</v>
      </c>
      <c r="C31" s="47">
        <f>'Standard Hagel'!C29</f>
        <v>44</v>
      </c>
      <c r="D31" s="45">
        <f>'Standard Hagel'!D29</f>
        <v>31.86</v>
      </c>
      <c r="E31" s="1110">
        <f>C31*D31</f>
        <v>1401.84</v>
      </c>
      <c r="F31" s="1107">
        <f t="shared" si="2"/>
        <v>2.1774399181661342E-2</v>
      </c>
      <c r="G31" s="65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row>
    <row r="32" spans="1:41" s="1" customFormat="1" x14ac:dyDescent="0.2">
      <c r="A32" s="1369"/>
      <c r="B32" s="21" t="str">
        <f>'Standard Hagel'!B30</f>
        <v>Eckpfähle 4.50 m 13/15</v>
      </c>
      <c r="C32" s="47">
        <f>'Standard Hagel'!C30</f>
        <v>4</v>
      </c>
      <c r="D32" s="45">
        <f>'Standard Hagel'!D30</f>
        <v>69.560999999999993</v>
      </c>
      <c r="E32" s="1110">
        <f>C32*D32</f>
        <v>278.24399999999997</v>
      </c>
      <c r="F32" s="1107">
        <f t="shared" si="2"/>
        <v>4.3218883224206599E-3</v>
      </c>
      <c r="G32" s="673"/>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row>
    <row r="33" spans="1:41" s="1" customFormat="1" x14ac:dyDescent="0.2">
      <c r="A33" s="1369"/>
      <c r="B33" s="21" t="str">
        <f>'Standard Hagel'!B31</f>
        <v>Anker</v>
      </c>
      <c r="C33" s="47">
        <f>'Standard Hagel'!C31</f>
        <v>72</v>
      </c>
      <c r="D33" s="45">
        <f>'Standard Hagel'!D31</f>
        <v>23.776999999999997</v>
      </c>
      <c r="E33" s="1110">
        <f>C33*D33</f>
        <v>1711.9439999999997</v>
      </c>
      <c r="F33" s="1107">
        <f t="shared" si="2"/>
        <v>2.6591160212756121E-2</v>
      </c>
      <c r="G33" s="673"/>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row>
    <row r="34" spans="1:41" s="1" customFormat="1" ht="13.5" thickBot="1" x14ac:dyDescent="0.25">
      <c r="A34" s="1369"/>
      <c r="B34" s="21" t="str">
        <f>'Standard Hagel'!B32</f>
        <v>Pfahlhüte</v>
      </c>
      <c r="C34" s="47">
        <f>'Standard Hagel'!C32</f>
        <v>68</v>
      </c>
      <c r="D34" s="45">
        <f>'Standard Hagel'!D32</f>
        <v>1.18</v>
      </c>
      <c r="E34" s="1111">
        <f>C34*D34</f>
        <v>80.239999999999995</v>
      </c>
      <c r="F34" s="1107">
        <f t="shared" si="2"/>
        <v>1.2463460811051946E-3</v>
      </c>
      <c r="G34" s="673"/>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s="1" customFormat="1" x14ac:dyDescent="0.2">
      <c r="A35" s="1204"/>
      <c r="B35" s="21"/>
      <c r="C35" s="47"/>
      <c r="D35" s="45"/>
      <c r="E35" s="1108">
        <f>SUM(E30:E34)</f>
        <v>8711.4679999999989</v>
      </c>
      <c r="F35" s="1107">
        <f t="shared" si="2"/>
        <v>0.13531286144657662</v>
      </c>
      <c r="G35" s="673"/>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s="1" customFormat="1" x14ac:dyDescent="0.2">
      <c r="B36" s="21"/>
      <c r="C36" s="21"/>
      <c r="D36" s="45"/>
      <c r="E36" s="92"/>
      <c r="F36" s="413"/>
      <c r="H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s="1" customFormat="1" x14ac:dyDescent="0.2">
      <c r="A37" s="1384" t="str">
        <f>'Standard Hagel'!A59</f>
        <v>Einsparung an Gerüstkosten durch Hagelnetzerstellung</v>
      </c>
      <c r="B37" s="21" t="str">
        <f>'Standard Hagel'!B60</f>
        <v>Endpfähle</v>
      </c>
      <c r="C37" s="47">
        <f>'Standard Hagel'!C60</f>
        <v>45</v>
      </c>
      <c r="D37" s="45">
        <f>'Standard Hagel'!D60</f>
        <v>16.52</v>
      </c>
      <c r="E37" s="182">
        <f>C37*D37</f>
        <v>743.4</v>
      </c>
      <c r="F37" s="413"/>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s="1" customFormat="1" x14ac:dyDescent="0.2">
      <c r="A38" s="1384"/>
      <c r="B38" s="21" t="str">
        <f>'Standard Hagel'!B61</f>
        <v>Zwischenpfähle</v>
      </c>
      <c r="C38" s="47">
        <f>'Standard Hagel'!C61</f>
        <v>336</v>
      </c>
      <c r="D38" s="45">
        <f>'Standard Hagel'!D61</f>
        <v>11.799999999999999</v>
      </c>
      <c r="E38" s="182">
        <f>C38*D38</f>
        <v>3964.7999999999997</v>
      </c>
      <c r="F38" s="413"/>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s="1" customFormat="1" ht="13.5" thickBot="1" x14ac:dyDescent="0.25">
      <c r="A39" s="1384"/>
      <c r="B39" s="21" t="str">
        <f>'Standard Hagel'!B62</f>
        <v>Telleranker</v>
      </c>
      <c r="C39" s="47">
        <f>'Standard Hagel'!C62</f>
        <v>45</v>
      </c>
      <c r="D39" s="45">
        <f>'Standard Hagel'!D62</f>
        <v>6.1360000000000001</v>
      </c>
      <c r="E39" s="658">
        <f>C39*D39</f>
        <v>276.12</v>
      </c>
      <c r="F39" s="413"/>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s="1" customFormat="1" x14ac:dyDescent="0.2">
      <c r="A40" s="21"/>
      <c r="B40" s="21"/>
      <c r="C40" s="21"/>
      <c r="D40" s="45"/>
      <c r="E40" s="94">
        <f>SUM(E37:E39)</f>
        <v>4984.32</v>
      </c>
      <c r="F40" s="413"/>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s="1" customFormat="1" x14ac:dyDescent="0.2">
      <c r="A41" s="40"/>
      <c r="B41" s="21"/>
      <c r="C41" s="44"/>
      <c r="D41" s="45"/>
      <c r="E41" s="1110"/>
      <c r="F41" s="1107"/>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s="1" customFormat="1" x14ac:dyDescent="0.2">
      <c r="A42" s="1369" t="s">
        <v>431</v>
      </c>
      <c r="B42" s="75" t="str">
        <f>'Standard Regendach'!$B$16</f>
        <v>Folie Bändchengewebe 34 x 2.3 m x 108 m</v>
      </c>
      <c r="C42" s="524">
        <f>'Standard Regendach'!$C$16</f>
        <v>8446</v>
      </c>
      <c r="D42" s="686">
        <f>'Standard Regendach'!$D$16</f>
        <v>2.5960000000000001</v>
      </c>
      <c r="E42" s="1205">
        <f>'Standard Regendach'!$E$16</f>
        <v>21925.816000000003</v>
      </c>
      <c r="F42" s="1107"/>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s="1" customFormat="1" x14ac:dyDescent="0.2">
      <c r="A43" s="1369"/>
      <c r="B43" s="75" t="str">
        <f>'Standard Regendach'!$B$17</f>
        <v>Folienplaketten</v>
      </c>
      <c r="C43" s="524">
        <f>'Standard Regendach'!$C$17</f>
        <v>4080</v>
      </c>
      <c r="D43" s="686">
        <f>'Standard Regendach'!$D$17</f>
        <v>0.88500000000000001</v>
      </c>
      <c r="E43" s="1205">
        <f>'Standard Regendach'!$E$17</f>
        <v>3610.8</v>
      </c>
      <c r="F43" s="1107"/>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s="1" customFormat="1" x14ac:dyDescent="0.2">
      <c r="A44" s="1369"/>
      <c r="B44" s="75" t="str">
        <f>'Standard Regendach'!$B$18</f>
        <v>Folienanbindeschnüre rot</v>
      </c>
      <c r="C44" s="524">
        <f>'Standard Regendach'!$C$18</f>
        <v>78</v>
      </c>
      <c r="D44" s="686">
        <f>'Standard Regendach'!$D$18</f>
        <v>6.4899999999999993</v>
      </c>
      <c r="E44" s="1205">
        <f>'Standard Regendach'!$E$18</f>
        <v>506.21999999999997</v>
      </c>
      <c r="F44" s="1107"/>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s="1" customFormat="1" x14ac:dyDescent="0.2">
      <c r="A45" s="1369"/>
      <c r="B45" s="75" t="str">
        <f>'Standard Regendach'!$B$20</f>
        <v xml:space="preserve">Hagelnetz Vorhang 2 Bahnen x </v>
      </c>
      <c r="C45" s="524">
        <f>'Standard Regendach'!$C$20</f>
        <v>864</v>
      </c>
      <c r="D45" s="686">
        <f>'Standard Regendach'!$D$20</f>
        <v>0.6843999999999999</v>
      </c>
      <c r="E45" s="1205">
        <f>'Standard Regendach'!$E$20</f>
        <v>591.32159999999988</v>
      </c>
      <c r="F45" s="1107"/>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s="1" customFormat="1" x14ac:dyDescent="0.2">
      <c r="A46" s="1369"/>
      <c r="B46" s="75" t="str">
        <f>'Standard Regendach'!$B$21</f>
        <v xml:space="preserve">Hagelnetz Vorhang 2 Bahnen x </v>
      </c>
      <c r="C46" s="524">
        <f>'Standard Regendach'!$C$21</f>
        <v>648</v>
      </c>
      <c r="D46" s="686">
        <f>'Standard Regendach'!$D$21</f>
        <v>0.6843999999999999</v>
      </c>
      <c r="E46" s="1205">
        <f>'Standard Regendach'!$E$21</f>
        <v>443.49119999999994</v>
      </c>
      <c r="F46" s="1107"/>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s="1" customFormat="1" x14ac:dyDescent="0.2">
      <c r="A47" s="1369"/>
      <c r="B47" s="75" t="str">
        <f>'Standard Regendach'!$B$22</f>
        <v>Hagelnetz 0.7m x 108m</v>
      </c>
      <c r="C47" s="524">
        <f>'Standard Regendach'!$C$22</f>
        <v>1210</v>
      </c>
      <c r="D47" s="686">
        <f>'Standard Regendach'!$D$22</f>
        <v>0.6843999999999999</v>
      </c>
      <c r="E47" s="1205">
        <f>'Standard Regendach'!$E$22</f>
        <v>828.12399999999991</v>
      </c>
      <c r="F47" s="1107"/>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s="1" customFormat="1" x14ac:dyDescent="0.2">
      <c r="A48" s="1369"/>
      <c r="B48" s="75" t="str">
        <f>'Standard Regendach'!$B$23</f>
        <v>Rand-Plaketten alle 2m</v>
      </c>
      <c r="C48" s="524">
        <f>'Standard Regendach'!$C$23</f>
        <v>400</v>
      </c>
      <c r="D48" s="686">
        <f>'Standard Regendach'!$D$23</f>
        <v>0.33040000000000003</v>
      </c>
      <c r="E48" s="1205">
        <f>'Standard Regendach'!$E$23</f>
        <v>132.16000000000003</v>
      </c>
      <c r="F48" s="1107"/>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s="1" customFormat="1" x14ac:dyDescent="0.2">
      <c r="A49" s="1369"/>
      <c r="B49" s="75" t="str">
        <f>'Standard Regendach'!$B$25</f>
        <v>Groblitz-Querseil Ø 6mm</v>
      </c>
      <c r="C49" s="524">
        <f>'Standard Regendach'!$C$25</f>
        <v>1630</v>
      </c>
      <c r="D49" s="686">
        <f>'Standard Regendach'!$D$25</f>
        <v>0.82599999999999996</v>
      </c>
      <c r="E49" s="1205">
        <f>'Standard Regendach'!$E$25</f>
        <v>1346.3799999999999</v>
      </c>
      <c r="F49" s="1107"/>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s="1" customFormat="1" x14ac:dyDescent="0.2">
      <c r="A50" s="1369"/>
      <c r="B50" s="75" t="str">
        <f>'Standard Regendach'!$B$26</f>
        <v>Drahtseil Ø 4mm</v>
      </c>
      <c r="C50" s="524">
        <f>'Standard Regendach'!$C$26</f>
        <v>6030</v>
      </c>
      <c r="D50" s="686">
        <f>'Standard Regendach'!$D$26</f>
        <v>0.48379999999999995</v>
      </c>
      <c r="E50" s="1205">
        <f>'Standard Regendach'!$E$26</f>
        <v>2917.3139999999999</v>
      </c>
      <c r="F50" s="1107"/>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s="1" customFormat="1" x14ac:dyDescent="0.2">
      <c r="A51" s="1369"/>
      <c r="B51" s="75" t="str">
        <f>'Standard Regendach'!$B$27</f>
        <v>Folienfix Model 2 ohne Oesen</v>
      </c>
      <c r="C51" s="524">
        <f>'Standard Regendach'!$C$27</f>
        <v>340</v>
      </c>
      <c r="D51" s="686">
        <f>'Standard Regendach'!$D$27</f>
        <v>23.009999999999998</v>
      </c>
      <c r="E51" s="1205">
        <f>'Standard Regendach'!$E$27</f>
        <v>7823.4</v>
      </c>
      <c r="F51" s="1107"/>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s="1" customFormat="1" x14ac:dyDescent="0.2">
      <c r="A52" s="1369"/>
      <c r="B52" s="75" t="str">
        <f>'Standard Regendach'!$B$28</f>
        <v xml:space="preserve">Seilklemmen 6/10mm </v>
      </c>
      <c r="C52" s="524">
        <f>'Standard Regendach'!$C$28</f>
        <v>800</v>
      </c>
      <c r="D52" s="686">
        <f>'Standard Regendach'!$D$28</f>
        <v>0.51919999999999999</v>
      </c>
      <c r="E52" s="1205">
        <f>'Standard Regendach'!$E$28</f>
        <v>415.36</v>
      </c>
      <c r="F52" s="1107"/>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s="1" customFormat="1" x14ac:dyDescent="0.2">
      <c r="A53" s="1369"/>
      <c r="B53" s="75" t="str">
        <f>'Standard Regendach'!$B$29</f>
        <v>Drahtspanner mittel</v>
      </c>
      <c r="C53" s="524">
        <f>'Standard Regendach'!$C$29</f>
        <v>52</v>
      </c>
      <c r="D53" s="686">
        <f>'Standard Regendach'!$D$29</f>
        <v>5.31</v>
      </c>
      <c r="E53" s="1205">
        <f>'Standard Regendach'!$E$29</f>
        <v>276.12</v>
      </c>
      <c r="F53" s="1107"/>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s="1" customFormat="1" x14ac:dyDescent="0.2">
      <c r="A54" s="1369"/>
      <c r="B54" s="75" t="str">
        <f>'Standard Regendach'!$B$30</f>
        <v>Abspannung</v>
      </c>
      <c r="C54" s="524">
        <f>'Standard Regendach'!$C$30</f>
        <v>0</v>
      </c>
      <c r="D54" s="686">
        <f>'Standard Regendach'!$D$30</f>
        <v>0</v>
      </c>
      <c r="E54" s="1205">
        <f>'Standard Regendach'!$E$30</f>
        <v>1454.9399999999998</v>
      </c>
      <c r="F54" s="1107"/>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s="1" customFormat="1" ht="13.5" thickBot="1" x14ac:dyDescent="0.25">
      <c r="A55" s="1369"/>
      <c r="B55" s="75" t="str">
        <f>'Standard Regendach'!$B$31</f>
        <v>Kleinmaterial</v>
      </c>
      <c r="C55" s="524">
        <f>'Standard Regendach'!$C$31</f>
        <v>0</v>
      </c>
      <c r="D55" s="686">
        <f>'Standard Regendach'!$D$31</f>
        <v>0</v>
      </c>
      <c r="E55" s="1206">
        <f>'Standard Regendach'!$E$31</f>
        <v>800</v>
      </c>
      <c r="F55" s="1107"/>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s="1" customFormat="1" x14ac:dyDescent="0.2">
      <c r="A56" s="1204"/>
      <c r="B56" s="75"/>
      <c r="C56" s="524"/>
      <c r="D56" s="686"/>
      <c r="E56" s="1108">
        <f>SUM(E42:E55)</f>
        <v>43071.446800000005</v>
      </c>
      <c r="F56" s="1107"/>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s="1" customFormat="1" x14ac:dyDescent="0.2">
      <c r="A57" s="40"/>
      <c r="B57" s="21"/>
      <c r="C57" s="47"/>
      <c r="D57" s="1109"/>
      <c r="E57" s="1108"/>
      <c r="F57" s="1107"/>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s="1" customFormat="1" x14ac:dyDescent="0.2">
      <c r="A58" s="1369" t="s">
        <v>608</v>
      </c>
      <c r="B58" s="21" t="str">
        <f>'Standard Regendach'!$B$33</f>
        <v>Eckpfähle 4.5 m 13/15</v>
      </c>
      <c r="C58" s="47">
        <f>'Standard Regendach'!$C$33</f>
        <v>4</v>
      </c>
      <c r="D58" s="1109">
        <f>'Standard Regendach'!$D$33</f>
        <v>69.560999999999993</v>
      </c>
      <c r="E58" s="1110">
        <f>'Standard Regendach'!$E$33</f>
        <v>278.24399999999997</v>
      </c>
      <c r="F58" s="1107"/>
      <c r="G58" s="1207"/>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s="1" customFormat="1" x14ac:dyDescent="0.2">
      <c r="A59" s="1369"/>
      <c r="B59" s="21" t="str">
        <f>'Standard Regendach'!$B$34</f>
        <v>Reihenpfähle 4.5 m 8/10 5m Abstand</v>
      </c>
      <c r="C59" s="47">
        <f>'Standard Regendach'!$C$34</f>
        <v>380</v>
      </c>
      <c r="D59" s="1109">
        <f>'Standard Regendach'!$D$34</f>
        <v>27.434999999999999</v>
      </c>
      <c r="E59" s="1110">
        <f>'Standard Regendach'!$E$34</f>
        <v>10425.299999999999</v>
      </c>
      <c r="F59" s="1107"/>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s="1" customFormat="1" x14ac:dyDescent="0.2">
      <c r="A60" s="1369"/>
      <c r="B60" s="21" t="str">
        <f>'Standard Regendach'!$B$35</f>
        <v>Endpfähle 4.5 m 10/12</v>
      </c>
      <c r="C60" s="47">
        <f>'Standard Regendach'!$C$35</f>
        <v>34</v>
      </c>
      <c r="D60" s="1109">
        <f>'Standard Regendach'!$D$35</f>
        <v>39.53</v>
      </c>
      <c r="E60" s="1110">
        <f>'Standard Regendach'!$E$35</f>
        <v>1344.02</v>
      </c>
      <c r="F60" s="1107"/>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s="1" customFormat="1" x14ac:dyDescent="0.2">
      <c r="A61" s="1369"/>
      <c r="B61" s="21" t="str">
        <f>'Standard Regendach'!$B$36</f>
        <v>Bodenanker</v>
      </c>
      <c r="C61" s="47">
        <f>'Standard Regendach'!$C$36</f>
        <v>82</v>
      </c>
      <c r="D61" s="1109">
        <f>'Standard Regendach'!$D$36</f>
        <v>23.812399999999997</v>
      </c>
      <c r="E61" s="1110">
        <f>'Standard Regendach'!$E$36</f>
        <v>1952.6167999999998</v>
      </c>
      <c r="F61" s="1107"/>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s="1" customFormat="1" ht="13.5" thickBot="1" x14ac:dyDescent="0.25">
      <c r="A62" s="1369"/>
      <c r="B62" s="21" t="str">
        <f>'Standard Regendach'!$B$37</f>
        <v>Anker-Feinlitzseil Ø 9.5mm</v>
      </c>
      <c r="C62" s="47">
        <f>'Standard Regendach'!$C$37</f>
        <v>530</v>
      </c>
      <c r="D62" s="1109">
        <f>'Standard Regendach'!$D$37</f>
        <v>1.5104</v>
      </c>
      <c r="E62" s="1111">
        <f>'Standard Regendach'!$E$37</f>
        <v>800.51199999999994</v>
      </c>
      <c r="F62" s="1107"/>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s="1" customFormat="1" x14ac:dyDescent="0.2">
      <c r="A63" s="40"/>
      <c r="B63" s="21"/>
      <c r="C63" s="47"/>
      <c r="D63" s="1109"/>
      <c r="E63" s="1108">
        <f>SUM(E58:E62)</f>
        <v>14800.692800000001</v>
      </c>
      <c r="F63" s="1107"/>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s="1" customFormat="1" x14ac:dyDescent="0.2">
      <c r="A64" s="40"/>
      <c r="B64" s="21"/>
      <c r="C64" s="662"/>
      <c r="D64" s="1109"/>
      <c r="E64" s="1108"/>
      <c r="F64" s="1107"/>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row>
    <row r="65" spans="1:41" s="1" customFormat="1" x14ac:dyDescent="0.2">
      <c r="A65" s="1369" t="s">
        <v>17</v>
      </c>
      <c r="B65" s="21" t="s">
        <v>34</v>
      </c>
      <c r="C65" s="1113">
        <f>'Standard Hagel'!C35</f>
        <v>40</v>
      </c>
      <c r="D65" s="45">
        <f>'Standard Hagel'!D35</f>
        <v>7.2</v>
      </c>
      <c r="E65" s="46">
        <f>C65*D65</f>
        <v>288</v>
      </c>
      <c r="F65" s="1107">
        <f>E65/E111</f>
        <v>6.8509057599156686E-3</v>
      </c>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row>
    <row r="66" spans="1:41" s="1" customFormat="1" x14ac:dyDescent="0.2">
      <c r="A66" s="1369"/>
      <c r="B66" s="21" t="s">
        <v>18</v>
      </c>
      <c r="C66" s="662"/>
      <c r="D66" s="44"/>
      <c r="E66" s="45">
        <f>'Standard Hagel'!E36</f>
        <v>150</v>
      </c>
      <c r="F66" s="1107">
        <f>E66/E111</f>
        <v>3.5681800832894107E-3</v>
      </c>
      <c r="H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row>
    <row r="67" spans="1:41" s="1" customFormat="1" ht="13.5" thickBot="1" x14ac:dyDescent="0.25">
      <c r="A67" s="1369"/>
      <c r="B67" s="21" t="s">
        <v>161</v>
      </c>
      <c r="C67" s="662"/>
      <c r="D67" s="44"/>
      <c r="E67" s="1114">
        <f>'Standard Hagel'!E37</f>
        <v>500</v>
      </c>
      <c r="F67" s="1107">
        <f>E67/E111</f>
        <v>1.1893933610964703E-2</v>
      </c>
      <c r="H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row>
    <row r="68" spans="1:41" s="1" customFormat="1" x14ac:dyDescent="0.2">
      <c r="A68" s="21"/>
      <c r="B68" s="21"/>
      <c r="C68" s="21"/>
      <c r="D68" s="45"/>
      <c r="E68" s="92">
        <f>SUM(E65:E67)</f>
        <v>938</v>
      </c>
      <c r="F68" s="1106">
        <f>E68/E111</f>
        <v>2.2313019454169782E-2</v>
      </c>
      <c r="H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row>
    <row r="69" spans="1:41" s="1" customFormat="1" x14ac:dyDescent="0.2">
      <c r="A69" s="21"/>
      <c r="B69" s="21"/>
      <c r="C69" s="21"/>
      <c r="D69" s="45"/>
      <c r="E69" s="92"/>
      <c r="F69" s="1107"/>
      <c r="H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row>
    <row r="70" spans="1:41" s="1" customFormat="1" x14ac:dyDescent="0.2">
      <c r="A70" s="21"/>
      <c r="B70" s="21"/>
      <c r="C70" s="21"/>
      <c r="D70" s="45"/>
      <c r="E70" s="92"/>
      <c r="F70" s="413"/>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row>
    <row r="71" spans="1:41" s="78" customFormat="1" ht="18" x14ac:dyDescent="0.25">
      <c r="A71" s="1146" t="s">
        <v>611</v>
      </c>
      <c r="B71" s="1147"/>
      <c r="C71" s="1148"/>
      <c r="D71" s="1149"/>
      <c r="E71" s="1150">
        <f>E68+E15+E9+E28+E35-E40</f>
        <v>37237.203999999998</v>
      </c>
      <c r="F71" s="1151">
        <f>E71/E112</f>
        <v>0.57839535489425076</v>
      </c>
      <c r="H71" s="1140"/>
      <c r="I71" s="1140"/>
      <c r="J71" s="1140"/>
      <c r="K71" s="1140"/>
      <c r="L71" s="1140"/>
      <c r="M71" s="1140"/>
      <c r="N71" s="1140"/>
      <c r="O71" s="1140"/>
      <c r="P71" s="1140"/>
      <c r="Q71" s="1140"/>
      <c r="R71" s="1140"/>
      <c r="S71" s="1140"/>
      <c r="T71" s="1140"/>
      <c r="U71" s="1140"/>
      <c r="V71" s="1140"/>
      <c r="W71" s="1140"/>
      <c r="X71" s="1140"/>
      <c r="Y71" s="1140"/>
      <c r="Z71" s="1140"/>
      <c r="AA71" s="1140"/>
      <c r="AB71" s="1140"/>
      <c r="AC71" s="1140"/>
      <c r="AD71" s="1140"/>
      <c r="AE71" s="1140"/>
      <c r="AF71" s="1140"/>
      <c r="AG71" s="1140"/>
      <c r="AH71" s="1140"/>
      <c r="AI71" s="1140"/>
      <c r="AJ71" s="1140"/>
      <c r="AK71" s="1140"/>
      <c r="AL71" s="1140"/>
      <c r="AM71" s="1140"/>
      <c r="AN71" s="1140"/>
      <c r="AO71" s="1140"/>
    </row>
    <row r="72" spans="1:41" s="78" customFormat="1" ht="18" x14ac:dyDescent="0.25">
      <c r="A72" s="1146" t="s">
        <v>612</v>
      </c>
      <c r="B72" s="1147"/>
      <c r="C72" s="1148"/>
      <c r="D72" s="1149"/>
      <c r="E72" s="1150">
        <f>SUM(E9,E15,E56,E63,E68)</f>
        <v>79384.368600000002</v>
      </c>
      <c r="F72" s="1151"/>
      <c r="H72" s="1140"/>
      <c r="I72" s="1140"/>
      <c r="J72" s="1140"/>
      <c r="K72" s="1140"/>
      <c r="L72" s="1140"/>
      <c r="M72" s="1140"/>
      <c r="N72" s="1140"/>
      <c r="O72" s="1140"/>
      <c r="P72" s="1140"/>
      <c r="Q72" s="1140"/>
      <c r="R72" s="1140"/>
      <c r="S72" s="1140"/>
      <c r="T72" s="1140"/>
      <c r="U72" s="1140"/>
      <c r="V72" s="1140"/>
      <c r="W72" s="1140"/>
      <c r="X72" s="1140"/>
      <c r="Y72" s="1140"/>
      <c r="Z72" s="1140"/>
      <c r="AA72" s="1140"/>
      <c r="AB72" s="1140"/>
      <c r="AC72" s="1140"/>
      <c r="AD72" s="1140"/>
      <c r="AE72" s="1140"/>
      <c r="AF72" s="1140"/>
      <c r="AG72" s="1140"/>
      <c r="AH72" s="1140"/>
      <c r="AI72" s="1140"/>
      <c r="AJ72" s="1140"/>
      <c r="AK72" s="1140"/>
      <c r="AL72" s="1140"/>
      <c r="AM72" s="1140"/>
      <c r="AN72" s="1140"/>
      <c r="AO72" s="1140"/>
    </row>
    <row r="73" spans="1:41" s="1" customFormat="1" x14ac:dyDescent="0.2">
      <c r="A73" s="3"/>
      <c r="C73" s="779" t="s">
        <v>84</v>
      </c>
      <c r="D73" s="917" t="s">
        <v>21</v>
      </c>
      <c r="E73" s="1115" t="s">
        <v>13</v>
      </c>
      <c r="F73" s="1116"/>
      <c r="G73" s="65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row>
    <row r="74" spans="1:41" s="1" customFormat="1" x14ac:dyDescent="0.2">
      <c r="A74" s="40"/>
      <c r="B74" s="21"/>
      <c r="C74" s="39"/>
      <c r="D74" s="45"/>
      <c r="E74" s="46"/>
      <c r="F74" s="163"/>
      <c r="G74" s="65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row>
    <row r="75" spans="1:41" s="1" customFormat="1" x14ac:dyDescent="0.2">
      <c r="A75" s="40" t="s">
        <v>23</v>
      </c>
      <c r="B75" s="21" t="str">
        <f>'Standard Vorgaben'!B131</f>
        <v>Anbaugebläsespritze 500 l</v>
      </c>
      <c r="C75" s="21">
        <f>'Standard Vorgaben'!C142</f>
        <v>3.8</v>
      </c>
      <c r="D75" s="21">
        <f>'Standard Vorgaben'!D142</f>
        <v>23</v>
      </c>
      <c r="E75" s="46">
        <f t="shared" ref="E75:E84" si="3">C75*D75</f>
        <v>87.399999999999991</v>
      </c>
      <c r="F75" s="1117">
        <f>E75/E111</f>
        <v>2.0790595951966301E-3</v>
      </c>
      <c r="G75" s="65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row>
    <row r="76" spans="1:41" s="1" customFormat="1" x14ac:dyDescent="0.2">
      <c r="A76" s="1118"/>
      <c r="B76" s="21" t="str">
        <f>'Standard Vorgaben'!B143</f>
        <v>Kreiselegge mit Packerwalze, 3 m</v>
      </c>
      <c r="C76" s="39">
        <f>'Standard Vorgaben'!C143</f>
        <v>1.8</v>
      </c>
      <c r="D76" s="39">
        <f>'Standard Vorgaben'!D143</f>
        <v>101</v>
      </c>
      <c r="E76" s="46">
        <f t="shared" si="3"/>
        <v>181.8</v>
      </c>
      <c r="F76" s="1117">
        <f>E76/E111</f>
        <v>4.3246342609467667E-3</v>
      </c>
      <c r="G76" s="65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row>
    <row r="77" spans="1:41" s="1" customFormat="1" x14ac:dyDescent="0.2">
      <c r="A77" s="21"/>
      <c r="B77" s="21" t="str">
        <f>'Standard Vorgaben'!B144</f>
        <v>Sämaschine 3 m</v>
      </c>
      <c r="C77" s="39">
        <f>'Standard Vorgaben'!C144</f>
        <v>1.6</v>
      </c>
      <c r="D77" s="39">
        <f>'Standard Vorgaben'!D144</f>
        <v>90</v>
      </c>
      <c r="E77" s="46">
        <f t="shared" si="3"/>
        <v>144</v>
      </c>
      <c r="F77" s="1117">
        <f>E77/E111</f>
        <v>3.4254528799578343E-3</v>
      </c>
      <c r="G77" s="65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row>
    <row r="78" spans="1:41" s="1" customFormat="1" x14ac:dyDescent="0.2">
      <c r="A78" s="21"/>
      <c r="B78" s="21" t="str">
        <f>'Standard Vorgaben'!B145</f>
        <v>Pneuwagen 2achsig, 3 t</v>
      </c>
      <c r="C78" s="719">
        <v>15</v>
      </c>
      <c r="D78" s="113">
        <f>'Standard Vorgaben'!D145</f>
        <v>15</v>
      </c>
      <c r="E78" s="46">
        <f t="shared" si="3"/>
        <v>225</v>
      </c>
      <c r="F78" s="1117">
        <f>E78/E111</f>
        <v>5.3522701249341161E-3</v>
      </c>
      <c r="G78" s="65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row>
    <row r="79" spans="1:41" s="1" customFormat="1" x14ac:dyDescent="0.2">
      <c r="A79" s="21"/>
      <c r="B79" s="171" t="str">
        <f>'Standard Vorgaben'!B146</f>
        <v>Pneuwagen 2achsig, 5 t</v>
      </c>
      <c r="C79" s="39">
        <f>'Standard Hagel'!C41</f>
        <v>20</v>
      </c>
      <c r="D79" s="113">
        <f>'Standard Vorgaben'!D146</f>
        <v>25</v>
      </c>
      <c r="E79" s="46">
        <f t="shared" si="3"/>
        <v>500</v>
      </c>
      <c r="F79" s="1117">
        <f>E79/E111</f>
        <v>1.1893933610964703E-2</v>
      </c>
      <c r="G79" s="65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row>
    <row r="80" spans="1:41" s="1" customFormat="1" x14ac:dyDescent="0.2">
      <c r="A80" s="21"/>
      <c r="B80" s="171" t="str">
        <f>'Standard Vorgaben'!B151</f>
        <v>Hubstapler, Heckanbau, Kippgabel, Seitenschieber, 3 m Hubhöhe</v>
      </c>
      <c r="C80" s="39">
        <f>'Standard Hagel'!C42</f>
        <v>20</v>
      </c>
      <c r="D80" s="113">
        <f>'Standard Vorgaben'!D151</f>
        <v>17.5</v>
      </c>
      <c r="E80" s="46">
        <f t="shared" si="3"/>
        <v>350</v>
      </c>
      <c r="F80" s="1117">
        <f>E80/E111</f>
        <v>8.3257535276752923E-3</v>
      </c>
      <c r="G80" s="65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row>
    <row r="81" spans="1:35" s="1" customFormat="1" x14ac:dyDescent="0.2">
      <c r="A81" s="21"/>
      <c r="B81" s="21" t="s">
        <v>564</v>
      </c>
      <c r="C81" s="719">
        <v>20</v>
      </c>
      <c r="D81" s="45">
        <f>'Standard Vorgaben'!D129</f>
        <v>41</v>
      </c>
      <c r="E81" s="46">
        <f t="shared" si="3"/>
        <v>820</v>
      </c>
      <c r="F81" s="1117">
        <f>E81/E111</f>
        <v>1.9506051121982112E-2</v>
      </c>
      <c r="G81" s="65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row>
    <row r="82" spans="1:35" s="1" customFormat="1" ht="13.5" thickBot="1" x14ac:dyDescent="0.25">
      <c r="A82" s="21"/>
      <c r="B82" s="21" t="s">
        <v>519</v>
      </c>
      <c r="C82" s="1119">
        <f>SUM(C75:C81)*0.1</f>
        <v>8.2200000000000006</v>
      </c>
      <c r="D82" s="45">
        <f>'Standard Vorgaben'!D129</f>
        <v>41</v>
      </c>
      <c r="E82" s="46">
        <f t="shared" si="3"/>
        <v>337.02000000000004</v>
      </c>
      <c r="F82" s="1117">
        <f>E82/E111</f>
        <v>8.0169870111346502E-3</v>
      </c>
      <c r="G82" s="65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row>
    <row r="83" spans="1:35" s="1" customFormat="1" x14ac:dyDescent="0.2">
      <c r="A83" s="40" t="s">
        <v>565</v>
      </c>
      <c r="B83" s="98" t="str">
        <f>'Standard Vorgaben'!B129</f>
        <v>Obstbautraktor 4-Rad</v>
      </c>
      <c r="C83" s="1120">
        <f>SUM(C75:C82)</f>
        <v>90.42</v>
      </c>
      <c r="D83" s="45">
        <f>'Standard Vorgaben'!D129</f>
        <v>41</v>
      </c>
      <c r="E83" s="94">
        <f t="shared" si="3"/>
        <v>3707.2200000000003</v>
      </c>
      <c r="F83" s="1117">
        <f>E83/E111</f>
        <v>8.8186857122481144E-2</v>
      </c>
      <c r="G83" s="65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row>
    <row r="84" spans="1:35" s="1" customFormat="1" x14ac:dyDescent="0.2">
      <c r="A84" s="40"/>
      <c r="B84" s="21" t="s">
        <v>384</v>
      </c>
      <c r="C84" s="39">
        <f>'Standard Hagel'!C40</f>
        <v>15</v>
      </c>
      <c r="D84" s="113">
        <f>'Standard Vorgaben'!D150</f>
        <v>150</v>
      </c>
      <c r="E84" s="46">
        <f t="shared" si="3"/>
        <v>2250</v>
      </c>
      <c r="F84" s="1117">
        <f>E84/E111</f>
        <v>5.3522701249341165E-2</v>
      </c>
      <c r="G84" s="65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row>
    <row r="85" spans="1:35" s="1" customFormat="1" ht="13.5" thickBot="1" x14ac:dyDescent="0.25">
      <c r="A85" s="21"/>
      <c r="B85" s="21" t="s">
        <v>25</v>
      </c>
      <c r="C85" s="39"/>
      <c r="D85" s="45"/>
      <c r="E85" s="160">
        <f>'Standard Vorgaben'!D137</f>
        <v>500</v>
      </c>
      <c r="F85" s="1117">
        <f>E85/E111</f>
        <v>1.1893933610964703E-2</v>
      </c>
      <c r="G85" s="65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row>
    <row r="86" spans="1:35" s="1" customFormat="1" x14ac:dyDescent="0.2">
      <c r="A86" s="40" t="s">
        <v>26</v>
      </c>
      <c r="B86" s="21"/>
      <c r="C86" s="39"/>
      <c r="D86" s="45"/>
      <c r="E86" s="94">
        <f>SUM(E75:E85)</f>
        <v>9102.44</v>
      </c>
      <c r="F86" s="1106">
        <f>E86/E111</f>
        <v>0.21652763411557913</v>
      </c>
      <c r="G86" s="65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row>
    <row r="87" spans="1:35" s="1" customFormat="1" x14ac:dyDescent="0.2">
      <c r="A87" s="21"/>
      <c r="B87" s="21"/>
      <c r="C87" s="39"/>
      <c r="D87" s="45"/>
      <c r="E87" s="46"/>
      <c r="F87" s="1117"/>
      <c r="G87" s="65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row>
    <row r="88" spans="1:35" s="1" customFormat="1" x14ac:dyDescent="0.2">
      <c r="C88" s="35"/>
      <c r="D88" s="48"/>
      <c r="E88" s="46"/>
      <c r="F88" s="103"/>
      <c r="G88" s="65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row>
    <row r="89" spans="1:35" s="1" customFormat="1" x14ac:dyDescent="0.2">
      <c r="A89" s="21"/>
      <c r="B89" s="21"/>
      <c r="C89" s="779" t="s">
        <v>27</v>
      </c>
      <c r="D89" s="917" t="s">
        <v>21</v>
      </c>
      <c r="E89" s="1115" t="s">
        <v>22</v>
      </c>
      <c r="F89" s="1121"/>
      <c r="G89" s="65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row>
    <row r="90" spans="1:35" s="1" customFormat="1" x14ac:dyDescent="0.2">
      <c r="A90" s="40" t="s">
        <v>28</v>
      </c>
      <c r="B90" s="21" t="s">
        <v>189</v>
      </c>
      <c r="C90" s="39">
        <f>C75</f>
        <v>3.8</v>
      </c>
      <c r="D90" s="45">
        <f>'Standard Vorgaben'!$C$36</f>
        <v>32.700000000000003</v>
      </c>
      <c r="E90" s="46">
        <f t="shared" ref="E90:E105" si="4">C90*D90</f>
        <v>124.26</v>
      </c>
      <c r="F90" s="1117">
        <f>E90/E111</f>
        <v>2.9558803809969481E-3</v>
      </c>
      <c r="G90" s="65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row>
    <row r="91" spans="1:35" s="1" customFormat="1" x14ac:dyDescent="0.2">
      <c r="A91" s="21"/>
      <c r="B91" s="21" t="s">
        <v>190</v>
      </c>
      <c r="C91" s="39">
        <f>C76</f>
        <v>1.8</v>
      </c>
      <c r="D91" s="45">
        <f>'Standard Vorgaben'!$C$36</f>
        <v>32.700000000000003</v>
      </c>
      <c r="E91" s="46">
        <f t="shared" si="4"/>
        <v>58.860000000000007</v>
      </c>
      <c r="F91" s="1117">
        <f>E91/E111</f>
        <v>1.400153864682765E-3</v>
      </c>
      <c r="G91" s="65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row>
    <row r="92" spans="1:35" s="1" customFormat="1" x14ac:dyDescent="0.2">
      <c r="A92" s="21"/>
      <c r="B92" s="21" t="s">
        <v>29</v>
      </c>
      <c r="C92" s="719">
        <v>0</v>
      </c>
      <c r="D92" s="45">
        <f>'Standard Vorgaben'!$C$36</f>
        <v>32.700000000000003</v>
      </c>
      <c r="E92" s="46">
        <f t="shared" si="4"/>
        <v>0</v>
      </c>
      <c r="F92" s="1117">
        <f>E92/E111</f>
        <v>0</v>
      </c>
      <c r="G92" s="65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row>
    <row r="93" spans="1:35" s="1" customFormat="1" x14ac:dyDescent="0.2">
      <c r="A93" s="21"/>
      <c r="B93" s="21" t="s">
        <v>30</v>
      </c>
      <c r="C93" s="39">
        <f>'Standard Hagel'!C46</f>
        <v>1</v>
      </c>
      <c r="D93" s="45">
        <f>'Standard Vorgaben'!$C$36</f>
        <v>32.700000000000003</v>
      </c>
      <c r="E93" s="46">
        <f t="shared" si="4"/>
        <v>32.700000000000003</v>
      </c>
      <c r="F93" s="1117">
        <f>E93/E111</f>
        <v>7.7786325815709168E-4</v>
      </c>
      <c r="G93" s="65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row>
    <row r="94" spans="1:35" s="1" customFormat="1" x14ac:dyDescent="0.2">
      <c r="A94" s="21"/>
      <c r="B94" s="21" t="s">
        <v>31</v>
      </c>
      <c r="C94" s="39">
        <f>'Standard Hagel'!C47</f>
        <v>7.5</v>
      </c>
      <c r="D94" s="45">
        <f>'Standard Vorgaben'!$C$36</f>
        <v>32.700000000000003</v>
      </c>
      <c r="E94" s="46">
        <f t="shared" si="4"/>
        <v>245.25000000000003</v>
      </c>
      <c r="F94" s="1117">
        <f>E94/E111</f>
        <v>5.8339744361781878E-3</v>
      </c>
      <c r="G94" s="65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row>
    <row r="95" spans="1:35" s="1" customFormat="1" x14ac:dyDescent="0.2">
      <c r="A95" s="1122"/>
      <c r="B95" s="21" t="s">
        <v>32</v>
      </c>
      <c r="C95" s="39">
        <f>'Standard Hagel'!C48</f>
        <v>75</v>
      </c>
      <c r="D95" s="45">
        <f>'Standard Vorgaben'!$C$36</f>
        <v>32.700000000000003</v>
      </c>
      <c r="E95" s="46">
        <f t="shared" si="4"/>
        <v>2452.5</v>
      </c>
      <c r="F95" s="1117">
        <f>E95/E111</f>
        <v>5.8339744361781867E-2</v>
      </c>
      <c r="G95" s="65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row>
    <row r="96" spans="1:35" s="1" customFormat="1" x14ac:dyDescent="0.2">
      <c r="A96" s="1122"/>
      <c r="B96" s="21" t="s">
        <v>162</v>
      </c>
      <c r="C96" s="39">
        <f>'Standard Hagel'!C49</f>
        <v>10</v>
      </c>
      <c r="D96" s="45">
        <f>'Standard Vorgaben'!$C$36</f>
        <v>32.700000000000003</v>
      </c>
      <c r="E96" s="46">
        <f t="shared" si="4"/>
        <v>327</v>
      </c>
      <c r="F96" s="1117">
        <f>E96/$E$111</f>
        <v>7.7786325815709162E-3</v>
      </c>
      <c r="G96" s="65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row>
    <row r="97" spans="1:35" s="1" customFormat="1" x14ac:dyDescent="0.2">
      <c r="A97" s="1122"/>
      <c r="B97" s="21" t="s">
        <v>473</v>
      </c>
      <c r="C97" s="39">
        <f>'Standard Hagel'!C50</f>
        <v>70</v>
      </c>
      <c r="D97" s="45">
        <f>'Standard Vorgaben'!$C$36</f>
        <v>32.700000000000003</v>
      </c>
      <c r="E97" s="46">
        <f t="shared" si="4"/>
        <v>2289</v>
      </c>
      <c r="F97" s="1117">
        <f>E97/$E$111</f>
        <v>5.4450428070996412E-2</v>
      </c>
      <c r="G97" s="65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row>
    <row r="98" spans="1:35" s="1" customFormat="1" x14ac:dyDescent="0.2">
      <c r="A98" s="21"/>
      <c r="B98" s="21" t="s">
        <v>34</v>
      </c>
      <c r="C98" s="39">
        <f>C77</f>
        <v>1.6</v>
      </c>
      <c r="D98" s="45">
        <f>'Standard Vorgaben'!$C$36</f>
        <v>32.700000000000003</v>
      </c>
      <c r="E98" s="46">
        <f t="shared" si="4"/>
        <v>52.320000000000007</v>
      </c>
      <c r="F98" s="1117">
        <f>E98/E111</f>
        <v>1.2445812130513468E-3</v>
      </c>
      <c r="G98" s="65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row>
    <row r="99" spans="1:35" s="1" customFormat="1" x14ac:dyDescent="0.2">
      <c r="A99" s="21"/>
      <c r="B99" s="21" t="s">
        <v>386</v>
      </c>
      <c r="C99" s="39">
        <f>'Standard Hagel'!C53</f>
        <v>15</v>
      </c>
      <c r="D99" s="45">
        <f>'Standard Vorgaben'!$C$36</f>
        <v>32.700000000000003</v>
      </c>
      <c r="E99" s="46">
        <f t="shared" si="4"/>
        <v>490.50000000000006</v>
      </c>
      <c r="F99" s="1117">
        <f>E99/E111</f>
        <v>1.1667948872356376E-2</v>
      </c>
      <c r="G99" s="65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row>
    <row r="100" spans="1:35" s="1" customFormat="1" x14ac:dyDescent="0.2">
      <c r="A100" s="21"/>
      <c r="B100" s="21" t="s">
        <v>474</v>
      </c>
      <c r="C100" s="39">
        <f>'Standard Hagel'!C54</f>
        <v>100</v>
      </c>
      <c r="D100" s="45">
        <f>'Standard Vorgaben'!$C$36</f>
        <v>32.700000000000003</v>
      </c>
      <c r="E100" s="46">
        <f t="shared" si="4"/>
        <v>3270.0000000000005</v>
      </c>
      <c r="F100" s="1117">
        <f>E100/E111</f>
        <v>7.778632581570917E-2</v>
      </c>
      <c r="G100" s="65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row>
    <row r="101" spans="1:35" s="1" customFormat="1" x14ac:dyDescent="0.2">
      <c r="A101" s="21"/>
      <c r="B101" s="21" t="s">
        <v>387</v>
      </c>
      <c r="C101" s="39">
        <f>'Standard Hagel'!C55</f>
        <v>175</v>
      </c>
      <c r="D101" s="45">
        <f>'Standard Vorgaben'!$C$36</f>
        <v>32.700000000000003</v>
      </c>
      <c r="E101" s="46">
        <f t="shared" si="4"/>
        <v>5722.5000000000009</v>
      </c>
      <c r="F101" s="1117">
        <f>E101/$E$111</f>
        <v>0.13612607017749104</v>
      </c>
      <c r="G101" s="65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row>
    <row r="102" spans="1:35" s="1" customFormat="1" x14ac:dyDescent="0.2">
      <c r="A102" s="21"/>
      <c r="B102" s="21" t="s">
        <v>610</v>
      </c>
      <c r="C102" s="39">
        <f>'Standard Regendach'!C60</f>
        <v>150</v>
      </c>
      <c r="D102" s="45">
        <f>'Standard Vorgaben'!$C$36</f>
        <v>32.700000000000003</v>
      </c>
      <c r="E102" s="46">
        <f t="shared" si="4"/>
        <v>4905</v>
      </c>
      <c r="F102" s="1117">
        <f>E102/$E$111</f>
        <v>0.11667948872356373</v>
      </c>
      <c r="G102" s="65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row>
    <row r="103" spans="1:35" s="1" customFormat="1" x14ac:dyDescent="0.2">
      <c r="A103" s="21"/>
      <c r="B103" s="21" t="s">
        <v>623</v>
      </c>
      <c r="C103" s="39">
        <f>'Standard Hagel'!C56</f>
        <v>29</v>
      </c>
      <c r="D103" s="45">
        <f>'Standard Vorgaben'!$C$36</f>
        <v>32.700000000000003</v>
      </c>
      <c r="E103" s="46">
        <f t="shared" si="4"/>
        <v>948.30000000000007</v>
      </c>
      <c r="F103" s="1117">
        <f>E103/$E$111</f>
        <v>2.2558034486555658E-2</v>
      </c>
      <c r="G103" s="65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row>
    <row r="104" spans="1:35" s="1" customFormat="1" x14ac:dyDescent="0.2">
      <c r="A104" s="21"/>
      <c r="B104" s="21" t="s">
        <v>613</v>
      </c>
      <c r="C104" s="39">
        <f>'Standard Regendach'!C61</f>
        <v>26.5</v>
      </c>
      <c r="D104" s="45">
        <f>'Standard Vorgaben'!$C$36</f>
        <v>32.700000000000003</v>
      </c>
      <c r="E104" s="46">
        <f t="shared" si="4"/>
        <v>866.55000000000007</v>
      </c>
      <c r="F104" s="1117">
        <f>E104/$E$111</f>
        <v>2.0613376341162927E-2</v>
      </c>
      <c r="G104" s="65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row>
    <row r="105" spans="1:35" s="1" customFormat="1" x14ac:dyDescent="0.2">
      <c r="A105" s="21"/>
      <c r="B105" s="21" t="s">
        <v>635</v>
      </c>
      <c r="C105" s="39">
        <f>SUM(C90:C101,C103)*0.1</f>
        <v>48.97</v>
      </c>
      <c r="D105" s="45">
        <f>'Standard Vorgaben'!$C$32</f>
        <v>41.4</v>
      </c>
      <c r="E105" s="46">
        <f t="shared" si="4"/>
        <v>2027.3579999999999</v>
      </c>
      <c r="F105" s="1117">
        <f>E105/E111</f>
        <v>4.8226522915316358E-2</v>
      </c>
      <c r="G105" s="65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row>
    <row r="106" spans="1:35" s="1" customFormat="1" x14ac:dyDescent="0.2">
      <c r="A106" s="98" t="s">
        <v>372</v>
      </c>
      <c r="B106" s="21"/>
      <c r="C106" s="1123">
        <f>SUM(C90:C101,C103,C105)</f>
        <v>538.66999999999996</v>
      </c>
      <c r="D106" s="45"/>
      <c r="E106" s="94">
        <f>SUM(E90:E101,E103,E105)</f>
        <v>18040.547999999999</v>
      </c>
      <c r="F106" s="1124">
        <f>E106/E111</f>
        <v>0.4291461604348441</v>
      </c>
      <c r="G106" s="65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row>
    <row r="107" spans="1:35" s="1" customFormat="1" x14ac:dyDescent="0.2">
      <c r="A107" s="98" t="s">
        <v>431</v>
      </c>
      <c r="B107" s="21"/>
      <c r="C107" s="1123">
        <f>SUM(C90:C100,C102,C104:C105)</f>
        <v>511.16999999999996</v>
      </c>
      <c r="D107" s="45"/>
      <c r="E107" s="94">
        <f>SUM(E90:E100,E102,E104:E105)</f>
        <v>17141.297999999999</v>
      </c>
      <c r="F107" s="1124">
        <f>E107/E111</f>
        <v>0.40775492083552406</v>
      </c>
      <c r="G107" s="65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row>
    <row r="108" spans="1:35" s="1130" customFormat="1" ht="18" x14ac:dyDescent="0.25">
      <c r="A108" s="1146" t="s">
        <v>614</v>
      </c>
      <c r="B108" s="1152"/>
      <c r="C108" s="1153"/>
      <c r="D108" s="1154"/>
      <c r="E108" s="1150">
        <f>E106+E86</f>
        <v>27142.987999999998</v>
      </c>
      <c r="F108" s="1151"/>
      <c r="G108" s="1136"/>
      <c r="H108" s="1139"/>
      <c r="I108" s="1139"/>
      <c r="J108" s="1139"/>
      <c r="K108" s="1139"/>
      <c r="L108" s="1139"/>
      <c r="M108" s="1139"/>
      <c r="N108" s="1139"/>
      <c r="O108" s="1139"/>
      <c r="P108" s="1139"/>
      <c r="Q108" s="1139"/>
      <c r="R108" s="1139"/>
      <c r="S108" s="1139"/>
      <c r="T108" s="1139"/>
      <c r="U108" s="1139"/>
      <c r="V108" s="1139"/>
      <c r="W108" s="1139"/>
      <c r="X108" s="1139"/>
      <c r="Y108" s="1139"/>
      <c r="Z108" s="1139"/>
      <c r="AA108" s="1139"/>
      <c r="AB108" s="1139"/>
      <c r="AC108" s="1139"/>
      <c r="AD108" s="1139"/>
      <c r="AE108" s="1139"/>
      <c r="AF108" s="1139"/>
      <c r="AG108" s="1139"/>
      <c r="AH108" s="1139"/>
      <c r="AI108" s="1139"/>
    </row>
    <row r="109" spans="1:35" s="1130" customFormat="1" ht="18" x14ac:dyDescent="0.25">
      <c r="A109" s="1146" t="s">
        <v>615</v>
      </c>
      <c r="B109" s="1152"/>
      <c r="C109" s="1153"/>
      <c r="D109" s="1154"/>
      <c r="E109" s="1150">
        <f>E107+E86</f>
        <v>26243.737999999998</v>
      </c>
      <c r="F109" s="1151"/>
      <c r="G109" s="1136"/>
      <c r="H109" s="1139"/>
      <c r="I109" s="1139"/>
      <c r="J109" s="1139"/>
      <c r="K109" s="1139"/>
      <c r="L109" s="1139"/>
      <c r="M109" s="1139"/>
      <c r="N109" s="1139"/>
      <c r="O109" s="1139"/>
      <c r="P109" s="1139"/>
      <c r="Q109" s="1139"/>
      <c r="R109" s="1139"/>
      <c r="S109" s="1139"/>
      <c r="T109" s="1139"/>
      <c r="U109" s="1139"/>
      <c r="V109" s="1139"/>
      <c r="W109" s="1139"/>
      <c r="X109" s="1139"/>
      <c r="Y109" s="1139"/>
      <c r="Z109" s="1139"/>
      <c r="AA109" s="1139"/>
      <c r="AB109" s="1139"/>
      <c r="AC109" s="1139"/>
      <c r="AD109" s="1139"/>
      <c r="AE109" s="1139"/>
      <c r="AF109" s="1139"/>
      <c r="AG109" s="1139"/>
      <c r="AH109" s="1139"/>
      <c r="AI109" s="1139"/>
    </row>
    <row r="110" spans="1:35" s="22" customFormat="1" ht="15.75" x14ac:dyDescent="0.25">
      <c r="A110" s="340"/>
      <c r="B110" s="346"/>
      <c r="C110" s="347"/>
      <c r="D110" s="348"/>
      <c r="E110" s="377"/>
      <c r="F110" s="349"/>
      <c r="G110" s="651"/>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row>
    <row r="111" spans="1:35" s="116" customFormat="1" ht="20.25" x14ac:dyDescent="0.3">
      <c r="A111" s="1155" t="s">
        <v>624</v>
      </c>
      <c r="B111" s="1152"/>
      <c r="C111" s="1153"/>
      <c r="D111" s="1154"/>
      <c r="E111" s="1156">
        <f>E9+E15+E68+E40+SUM(E75:E79,E82,E83:E85,E90:E98,E105)</f>
        <v>42038.237000000001</v>
      </c>
      <c r="F111" s="1157">
        <f>E111/E111</f>
        <v>1</v>
      </c>
      <c r="G111" s="651"/>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row>
    <row r="112" spans="1:35" s="1" customFormat="1" ht="26.25" customHeight="1" x14ac:dyDescent="0.3">
      <c r="A112" s="1155" t="s">
        <v>616</v>
      </c>
      <c r="B112" s="1152"/>
      <c r="C112" s="1153"/>
      <c r="D112" s="1154"/>
      <c r="E112" s="1156">
        <f>E71+E108</f>
        <v>64380.191999999995</v>
      </c>
      <c r="F112" s="1157">
        <f>E112/E112</f>
        <v>1</v>
      </c>
      <c r="G112" s="65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row>
    <row r="113" spans="1:35" s="22" customFormat="1" ht="20.25" customHeight="1" x14ac:dyDescent="0.3">
      <c r="A113" s="1155" t="s">
        <v>617</v>
      </c>
      <c r="B113" s="1152"/>
      <c r="C113" s="1153"/>
      <c r="D113" s="1154"/>
      <c r="E113" s="1156">
        <f>E112-E111</f>
        <v>22341.954999999994</v>
      </c>
      <c r="F113" s="1157">
        <f>E113/E113</f>
        <v>1</v>
      </c>
      <c r="G113" s="651"/>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row>
    <row r="114" spans="1:35" s="22" customFormat="1" ht="20.25" customHeight="1" x14ac:dyDescent="0.3">
      <c r="A114" s="1155" t="s">
        <v>618</v>
      </c>
      <c r="B114" s="1152"/>
      <c r="C114" s="1153"/>
      <c r="D114" s="1154"/>
      <c r="E114" s="1156">
        <f>SUM(E72+E109)</f>
        <v>105628.1066</v>
      </c>
      <c r="F114" s="1157"/>
      <c r="G114" s="651"/>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row>
    <row r="115" spans="1:35" s="22" customFormat="1" ht="20.25" customHeight="1" x14ac:dyDescent="0.3">
      <c r="A115" s="1155" t="s">
        <v>619</v>
      </c>
      <c r="B115" s="1152"/>
      <c r="C115" s="1153"/>
      <c r="D115" s="1154"/>
      <c r="E115" s="1208">
        <f>E114-E111</f>
        <v>63589.869599999998</v>
      </c>
      <c r="F115" s="1157"/>
      <c r="G115" s="651"/>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row>
    <row r="116" spans="1:35" s="1" customFormat="1" ht="20.85" customHeight="1" x14ac:dyDescent="0.2">
      <c r="A116"/>
      <c r="B116" s="15"/>
      <c r="C116" s="11"/>
      <c r="D116" s="11"/>
      <c r="E116" s="11"/>
      <c r="F116"/>
      <c r="G116" s="65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row>
    <row r="117" spans="1:35" s="1" customFormat="1" ht="19.5" customHeight="1" x14ac:dyDescent="0.25">
      <c r="A117" s="351" t="s">
        <v>14</v>
      </c>
      <c r="B117" s="15"/>
      <c r="C117" s="110" t="s">
        <v>11</v>
      </c>
      <c r="D117" s="110" t="s">
        <v>12</v>
      </c>
      <c r="E117" s="110" t="s">
        <v>13</v>
      </c>
      <c r="F117" s="37"/>
      <c r="G117" s="65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row>
    <row r="118" spans="1:35" s="1" customFormat="1" ht="15" customHeight="1" x14ac:dyDescent="0.2">
      <c r="A118"/>
      <c r="B118" s="1" t="s">
        <v>100</v>
      </c>
      <c r="C118" s="339">
        <f>('Standard Vorgaben'!B18+'Standard Vorgaben'!B19)*2-2*6</f>
        <v>398</v>
      </c>
      <c r="D118" s="48">
        <f>'Standard Vorgaben'!D163</f>
        <v>6.9</v>
      </c>
      <c r="E118" s="33">
        <f t="shared" ref="E118:E124" si="5">C118*D118</f>
        <v>2746.2000000000003</v>
      </c>
      <c r="F118" s="1125">
        <f>E118/E137</f>
        <v>0.43390146866899176</v>
      </c>
      <c r="G118" s="65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row>
    <row r="119" spans="1:35" s="1" customFormat="1" ht="15" customHeight="1" x14ac:dyDescent="0.2">
      <c r="A119"/>
      <c r="B119" s="1" t="s">
        <v>369</v>
      </c>
      <c r="C119" s="112">
        <f>(C118/4)-(C118/4/5)</f>
        <v>79.599999999999994</v>
      </c>
      <c r="D119" s="48">
        <f>'Standard Vorgaben'!D164</f>
        <v>9.6</v>
      </c>
      <c r="E119" s="33">
        <f t="shared" si="5"/>
        <v>764.16</v>
      </c>
      <c r="F119" s="1125">
        <f>E119/E137</f>
        <v>0.12073779997745855</v>
      </c>
      <c r="G119" s="65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row>
    <row r="120" spans="1:35" s="1" customFormat="1" ht="15" customHeight="1" x14ac:dyDescent="0.2">
      <c r="A120"/>
      <c r="B120" s="1" t="s">
        <v>370</v>
      </c>
      <c r="C120" s="112">
        <f>(C118/4)/5</f>
        <v>19.899999999999999</v>
      </c>
      <c r="D120" s="48">
        <f>'Standard Vorgaben'!D165</f>
        <v>15.5</v>
      </c>
      <c r="E120" s="33">
        <f t="shared" si="5"/>
        <v>308.45</v>
      </c>
      <c r="F120" s="1125">
        <f>E120/E137</f>
        <v>4.8735309886734572E-2</v>
      </c>
      <c r="G120" s="65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row>
    <row r="121" spans="1:35" s="1" customFormat="1" ht="15" customHeight="1" x14ac:dyDescent="0.2">
      <c r="A121"/>
      <c r="B121" s="1" t="s">
        <v>370</v>
      </c>
      <c r="C121" s="112">
        <f>'Standard Vorgaben'!C166</f>
        <v>6</v>
      </c>
      <c r="D121" s="48">
        <f>'Standard Vorgaben'!D166</f>
        <v>19.8</v>
      </c>
      <c r="E121" s="33">
        <f t="shared" si="5"/>
        <v>118.80000000000001</v>
      </c>
      <c r="F121" s="1125">
        <f>E121/E137</f>
        <v>1.8770480838204144E-2</v>
      </c>
      <c r="G121" s="65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row>
    <row r="122" spans="1:35" s="1" customFormat="1" ht="15" customHeight="1" x14ac:dyDescent="0.2">
      <c r="A122"/>
      <c r="B122" s="1" t="s">
        <v>15</v>
      </c>
      <c r="C122" s="112">
        <f>'Standard Vorgaben'!C167</f>
        <v>2</v>
      </c>
      <c r="D122" s="48">
        <f>'Standard Vorgaben'!D167</f>
        <v>200</v>
      </c>
      <c r="E122" s="33">
        <f t="shared" si="5"/>
        <v>400</v>
      </c>
      <c r="F122" s="1125">
        <f>E122/E137</f>
        <v>6.3200272182505526E-2</v>
      </c>
      <c r="G122" s="65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row>
    <row r="123" spans="1:35" s="1" customFormat="1" ht="15" customHeight="1" x14ac:dyDescent="0.2">
      <c r="A123"/>
      <c r="B123" s="1" t="str">
        <f>'Standard Vorgaben'!B168</f>
        <v>Spanndraht 3mm</v>
      </c>
      <c r="C123" s="336">
        <f>C118/18</f>
        <v>22.111111111111111</v>
      </c>
      <c r="D123" s="48">
        <f>'Standard Vorgaben'!D168</f>
        <v>4.0999999999999996</v>
      </c>
      <c r="E123" s="46">
        <f t="shared" si="5"/>
        <v>90.655555555555551</v>
      </c>
      <c r="F123" s="1125">
        <f>E123/E136</f>
        <v>3.381408263914791E-2</v>
      </c>
      <c r="G123" s="65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row>
    <row r="124" spans="1:35" s="1" customFormat="1" ht="15" customHeight="1" x14ac:dyDescent="0.2">
      <c r="A124"/>
      <c r="B124" s="1" t="s">
        <v>101</v>
      </c>
      <c r="C124" s="336">
        <f>'Standard Vorgaben'!C169</f>
        <v>3</v>
      </c>
      <c r="D124" s="48">
        <f>'Standard Vorgaben'!D169</f>
        <v>11.95</v>
      </c>
      <c r="E124" s="46">
        <f t="shared" si="5"/>
        <v>35.849999999999994</v>
      </c>
      <c r="F124" s="1125">
        <f>E124/E137</f>
        <v>5.6643243943570575E-3</v>
      </c>
      <c r="G124" s="65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row>
    <row r="125" spans="1:35" s="1" customFormat="1" ht="15" customHeight="1" x14ac:dyDescent="0.2">
      <c r="A125"/>
      <c r="C125" s="1126"/>
      <c r="D125" s="48"/>
      <c r="E125" s="43">
        <f>SUM(E118:E124)</f>
        <v>4464.1155555555561</v>
      </c>
      <c r="F125" s="1125">
        <f>E125/E137</f>
        <v>0.70533329541317002</v>
      </c>
      <c r="G125" s="65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row>
    <row r="126" spans="1:35" s="1" customFormat="1" ht="15" customHeight="1" thickBot="1" x14ac:dyDescent="0.25">
      <c r="A126"/>
      <c r="B126" s="1" t="s">
        <v>570</v>
      </c>
      <c r="C126" s="112"/>
      <c r="D126" s="81">
        <f>'Standard Vorgaben'!D170</f>
        <v>0.25</v>
      </c>
      <c r="E126" s="652">
        <f>E125*D126*(-1)</f>
        <v>-1116.028888888889</v>
      </c>
      <c r="F126" s="1125">
        <f>E126/$E$137</f>
        <v>-0.17633332385329251</v>
      </c>
      <c r="G126" s="65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row>
    <row r="127" spans="1:35" s="1" customFormat="1" ht="15" customHeight="1" x14ac:dyDescent="0.2">
      <c r="A127"/>
      <c r="C127" s="112"/>
      <c r="D127" s="68"/>
      <c r="E127" s="94">
        <f>SUM(E125:E126)</f>
        <v>3348.086666666667</v>
      </c>
      <c r="F127" s="1127">
        <f>E127/$E$137</f>
        <v>0.52899997155987755</v>
      </c>
      <c r="G127" s="65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row>
    <row r="128" spans="1:35" s="1" customFormat="1" ht="15" customHeight="1" x14ac:dyDescent="0.2">
      <c r="B128" s="1" t="s">
        <v>103</v>
      </c>
      <c r="C128" s="112"/>
      <c r="D128" s="81"/>
      <c r="E128" s="94">
        <f>'Standard Vorgaben'!E172</f>
        <v>300</v>
      </c>
      <c r="F128" s="1127">
        <f>E128/$E$137</f>
        <v>4.7400204136879148E-2</v>
      </c>
      <c r="G128" s="65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row>
    <row r="129" spans="1:35" s="1" customFormat="1" ht="15" customHeight="1" x14ac:dyDescent="0.25">
      <c r="A129" s="1146" t="s">
        <v>19</v>
      </c>
      <c r="B129" s="200"/>
      <c r="C129" s="463"/>
      <c r="D129" s="390"/>
      <c r="E129" s="1158">
        <f>E127+E128</f>
        <v>3648.086666666667</v>
      </c>
      <c r="F129" s="1159">
        <f>E129/E137</f>
        <v>0.57640017569675672</v>
      </c>
      <c r="G129" s="65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row>
    <row r="130" spans="1:35" s="1" customFormat="1" ht="19.5" customHeight="1" x14ac:dyDescent="0.2">
      <c r="A130" s="3" t="s">
        <v>23</v>
      </c>
      <c r="B130"/>
      <c r="C130" s="136" t="s">
        <v>84</v>
      </c>
      <c r="D130" s="778" t="s">
        <v>21</v>
      </c>
      <c r="E130" s="653" t="s">
        <v>13</v>
      </c>
      <c r="F130" s="1121"/>
      <c r="G130" s="65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row>
    <row r="131" spans="1:35" s="1" customFormat="1" ht="16.5" customHeight="1" x14ac:dyDescent="0.2">
      <c r="A131" s="15"/>
      <c r="B131" s="1" t="s">
        <v>98</v>
      </c>
      <c r="C131" s="39">
        <f>'Standard Vorgaben'!C145*C135</f>
        <v>7</v>
      </c>
      <c r="D131" s="113">
        <f>D78</f>
        <v>15</v>
      </c>
      <c r="E131" s="46">
        <f>C131*D131</f>
        <v>105</v>
      </c>
      <c r="F131" s="1117">
        <f>E131/E137</f>
        <v>1.6590071447907702E-2</v>
      </c>
      <c r="G131" s="65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row>
    <row r="132" spans="1:35" s="1" customFormat="1" ht="16.5" customHeight="1" thickBot="1" x14ac:dyDescent="0.25">
      <c r="A132" s="15"/>
      <c r="B132" s="1" t="s">
        <v>571</v>
      </c>
      <c r="C132" s="35">
        <f>C131</f>
        <v>7</v>
      </c>
      <c r="D132" s="111">
        <f>D83</f>
        <v>41</v>
      </c>
      <c r="E132" s="160">
        <f>C132*D132</f>
        <v>287</v>
      </c>
      <c r="F132" s="1125">
        <f>E132/E137</f>
        <v>4.5346195290947716E-2</v>
      </c>
      <c r="G132" s="65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row>
    <row r="133" spans="1:35" s="1" customFormat="1" ht="16.5" customHeight="1" x14ac:dyDescent="0.2">
      <c r="A133" s="15"/>
      <c r="C133" s="39"/>
      <c r="D133" s="111"/>
      <c r="E133" s="94">
        <f>SUM(E131:E132)</f>
        <v>392</v>
      </c>
      <c r="F133" s="1127">
        <f>E133/E137</f>
        <v>6.1936266738855418E-2</v>
      </c>
      <c r="G133" s="65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row>
    <row r="134" spans="1:35" s="1" customFormat="1" ht="16.5" customHeight="1" x14ac:dyDescent="0.2">
      <c r="A134" s="3" t="s">
        <v>28</v>
      </c>
      <c r="B134"/>
      <c r="C134" s="136" t="s">
        <v>27</v>
      </c>
      <c r="D134" s="778" t="s">
        <v>21</v>
      </c>
      <c r="E134" s="653" t="s">
        <v>22</v>
      </c>
      <c r="F134" s="1128"/>
      <c r="G134" s="65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row>
    <row r="135" spans="1:35" s="1" customFormat="1" ht="16.5" customHeight="1" x14ac:dyDescent="0.2">
      <c r="A135"/>
      <c r="B135" s="1" t="s">
        <v>33</v>
      </c>
      <c r="C135" s="1129">
        <f>'Standard Vorgaben'!C175</f>
        <v>70</v>
      </c>
      <c r="D135" s="45">
        <f>'Standard Vorgaben'!$C$36</f>
        <v>32.700000000000003</v>
      </c>
      <c r="E135" s="162">
        <f>C135*D135</f>
        <v>2289</v>
      </c>
      <c r="F135" s="1127">
        <f>E135/E137</f>
        <v>0.36166355756438789</v>
      </c>
      <c r="G135" s="65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row>
    <row r="136" spans="1:35" s="1138" customFormat="1" ht="15.75" x14ac:dyDescent="0.25">
      <c r="A136" s="1146" t="s">
        <v>35</v>
      </c>
      <c r="B136" s="1152"/>
      <c r="C136" s="1153"/>
      <c r="D136" s="1154"/>
      <c r="E136" s="1150">
        <f>E133+E135</f>
        <v>2681</v>
      </c>
      <c r="F136" s="352">
        <f>E136/E137</f>
        <v>0.42359982430324333</v>
      </c>
      <c r="G136" s="1136"/>
      <c r="H136" s="1137"/>
      <c r="I136" s="1137"/>
      <c r="J136" s="1137"/>
      <c r="K136" s="1137"/>
      <c r="L136" s="1137"/>
      <c r="M136" s="1137"/>
      <c r="N136" s="1137"/>
      <c r="O136" s="1137"/>
      <c r="P136" s="1137"/>
      <c r="Q136" s="1137"/>
      <c r="R136" s="1137"/>
      <c r="S136" s="1137"/>
      <c r="T136" s="1137"/>
      <c r="U136" s="1137"/>
      <c r="V136" s="1137"/>
      <c r="W136" s="1137"/>
      <c r="X136" s="1137"/>
      <c r="Y136" s="1137"/>
      <c r="Z136" s="1137"/>
      <c r="AA136" s="1137"/>
      <c r="AB136" s="1137"/>
      <c r="AC136" s="1137"/>
      <c r="AD136" s="1137"/>
      <c r="AE136" s="1137"/>
      <c r="AF136" s="1137"/>
      <c r="AG136" s="1137"/>
      <c r="AH136" s="1137"/>
      <c r="AI136" s="1137"/>
    </row>
    <row r="137" spans="1:35" s="1130" customFormat="1" ht="18" customHeight="1" x14ac:dyDescent="0.25">
      <c r="A137" s="1146" t="s">
        <v>102</v>
      </c>
      <c r="B137" s="1147"/>
      <c r="C137" s="1160"/>
      <c r="D137" s="1149"/>
      <c r="E137" s="1150">
        <f>E129+E136</f>
        <v>6329.086666666667</v>
      </c>
      <c r="F137" s="352">
        <f>E137/E137</f>
        <v>1</v>
      </c>
      <c r="G137" s="1136"/>
      <c r="H137" s="1139"/>
      <c r="I137" s="1139"/>
      <c r="J137" s="1139"/>
      <c r="K137" s="1139"/>
      <c r="L137" s="1139"/>
      <c r="M137" s="1139"/>
      <c r="N137" s="1139"/>
      <c r="O137" s="1139"/>
      <c r="P137" s="1139"/>
      <c r="Q137" s="1139"/>
      <c r="R137" s="1139"/>
      <c r="S137" s="1139"/>
      <c r="T137" s="1139"/>
      <c r="U137" s="1139"/>
      <c r="V137" s="1139"/>
      <c r="W137" s="1139"/>
      <c r="X137" s="1139"/>
      <c r="Y137" s="1139"/>
      <c r="Z137" s="1139"/>
      <c r="AA137" s="1139"/>
      <c r="AB137" s="1139"/>
      <c r="AC137" s="1139"/>
      <c r="AD137" s="1139"/>
      <c r="AE137" s="1139"/>
      <c r="AF137" s="1139"/>
      <c r="AG137" s="1139"/>
      <c r="AH137" s="1139"/>
      <c r="AI137" s="1139"/>
    </row>
    <row r="138" spans="1:35" s="116" customFormat="1" ht="13.5" customHeight="1" x14ac:dyDescent="0.25">
      <c r="A138" s="114"/>
      <c r="B138" s="1130"/>
      <c r="C138" s="1131"/>
      <c r="D138" s="1132"/>
      <c r="E138" s="1133"/>
      <c r="F138" s="103"/>
      <c r="G138" s="651"/>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row>
    <row r="139" spans="1:35" s="116" customFormat="1" ht="20.85" customHeight="1" x14ac:dyDescent="0.25">
      <c r="A139" s="351" t="s">
        <v>572</v>
      </c>
      <c r="B139" s="1130"/>
      <c r="C139" s="1131"/>
      <c r="D139" s="1132"/>
      <c r="E139" s="1134">
        <f>E137-E127</f>
        <v>2981</v>
      </c>
      <c r="F139" s="103"/>
      <c r="G139" s="651"/>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row>
    <row r="140" spans="1:35" s="1" customFormat="1" ht="18.75" customHeight="1" x14ac:dyDescent="0.25">
      <c r="A140" s="351" t="s">
        <v>573</v>
      </c>
      <c r="B140"/>
      <c r="C140"/>
      <c r="D140"/>
      <c r="E140"/>
      <c r="F140"/>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row>
    <row r="141" spans="1:35" s="1" customFormat="1" ht="21" customHeight="1" x14ac:dyDescent="0.2">
      <c r="A141"/>
      <c r="B141"/>
      <c r="C141" s="136" t="s">
        <v>11</v>
      </c>
      <c r="D141" s="778" t="s">
        <v>12</v>
      </c>
      <c r="E141" s="653" t="s">
        <v>13</v>
      </c>
      <c r="F141" s="653"/>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row>
    <row r="142" spans="1:35" s="1" customFormat="1" x14ac:dyDescent="0.2">
      <c r="A142" t="s">
        <v>523</v>
      </c>
      <c r="B142" t="s">
        <v>482</v>
      </c>
      <c r="C142"/>
      <c r="D142"/>
      <c r="E142" s="46">
        <f>'Standard Bewässerung'!H17</f>
        <v>4467.0249999999996</v>
      </c>
      <c r="F142" s="103">
        <f>E142/$E$149</f>
        <v>0.32353089224714376</v>
      </c>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row>
    <row r="143" spans="1:35" s="1" customFormat="1" x14ac:dyDescent="0.2">
      <c r="A143"/>
      <c r="B143" t="s">
        <v>492</v>
      </c>
      <c r="C143"/>
      <c r="D143"/>
      <c r="E143" s="46">
        <f>'Standard Bewässerung'!H22</f>
        <v>1807.6</v>
      </c>
      <c r="F143" s="103">
        <f t="shared" ref="F143:F148" si="6">E143/$E$149</f>
        <v>0.13091810339676566</v>
      </c>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row>
    <row r="144" spans="1:35" s="1" customFormat="1" x14ac:dyDescent="0.2">
      <c r="A144"/>
      <c r="B144" t="s">
        <v>498</v>
      </c>
      <c r="C144"/>
      <c r="D144"/>
      <c r="E144" s="46">
        <f>'Standard Bewässerung'!H30</f>
        <v>1386.5</v>
      </c>
      <c r="F144" s="103">
        <f t="shared" si="6"/>
        <v>0.10041931310003074</v>
      </c>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row>
    <row r="145" spans="1:35" s="1" customFormat="1" x14ac:dyDescent="0.2">
      <c r="A145"/>
      <c r="B145"/>
      <c r="C145"/>
      <c r="D145"/>
      <c r="E145" s="46"/>
      <c r="F145" s="103">
        <f t="shared" si="6"/>
        <v>0</v>
      </c>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row>
    <row r="146" spans="1:35" s="1" customFormat="1" x14ac:dyDescent="0.2">
      <c r="A146"/>
      <c r="B146"/>
      <c r="C146"/>
      <c r="D146"/>
      <c r="E146" s="1135">
        <f>SUM(E142:E144)</f>
        <v>7661.125</v>
      </c>
      <c r="F146" s="103">
        <f t="shared" si="6"/>
        <v>0.55486830874394022</v>
      </c>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row>
    <row r="147" spans="1:35" s="1" customFormat="1" x14ac:dyDescent="0.2">
      <c r="A147" t="s">
        <v>574</v>
      </c>
      <c r="B147"/>
      <c r="C147"/>
      <c r="D147"/>
      <c r="E147" s="486">
        <f>'Standard Bewässerung'!H47</f>
        <v>2764.8</v>
      </c>
      <c r="F147" s="103">
        <f t="shared" si="6"/>
        <v>0.20024472907245947</v>
      </c>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row>
    <row r="148" spans="1:35" s="1" customFormat="1" x14ac:dyDescent="0.2">
      <c r="A148" t="s">
        <v>575</v>
      </c>
      <c r="B148" s="10"/>
      <c r="C148"/>
      <c r="D148"/>
      <c r="E148" s="486">
        <f>'Standard Bewässerung'!H48</f>
        <v>3381.1800000000003</v>
      </c>
      <c r="F148" s="103">
        <f t="shared" si="6"/>
        <v>0.24488696218360043</v>
      </c>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row>
    <row r="149" spans="1:35" s="78" customFormat="1" ht="18" x14ac:dyDescent="0.25">
      <c r="A149" s="1161" t="s">
        <v>620</v>
      </c>
      <c r="B149" s="1147"/>
      <c r="C149" s="1149"/>
      <c r="D149" s="1164">
        <f>'Standard Vorgaben'!C185</f>
        <v>0</v>
      </c>
      <c r="E149" s="1163">
        <f>E146+E147+E148</f>
        <v>13807.105</v>
      </c>
      <c r="F149" s="352">
        <f>E149/E149</f>
        <v>1</v>
      </c>
      <c r="H149" s="1140"/>
      <c r="I149" s="1140"/>
      <c r="J149" s="1140"/>
      <c r="K149" s="1140"/>
      <c r="L149" s="1140"/>
      <c r="M149" s="1140"/>
      <c r="N149" s="1140"/>
      <c r="O149" s="1140"/>
      <c r="P149" s="1140"/>
      <c r="Q149" s="1140"/>
      <c r="R149" s="1140"/>
      <c r="S149" s="1140"/>
      <c r="T149" s="1140"/>
      <c r="U149" s="1140"/>
      <c r="V149" s="1140"/>
      <c r="W149" s="1140"/>
      <c r="X149" s="1140"/>
      <c r="Y149" s="1140"/>
      <c r="Z149" s="1140"/>
      <c r="AA149" s="1140"/>
      <c r="AB149" s="1140"/>
      <c r="AC149" s="1140"/>
      <c r="AD149" s="1140"/>
      <c r="AE149" s="1140"/>
      <c r="AF149" s="1140"/>
      <c r="AG149" s="1140"/>
      <c r="AH149" s="1140"/>
      <c r="AI149" s="1140"/>
    </row>
    <row r="150" spans="1:35" s="1" customFormat="1" x14ac:dyDescent="0.2">
      <c r="A150"/>
      <c r="B150"/>
      <c r="C150"/>
      <c r="D150"/>
      <c r="E150"/>
      <c r="F150"/>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row>
    <row r="151" spans="1:35" s="1" customFormat="1" ht="18" x14ac:dyDescent="0.25">
      <c r="A151" s="351" t="s">
        <v>577</v>
      </c>
      <c r="B151"/>
      <c r="C151"/>
      <c r="D151"/>
      <c r="E151"/>
      <c r="F15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row>
    <row r="152" spans="1:35" s="1" customFormat="1" x14ac:dyDescent="0.2">
      <c r="A152"/>
      <c r="B152"/>
      <c r="C152"/>
      <c r="D152"/>
      <c r="E152"/>
      <c r="F152"/>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row>
    <row r="153" spans="1:35" s="1" customFormat="1" x14ac:dyDescent="0.2">
      <c r="A153"/>
      <c r="B153"/>
      <c r="C153" s="136" t="s">
        <v>11</v>
      </c>
      <c r="D153" s="778" t="s">
        <v>12</v>
      </c>
      <c r="E153" s="653" t="s">
        <v>13</v>
      </c>
      <c r="F153" s="653"/>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row>
    <row r="154" spans="1:35" s="1" customFormat="1" x14ac:dyDescent="0.2">
      <c r="A154" t="s">
        <v>523</v>
      </c>
      <c r="B154" t="s">
        <v>482</v>
      </c>
      <c r="C154"/>
      <c r="D154"/>
      <c r="E154" s="46">
        <v>2757.3</v>
      </c>
      <c r="F154" s="103">
        <f>E154/$E$161</f>
        <v>0.18168088921043632</v>
      </c>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row>
    <row r="155" spans="1:35" s="1" customFormat="1" x14ac:dyDescent="0.2">
      <c r="A155"/>
      <c r="B155" t="s">
        <v>492</v>
      </c>
      <c r="C155"/>
      <c r="D155"/>
      <c r="E155" s="46">
        <v>5927.53</v>
      </c>
      <c r="F155" s="103">
        <f t="shared" ref="F155:F160" si="7">E155/$E$161</f>
        <v>0.39057009437548962</v>
      </c>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row>
    <row r="156" spans="1:35" s="1" customFormat="1" x14ac:dyDescent="0.2">
      <c r="A156"/>
      <c r="B156" t="s">
        <v>498</v>
      </c>
      <c r="C156"/>
      <c r="D156"/>
      <c r="E156" s="46">
        <v>190</v>
      </c>
      <c r="F156" s="103">
        <f t="shared" si="7"/>
        <v>1.2519264842412106E-2</v>
      </c>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row>
    <row r="157" spans="1:35" s="1" customFormat="1" x14ac:dyDescent="0.2">
      <c r="A157"/>
      <c r="B157"/>
      <c r="C157"/>
      <c r="D157"/>
      <c r="E157" s="46"/>
      <c r="F157" s="103">
        <f t="shared" si="7"/>
        <v>0</v>
      </c>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row>
    <row r="158" spans="1:35" s="1" customFormat="1" x14ac:dyDescent="0.2">
      <c r="A158"/>
      <c r="B158"/>
      <c r="C158"/>
      <c r="D158"/>
      <c r="E158" s="1135">
        <f>SUM(E154:E156)</f>
        <v>8874.83</v>
      </c>
      <c r="F158" s="103">
        <f t="shared" si="7"/>
        <v>0.58477024842833802</v>
      </c>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row>
    <row r="159" spans="1:35" s="1" customFormat="1" x14ac:dyDescent="0.2">
      <c r="A159" t="s">
        <v>574</v>
      </c>
      <c r="B159"/>
      <c r="C159"/>
      <c r="D159"/>
      <c r="E159" s="486">
        <f>'Standard Bewässerung'!H101</f>
        <v>2560.9</v>
      </c>
      <c r="F159" s="103">
        <f t="shared" si="7"/>
        <v>0.1687399228154377</v>
      </c>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row>
    <row r="160" spans="1:35" s="1" customFormat="1" x14ac:dyDescent="0.2">
      <c r="A160" t="s">
        <v>575</v>
      </c>
      <c r="B160" s="10"/>
      <c r="C160"/>
      <c r="D160"/>
      <c r="E160" s="486">
        <f>'Standard Bewässerung'!H102</f>
        <v>3740.8800000000006</v>
      </c>
      <c r="F160" s="103">
        <f t="shared" si="7"/>
        <v>0.24648982875622424</v>
      </c>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row>
    <row r="161" spans="1:41" s="78" customFormat="1" ht="18" x14ac:dyDescent="0.25">
      <c r="A161" s="1161" t="s">
        <v>620</v>
      </c>
      <c r="B161" s="1147"/>
      <c r="C161" s="1149"/>
      <c r="D161" s="1164">
        <f>'Standard Vorgaben'!C186</f>
        <v>1</v>
      </c>
      <c r="E161" s="1163">
        <f>E158+E159+E160</f>
        <v>15176.61</v>
      </c>
      <c r="F161" s="352">
        <f>E161/E161</f>
        <v>1</v>
      </c>
      <c r="H161" s="1140"/>
      <c r="I161" s="1140"/>
      <c r="J161" s="1140"/>
      <c r="K161" s="1140"/>
      <c r="L161" s="1140"/>
      <c r="M161" s="1140"/>
      <c r="N161" s="1140"/>
      <c r="O161" s="1140"/>
      <c r="P161" s="1140"/>
      <c r="Q161" s="1140"/>
      <c r="R161" s="1140"/>
      <c r="S161" s="1140"/>
      <c r="T161" s="1140"/>
      <c r="U161" s="1140"/>
      <c r="V161" s="1140"/>
      <c r="W161" s="1140"/>
      <c r="X161" s="1140"/>
      <c r="Y161" s="1140"/>
      <c r="Z161" s="1140"/>
      <c r="AA161" s="1140"/>
      <c r="AB161" s="1140"/>
      <c r="AC161" s="1140"/>
      <c r="AD161" s="1140"/>
      <c r="AE161" s="1140"/>
      <c r="AF161" s="1140"/>
      <c r="AG161" s="1140"/>
      <c r="AH161" s="1140"/>
      <c r="AI161" s="1140"/>
    </row>
    <row r="162" spans="1:41" s="1" customFormat="1" x14ac:dyDescent="0.2">
      <c r="A162"/>
      <c r="B162"/>
      <c r="C162"/>
      <c r="D162"/>
      <c r="E162"/>
      <c r="F162"/>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row>
    <row r="163" spans="1:41" s="1" customFormat="1" ht="23.25" x14ac:dyDescent="0.35">
      <c r="A163" s="1161" t="s">
        <v>629</v>
      </c>
      <c r="B163" s="1147"/>
      <c r="C163" s="200"/>
      <c r="D163" s="200"/>
      <c r="E163" s="1164">
        <f>IF(E169+E170+E164=0,1,0)</f>
        <v>0</v>
      </c>
      <c r="F163" s="1163">
        <f>E111+E137</f>
        <v>48367.323666666671</v>
      </c>
      <c r="G163" s="1163">
        <f>E163*F163</f>
        <v>0</v>
      </c>
      <c r="H163" s="1209"/>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row>
    <row r="164" spans="1:41" s="1" customFormat="1" ht="23.25" x14ac:dyDescent="0.35">
      <c r="A164" s="1161" t="s">
        <v>630</v>
      </c>
      <c r="B164" s="1147"/>
      <c r="C164" s="1210"/>
      <c r="D164" s="1210"/>
      <c r="E164" s="1164">
        <f>IF(E166+E168=1,0,'Standard Vorgaben'!C187)</f>
        <v>1</v>
      </c>
      <c r="F164" s="1163">
        <f>D149*E149+D161*E161+E137+E111</f>
        <v>63543.933666666664</v>
      </c>
      <c r="G164" s="1163">
        <f>F164*E164</f>
        <v>63543.933666666664</v>
      </c>
      <c r="H164" s="1209"/>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row>
    <row r="165" spans="1:41" s="1" customFormat="1" ht="23.25" x14ac:dyDescent="0.35">
      <c r="A165" s="1161" t="s">
        <v>625</v>
      </c>
      <c r="B165" s="1147"/>
      <c r="C165" s="200"/>
      <c r="D165" s="200"/>
      <c r="E165" s="1164">
        <f>IF('Standard Vorgaben'!C187=1,0,'Standard Vorgaben'!C177)</f>
        <v>0</v>
      </c>
      <c r="F165" s="1163">
        <f>E112+E137</f>
        <v>70709.278666666665</v>
      </c>
      <c r="G165" s="1163">
        <f>E165*F165</f>
        <v>0</v>
      </c>
      <c r="H165" s="1209"/>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row>
    <row r="166" spans="1:41" s="1" customFormat="1" ht="23.25" x14ac:dyDescent="0.35">
      <c r="A166" s="1161" t="s">
        <v>626</v>
      </c>
      <c r="B166" s="1147"/>
      <c r="C166" s="200"/>
      <c r="D166" s="200"/>
      <c r="E166" s="1164">
        <f>IF('Standard Vorgaben'!C190=2,1,0)</f>
        <v>0</v>
      </c>
      <c r="F166" s="1163">
        <f>D149*E149+D161*E161+E112</f>
        <v>79556.801999999996</v>
      </c>
      <c r="G166" s="1163">
        <f>E166*F166</f>
        <v>0</v>
      </c>
      <c r="H166" s="1209"/>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row>
    <row r="167" spans="1:41" s="1" customFormat="1" ht="23.25" x14ac:dyDescent="0.35">
      <c r="A167" s="1161" t="s">
        <v>627</v>
      </c>
      <c r="B167" s="1147"/>
      <c r="C167" s="200"/>
      <c r="D167" s="200"/>
      <c r="E167" s="1164">
        <f>IF('Standard Vorgaben'!C187=1,0,'Standard Vorgaben'!C181)</f>
        <v>0</v>
      </c>
      <c r="F167" s="1163">
        <f>SUM(E137,E114)</f>
        <v>111957.19326666667</v>
      </c>
      <c r="G167" s="1163">
        <f>E167*F167</f>
        <v>0</v>
      </c>
      <c r="H167" s="1209"/>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row>
    <row r="168" spans="1:41" s="1" customFormat="1" ht="23.25" x14ac:dyDescent="0.35">
      <c r="A168" s="1161" t="s">
        <v>628</v>
      </c>
      <c r="B168" s="1147"/>
      <c r="C168" s="200"/>
      <c r="D168" s="200"/>
      <c r="E168" s="1164">
        <f>IF('Standard Vorgaben'!C192=2,1,0)</f>
        <v>0</v>
      </c>
      <c r="F168" s="1163">
        <f>D161*E161+D149*E149+E114</f>
        <v>120804.7166</v>
      </c>
      <c r="G168" s="1163">
        <f>E168*F168</f>
        <v>0</v>
      </c>
      <c r="H168" s="1209"/>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row>
    <row r="169" spans="1:41" s="1" customFormat="1" x14ac:dyDescent="0.2">
      <c r="A169"/>
      <c r="D169" s="54" t="s">
        <v>372</v>
      </c>
      <c r="E169" s="121">
        <f>SUM(E165:E166)</f>
        <v>0</v>
      </c>
      <c r="G169"/>
      <c r="H169"/>
      <c r="I169"/>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row>
    <row r="170" spans="1:41" s="1" customFormat="1" x14ac:dyDescent="0.2">
      <c r="A170"/>
      <c r="D170" s="54" t="s">
        <v>431</v>
      </c>
      <c r="E170" s="121">
        <f>SUM(E167:E168)</f>
        <v>0</v>
      </c>
      <c r="G170"/>
      <c r="H170"/>
      <c r="I170"/>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row>
    <row r="171" spans="1:41" s="78" customFormat="1" ht="18" x14ac:dyDescent="0.25">
      <c r="A171" s="1161" t="s">
        <v>578</v>
      </c>
      <c r="B171" s="1165"/>
      <c r="C171" s="1165"/>
      <c r="D171" s="1165"/>
      <c r="E171" s="1165"/>
      <c r="F171" s="1165"/>
      <c r="G171" s="1163">
        <f>SUM(G163:G168)</f>
        <v>63543.933666666664</v>
      </c>
      <c r="J171" s="1140"/>
      <c r="K171" s="1140"/>
      <c r="L171" s="1140"/>
      <c r="M171" s="1140"/>
      <c r="N171" s="1140"/>
      <c r="O171" s="1140"/>
      <c r="P171" s="1140"/>
      <c r="Q171" s="1140"/>
      <c r="R171" s="1140"/>
      <c r="S171" s="1140"/>
      <c r="T171" s="1140"/>
      <c r="U171" s="1140"/>
      <c r="V171" s="1140"/>
      <c r="W171" s="1140"/>
      <c r="X171" s="1140"/>
      <c r="Y171" s="1140"/>
      <c r="Z171" s="1140"/>
      <c r="AA171" s="1140"/>
      <c r="AB171" s="1140"/>
      <c r="AC171" s="1140"/>
      <c r="AD171" s="1140"/>
      <c r="AE171" s="1140"/>
      <c r="AF171" s="1140"/>
      <c r="AG171" s="1140"/>
      <c r="AH171" s="1140"/>
      <c r="AI171" s="1140"/>
    </row>
    <row r="172" spans="1:41" s="1" customFormat="1" x14ac:dyDescent="0.2">
      <c r="A172"/>
      <c r="B172"/>
      <c r="C172"/>
      <c r="D172"/>
      <c r="E172"/>
      <c r="F172"/>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row>
    <row r="173" spans="1:41" s="1" customFormat="1" x14ac:dyDescent="0.2">
      <c r="A173"/>
      <c r="B173"/>
      <c r="C173"/>
      <c r="D173"/>
      <c r="E173"/>
      <c r="F173"/>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row>
    <row r="174" spans="1:41" s="1" customFormat="1" x14ac:dyDescent="0.2">
      <c r="A174"/>
      <c r="B174"/>
      <c r="C174"/>
      <c r="D174"/>
      <c r="E174"/>
      <c r="F174"/>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row>
    <row r="175" spans="1:41" s="1" customFormat="1" x14ac:dyDescent="0.2">
      <c r="A175"/>
      <c r="B175"/>
      <c r="C175"/>
      <c r="D175"/>
      <c r="E175"/>
      <c r="F175"/>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row>
    <row r="176" spans="1:41" s="1" customFormat="1" x14ac:dyDescent="0.2">
      <c r="A176"/>
      <c r="B176"/>
      <c r="C176"/>
      <c r="D176"/>
      <c r="E176"/>
      <c r="F176"/>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row>
    <row r="177" spans="1:41" s="1" customFormat="1" x14ac:dyDescent="0.2">
      <c r="A177"/>
      <c r="B177"/>
      <c r="C177"/>
      <c r="D177"/>
      <c r="E177"/>
      <c r="F177"/>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row>
    <row r="178" spans="1:41" s="1" customFormat="1" x14ac:dyDescent="0.2">
      <c r="A178"/>
      <c r="B178"/>
      <c r="C178"/>
      <c r="D178"/>
      <c r="E178"/>
      <c r="F178"/>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row>
    <row r="179" spans="1:41" s="1" customFormat="1" x14ac:dyDescent="0.2">
      <c r="A179"/>
      <c r="B179"/>
      <c r="C179"/>
      <c r="D179"/>
      <c r="E179"/>
      <c r="F179"/>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row>
    <row r="180" spans="1:41" s="1" customFormat="1" x14ac:dyDescent="0.2">
      <c r="A180"/>
      <c r="B180"/>
      <c r="C180"/>
      <c r="D180"/>
      <c r="E180"/>
      <c r="F180"/>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row>
    <row r="181" spans="1:41" s="1" customFormat="1" x14ac:dyDescent="0.2">
      <c r="A181"/>
      <c r="B181"/>
      <c r="C181"/>
      <c r="D181"/>
      <c r="E181"/>
      <c r="F18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row>
    <row r="182" spans="1:41" s="1" customFormat="1" x14ac:dyDescent="0.2">
      <c r="A182"/>
      <c r="B182"/>
      <c r="C182"/>
      <c r="D182"/>
      <c r="E182"/>
      <c r="F182"/>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row>
    <row r="183" spans="1:41" s="1" customFormat="1" x14ac:dyDescent="0.2">
      <c r="A183"/>
      <c r="B183"/>
      <c r="C183"/>
      <c r="D183"/>
      <c r="E183"/>
      <c r="F183"/>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row>
    <row r="184" spans="1:41" s="1" customFormat="1" x14ac:dyDescent="0.2">
      <c r="A184"/>
      <c r="B184"/>
      <c r="C184"/>
      <c r="D184"/>
      <c r="E184"/>
      <c r="F184"/>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row>
    <row r="185" spans="1:41" s="1" customFormat="1" x14ac:dyDescent="0.2">
      <c r="A185"/>
      <c r="B185"/>
      <c r="C185"/>
      <c r="D185"/>
      <c r="E185"/>
      <c r="F185"/>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row>
    <row r="186" spans="1:41" s="1" customFormat="1" x14ac:dyDescent="0.2">
      <c r="A186"/>
      <c r="B186"/>
      <c r="C186"/>
      <c r="D186"/>
      <c r="E186"/>
      <c r="F186"/>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row>
    <row r="187" spans="1:41" s="1" customFormat="1" x14ac:dyDescent="0.2">
      <c r="A187"/>
      <c r="B187"/>
      <c r="C187"/>
      <c r="D187"/>
      <c r="E187"/>
      <c r="F187"/>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row>
    <row r="188" spans="1:41" s="1" customFormat="1" x14ac:dyDescent="0.2">
      <c r="A188"/>
      <c r="B188"/>
      <c r="C188"/>
      <c r="D188"/>
      <c r="E188"/>
      <c r="F188"/>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row>
    <row r="189" spans="1:41" s="1" customFormat="1" x14ac:dyDescent="0.2">
      <c r="A189"/>
      <c r="B189"/>
      <c r="C189"/>
      <c r="D189"/>
      <c r="E189"/>
      <c r="F189"/>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row>
    <row r="190" spans="1:41" s="1" customFormat="1" x14ac:dyDescent="0.2">
      <c r="A190"/>
      <c r="B190"/>
      <c r="C190"/>
      <c r="D190"/>
      <c r="E190"/>
      <c r="F190"/>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row>
    <row r="191" spans="1:41" s="1" customFormat="1" x14ac:dyDescent="0.2">
      <c r="A191"/>
      <c r="B191"/>
      <c r="C191"/>
      <c r="D191"/>
      <c r="E191"/>
      <c r="F19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row>
    <row r="192" spans="1:41" s="1" customFormat="1" x14ac:dyDescent="0.2">
      <c r="A192"/>
      <c r="B192"/>
      <c r="C192"/>
      <c r="D192"/>
      <c r="E192"/>
      <c r="F192"/>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row>
    <row r="193" spans="1:41" s="1" customFormat="1" x14ac:dyDescent="0.2">
      <c r="A193"/>
      <c r="B193"/>
      <c r="C193"/>
      <c r="D193"/>
      <c r="E193"/>
      <c r="F193"/>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row>
    <row r="194" spans="1:41" s="1" customFormat="1" x14ac:dyDescent="0.2">
      <c r="A194"/>
      <c r="B194"/>
      <c r="C194"/>
      <c r="D194"/>
      <c r="E194"/>
      <c r="F194"/>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row>
    <row r="195" spans="1:41" s="1" customFormat="1" x14ac:dyDescent="0.2">
      <c r="A195"/>
      <c r="B195"/>
      <c r="C195"/>
      <c r="D195"/>
      <c r="E195"/>
      <c r="F195"/>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row>
    <row r="196" spans="1:41" s="1" customFormat="1" x14ac:dyDescent="0.2">
      <c r="A196"/>
      <c r="B196"/>
      <c r="C196"/>
      <c r="D196"/>
      <c r="E196"/>
      <c r="F196"/>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row>
    <row r="197" spans="1:41" s="1" customFormat="1" x14ac:dyDescent="0.2">
      <c r="A197"/>
      <c r="B197"/>
      <c r="C197"/>
      <c r="D197"/>
      <c r="E197"/>
      <c r="F197"/>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row>
    <row r="198" spans="1:41" s="1" customFormat="1" x14ac:dyDescent="0.2">
      <c r="A198"/>
      <c r="B198"/>
      <c r="C198"/>
      <c r="D198"/>
      <c r="E198"/>
      <c r="F198"/>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row>
    <row r="199" spans="1:41" s="1" customFormat="1" x14ac:dyDescent="0.2">
      <c r="A199"/>
      <c r="B199"/>
      <c r="C199"/>
      <c r="D199"/>
      <c r="E199"/>
      <c r="F199"/>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row>
    <row r="200" spans="1:41" s="1" customFormat="1" x14ac:dyDescent="0.2">
      <c r="A200"/>
      <c r="B200"/>
      <c r="C200"/>
      <c r="D200"/>
      <c r="E200"/>
      <c r="F200"/>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row>
    <row r="201" spans="1:41" s="1" customFormat="1" x14ac:dyDescent="0.2">
      <c r="A201"/>
      <c r="B201"/>
      <c r="C201"/>
      <c r="D201"/>
      <c r="E201"/>
      <c r="F20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row>
    <row r="202" spans="1:41" s="1" customFormat="1" x14ac:dyDescent="0.2">
      <c r="A202"/>
      <c r="B202"/>
      <c r="C202"/>
      <c r="D202"/>
      <c r="E202"/>
      <c r="F202"/>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row>
    <row r="203" spans="1:41" s="1" customFormat="1" x14ac:dyDescent="0.2">
      <c r="A203"/>
      <c r="B203"/>
      <c r="C203"/>
      <c r="D203"/>
      <c r="E203"/>
      <c r="F203"/>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row>
    <row r="204" spans="1:41" s="1" customFormat="1" x14ac:dyDescent="0.2">
      <c r="A204"/>
      <c r="B204"/>
      <c r="C204"/>
      <c r="D204"/>
      <c r="E204"/>
      <c r="F204"/>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row>
    <row r="205" spans="1:41" s="1" customFormat="1" x14ac:dyDescent="0.2">
      <c r="A205"/>
      <c r="B205"/>
      <c r="C205"/>
      <c r="D205"/>
      <c r="E205"/>
      <c r="F205"/>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row>
    <row r="206" spans="1:41" s="1" customFormat="1" x14ac:dyDescent="0.2">
      <c r="A206"/>
      <c r="B206"/>
      <c r="C206"/>
      <c r="D206"/>
      <c r="E206"/>
      <c r="F206"/>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row>
    <row r="207" spans="1:41" s="1" customFormat="1" x14ac:dyDescent="0.2">
      <c r="A207"/>
      <c r="B207"/>
      <c r="C207"/>
      <c r="D207"/>
      <c r="E207"/>
      <c r="F207"/>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row>
    <row r="208" spans="1:41" s="1" customFormat="1" x14ac:dyDescent="0.2">
      <c r="A208"/>
      <c r="B208"/>
      <c r="C208"/>
      <c r="D208"/>
      <c r="E208"/>
      <c r="F208"/>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row>
    <row r="209" spans="1:41" s="1" customFormat="1" x14ac:dyDescent="0.2">
      <c r="A209"/>
      <c r="B209"/>
      <c r="C209"/>
      <c r="D209"/>
      <c r="E209"/>
      <c r="F209"/>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row>
    <row r="210" spans="1:41" s="1" customFormat="1" x14ac:dyDescent="0.2">
      <c r="A210"/>
      <c r="B210"/>
      <c r="C210"/>
      <c r="D210"/>
      <c r="E210"/>
      <c r="F210"/>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row>
    <row r="211" spans="1:41" s="1" customFormat="1" x14ac:dyDescent="0.2">
      <c r="A211"/>
      <c r="B211"/>
      <c r="C211"/>
      <c r="D211"/>
      <c r="E211"/>
      <c r="F21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row>
    <row r="212" spans="1:41" s="1" customFormat="1" x14ac:dyDescent="0.2">
      <c r="A212"/>
      <c r="B212"/>
      <c r="C212"/>
      <c r="D212"/>
      <c r="E212"/>
      <c r="F212"/>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row>
    <row r="213" spans="1:41" s="1" customFormat="1" x14ac:dyDescent="0.2">
      <c r="A213"/>
      <c r="B213"/>
      <c r="C213"/>
      <c r="D213"/>
      <c r="E213"/>
      <c r="F213"/>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row>
    <row r="214" spans="1:41" s="1" customFormat="1" x14ac:dyDescent="0.2">
      <c r="A214"/>
      <c r="B214"/>
      <c r="C214"/>
      <c r="D214"/>
      <c r="E214"/>
      <c r="F214"/>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row>
    <row r="215" spans="1:41" s="1" customFormat="1" x14ac:dyDescent="0.2">
      <c r="A215"/>
      <c r="B215"/>
      <c r="C215"/>
      <c r="D215"/>
      <c r="E215"/>
      <c r="F215"/>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row>
    <row r="216" spans="1:41" s="1" customFormat="1" x14ac:dyDescent="0.2">
      <c r="A216"/>
      <c r="B216"/>
      <c r="C216"/>
      <c r="D216"/>
      <c r="E216"/>
      <c r="F216"/>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row>
    <row r="217" spans="1:41" s="1" customFormat="1" x14ac:dyDescent="0.2">
      <c r="A217"/>
      <c r="B217"/>
      <c r="C217"/>
      <c r="D217"/>
      <c r="E217"/>
      <c r="F217"/>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row>
    <row r="218" spans="1:41" s="1" customFormat="1" x14ac:dyDescent="0.2">
      <c r="A218"/>
      <c r="B218"/>
      <c r="C218"/>
      <c r="D218"/>
      <c r="E218"/>
      <c r="F218"/>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row>
    <row r="219" spans="1:41" s="1" customFormat="1" x14ac:dyDescent="0.2">
      <c r="A219"/>
      <c r="B219"/>
      <c r="C219"/>
      <c r="D219"/>
      <c r="E219"/>
      <c r="F219"/>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row>
    <row r="220" spans="1:41" s="1" customFormat="1" x14ac:dyDescent="0.2">
      <c r="A220"/>
      <c r="B220"/>
      <c r="C220"/>
      <c r="D220"/>
      <c r="E220"/>
      <c r="F220"/>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row>
    <row r="221" spans="1:41" s="1" customFormat="1" x14ac:dyDescent="0.2">
      <c r="A221"/>
      <c r="B221"/>
      <c r="C221"/>
      <c r="D221"/>
      <c r="E221"/>
      <c r="F2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row>
    <row r="222" spans="1:41" s="1" customFormat="1" x14ac:dyDescent="0.2">
      <c r="A222"/>
      <c r="B222"/>
      <c r="C222"/>
      <c r="D222"/>
      <c r="E222"/>
      <c r="F222"/>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row>
    <row r="223" spans="1:41" s="1" customFormat="1" x14ac:dyDescent="0.2">
      <c r="A223"/>
      <c r="B223"/>
      <c r="C223"/>
      <c r="D223"/>
      <c r="E223"/>
      <c r="F223"/>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row>
    <row r="224" spans="1:41" s="1" customFormat="1" x14ac:dyDescent="0.2">
      <c r="A224"/>
      <c r="B224"/>
      <c r="C224"/>
      <c r="D224"/>
      <c r="E224"/>
      <c r="F224"/>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row>
    <row r="225" spans="1:41" s="1" customFormat="1" x14ac:dyDescent="0.2">
      <c r="A225"/>
      <c r="B225"/>
      <c r="C225"/>
      <c r="D225"/>
      <c r="E225"/>
      <c r="F225"/>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row>
    <row r="226" spans="1:41" s="1" customFormat="1" x14ac:dyDescent="0.2">
      <c r="A226"/>
      <c r="B226"/>
      <c r="C226"/>
      <c r="D226"/>
      <c r="E226"/>
      <c r="F226"/>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row>
    <row r="227" spans="1:41" s="1" customFormat="1" x14ac:dyDescent="0.2">
      <c r="A227"/>
      <c r="B227"/>
      <c r="C227"/>
      <c r="D227"/>
      <c r="E227"/>
      <c r="F227"/>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row>
    <row r="228" spans="1:41" s="1" customFormat="1" x14ac:dyDescent="0.2">
      <c r="A228"/>
      <c r="B228"/>
      <c r="C228"/>
      <c r="D228"/>
      <c r="E228"/>
      <c r="F228"/>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row>
    <row r="229" spans="1:41" s="1" customFormat="1" x14ac:dyDescent="0.2">
      <c r="A229"/>
      <c r="B229"/>
      <c r="C229"/>
      <c r="D229"/>
      <c r="E229"/>
      <c r="F229"/>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row>
    <row r="230" spans="1:41" s="1" customFormat="1" x14ac:dyDescent="0.2">
      <c r="A230"/>
      <c r="B230"/>
      <c r="C230"/>
      <c r="D230"/>
      <c r="E230"/>
      <c r="F230"/>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row>
    <row r="231" spans="1:41" s="1" customFormat="1" x14ac:dyDescent="0.2">
      <c r="A231"/>
      <c r="B231"/>
      <c r="C231"/>
      <c r="D231"/>
      <c r="E231"/>
      <c r="F23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row>
    <row r="232" spans="1:41" s="1" customFormat="1" x14ac:dyDescent="0.2">
      <c r="A232"/>
      <c r="B232"/>
      <c r="C232"/>
      <c r="D232"/>
      <c r="E232"/>
      <c r="F232"/>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row>
    <row r="233" spans="1:41" s="1" customFormat="1" x14ac:dyDescent="0.2">
      <c r="A233"/>
      <c r="B233"/>
      <c r="C233"/>
      <c r="D233"/>
      <c r="E233"/>
      <c r="F233"/>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row>
    <row r="234" spans="1:41" s="1" customFormat="1" x14ac:dyDescent="0.2">
      <c r="A234"/>
      <c r="B234"/>
      <c r="C234"/>
      <c r="D234"/>
      <c r="E234"/>
      <c r="F234"/>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row>
    <row r="235" spans="1:41" s="1" customFormat="1" x14ac:dyDescent="0.2">
      <c r="A235"/>
      <c r="B235"/>
      <c r="C235"/>
      <c r="D235"/>
      <c r="E235"/>
      <c r="F235"/>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row>
    <row r="236" spans="1:41" s="1" customFormat="1" x14ac:dyDescent="0.2">
      <c r="A236"/>
      <c r="B236"/>
      <c r="C236"/>
      <c r="D236"/>
      <c r="E236"/>
      <c r="F236"/>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row>
    <row r="237" spans="1:41" s="1" customFormat="1" x14ac:dyDescent="0.2">
      <c r="A237"/>
      <c r="B237"/>
      <c r="C237"/>
      <c r="D237"/>
      <c r="E237"/>
      <c r="F237"/>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row>
    <row r="238" spans="1:41" s="1" customFormat="1" x14ac:dyDescent="0.2">
      <c r="A238"/>
      <c r="B238"/>
      <c r="C238"/>
      <c r="D238"/>
      <c r="E238"/>
      <c r="F238"/>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row>
    <row r="239" spans="1:41" s="1" customFormat="1" x14ac:dyDescent="0.2">
      <c r="A239"/>
      <c r="B239"/>
      <c r="C239"/>
      <c r="D239"/>
      <c r="E239"/>
      <c r="F239"/>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row>
    <row r="240" spans="1:41" s="1" customFormat="1" x14ac:dyDescent="0.2">
      <c r="A240"/>
      <c r="B240"/>
      <c r="C240"/>
      <c r="D240"/>
      <c r="E240"/>
      <c r="F240"/>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row>
    <row r="241" spans="1:41" s="1" customFormat="1" x14ac:dyDescent="0.2">
      <c r="A241"/>
      <c r="B241"/>
      <c r="C241"/>
      <c r="D241"/>
      <c r="E241"/>
      <c r="F24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row>
    <row r="242" spans="1:41" s="1" customFormat="1" x14ac:dyDescent="0.2">
      <c r="A242"/>
      <c r="B242"/>
      <c r="C242"/>
      <c r="D242"/>
      <c r="E242"/>
      <c r="F242"/>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row>
    <row r="243" spans="1:41" s="1" customFormat="1" x14ac:dyDescent="0.2">
      <c r="A243"/>
      <c r="B243"/>
      <c r="C243"/>
      <c r="D243"/>
      <c r="E243"/>
      <c r="F243"/>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row>
    <row r="244" spans="1:41" s="1" customFormat="1" x14ac:dyDescent="0.2">
      <c r="A244"/>
      <c r="B244"/>
      <c r="C244"/>
      <c r="D244"/>
      <c r="E244"/>
      <c r="F244"/>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row>
    <row r="245" spans="1:41" s="1" customFormat="1" x14ac:dyDescent="0.2">
      <c r="A245"/>
      <c r="B245"/>
      <c r="C245"/>
      <c r="D245"/>
      <c r="E245"/>
      <c r="F245"/>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row>
    <row r="246" spans="1:41" s="1" customFormat="1" x14ac:dyDescent="0.2">
      <c r="A246"/>
      <c r="B246"/>
      <c r="C246"/>
      <c r="D246"/>
      <c r="E246"/>
      <c r="F246"/>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row>
    <row r="247" spans="1:41" s="1" customFormat="1" x14ac:dyDescent="0.2">
      <c r="A247"/>
      <c r="B247"/>
      <c r="C247"/>
      <c r="D247"/>
      <c r="E247"/>
      <c r="F247"/>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row>
    <row r="248" spans="1:41" s="1" customFormat="1" x14ac:dyDescent="0.2">
      <c r="A248"/>
      <c r="B248"/>
      <c r="C248"/>
      <c r="D248"/>
      <c r="E248"/>
      <c r="F248"/>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row>
    <row r="249" spans="1:41" s="1" customFormat="1" x14ac:dyDescent="0.2">
      <c r="A249"/>
      <c r="B249"/>
      <c r="C249"/>
      <c r="D249"/>
      <c r="E249"/>
      <c r="F249"/>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row>
    <row r="250" spans="1:41" s="1" customFormat="1" x14ac:dyDescent="0.2">
      <c r="A250"/>
      <c r="B250"/>
      <c r="C250"/>
      <c r="D250"/>
      <c r="E250"/>
      <c r="F250"/>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row>
    <row r="251" spans="1:41" s="1" customFormat="1" x14ac:dyDescent="0.2">
      <c r="A251"/>
      <c r="B251"/>
      <c r="C251"/>
      <c r="D251"/>
      <c r="E251"/>
      <c r="F25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row>
    <row r="252" spans="1:41" s="1" customFormat="1" x14ac:dyDescent="0.2">
      <c r="A252"/>
      <c r="B252"/>
      <c r="C252"/>
      <c r="D252"/>
      <c r="E252"/>
      <c r="F252"/>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row>
    <row r="253" spans="1:41" s="1" customFormat="1" x14ac:dyDescent="0.2">
      <c r="A253"/>
      <c r="B253"/>
      <c r="C253"/>
      <c r="D253"/>
      <c r="E253"/>
      <c r="F253"/>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row>
    <row r="254" spans="1:41" s="1" customFormat="1" x14ac:dyDescent="0.2">
      <c r="A254"/>
      <c r="B254"/>
      <c r="C254"/>
      <c r="D254"/>
      <c r="E254"/>
      <c r="F254"/>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row>
    <row r="255" spans="1:41" s="1" customFormat="1" x14ac:dyDescent="0.2">
      <c r="A255"/>
      <c r="B255"/>
      <c r="C255"/>
      <c r="D255"/>
      <c r="E255"/>
      <c r="F255"/>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row>
    <row r="256" spans="1:41" s="1" customFormat="1" x14ac:dyDescent="0.2">
      <c r="A256"/>
      <c r="B256"/>
      <c r="C256"/>
      <c r="D256"/>
      <c r="E256"/>
      <c r="F256"/>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row>
    <row r="257" spans="1:41" s="1" customFormat="1" x14ac:dyDescent="0.2">
      <c r="A257"/>
      <c r="B257"/>
      <c r="C257"/>
      <c r="D257"/>
      <c r="E257"/>
      <c r="F257"/>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row>
    <row r="258" spans="1:41" s="1" customFormat="1" x14ac:dyDescent="0.2">
      <c r="A258"/>
      <c r="B258"/>
      <c r="C258"/>
      <c r="D258"/>
      <c r="E258"/>
      <c r="F258"/>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row>
    <row r="259" spans="1:41" s="1" customFormat="1" x14ac:dyDescent="0.2">
      <c r="A259"/>
      <c r="B259"/>
      <c r="C259"/>
      <c r="D259"/>
      <c r="E259"/>
      <c r="F259"/>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row>
    <row r="260" spans="1:41" s="1" customFormat="1" x14ac:dyDescent="0.2">
      <c r="A260"/>
      <c r="B260"/>
      <c r="C260"/>
      <c r="D260"/>
      <c r="E260"/>
      <c r="F260"/>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row>
    <row r="261" spans="1:41" s="1" customFormat="1" x14ac:dyDescent="0.2">
      <c r="A261"/>
      <c r="B261"/>
      <c r="C261"/>
      <c r="D261"/>
      <c r="E261"/>
      <c r="F26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row>
    <row r="262" spans="1:41" s="1" customFormat="1" x14ac:dyDescent="0.2">
      <c r="A262"/>
      <c r="B262"/>
      <c r="C262"/>
      <c r="D262"/>
      <c r="E262"/>
      <c r="F262"/>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row>
  </sheetData>
  <mergeCells count="8">
    <mergeCell ref="A65:A67"/>
    <mergeCell ref="B4:G4"/>
    <mergeCell ref="A11:A14"/>
    <mergeCell ref="A17:A27"/>
    <mergeCell ref="A30:A34"/>
    <mergeCell ref="A42:A55"/>
    <mergeCell ref="A58:A62"/>
    <mergeCell ref="A37:A39"/>
  </mergeCells>
  <phoneticPr fontId="23" type="noConversion"/>
  <printOptions gridLines="1" gridLinesSet="0"/>
  <pageMargins left="0.78740157480314965" right="0.39370078740157483" top="0.59055118110236227" bottom="0.39370078740157483" header="0.51181102362204722" footer="0.51181102362204722"/>
  <pageSetup paperSize="9" scale="60" orientation="portrait" r:id="rId1"/>
  <headerFooter alignWithMargins="0">
    <oddFooter>&amp;L&amp;6Arbokoste Zwetschgen 2005&amp;C&amp;6&amp;A  &amp;D&amp;R&amp;6Matthias Zürcher, Yvonne Leuenberger</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tandard1_16Standjahre">
    <tabColor indexed="18"/>
  </sheetPr>
  <dimension ref="A1:IV162"/>
  <sheetViews>
    <sheetView topLeftCell="U1" zoomScale="75" workbookViewId="0">
      <selection activeCell="AH35" sqref="AH35"/>
    </sheetView>
  </sheetViews>
  <sheetFormatPr baseColWidth="10" defaultColWidth="11.42578125" defaultRowHeight="12.75" x14ac:dyDescent="0.2"/>
  <cols>
    <col min="1" max="1" width="37.5703125" style="49" customWidth="1"/>
    <col min="2" max="2" width="25.7109375" style="64" customWidth="1"/>
    <col min="3" max="3" width="17.28515625" style="120" customWidth="1"/>
    <col min="4" max="4" width="12.7109375" style="120" customWidth="1"/>
    <col min="5" max="5" width="13.28515625" style="482" customWidth="1"/>
    <col min="6" max="6" width="17.5703125" style="483" customWidth="1"/>
    <col min="7" max="7" width="10.5703125" style="323" bestFit="1" customWidth="1"/>
    <col min="8" max="8" width="37.42578125" style="120" customWidth="1"/>
    <col min="9" max="9" width="25.7109375" style="120" customWidth="1"/>
    <col min="10" max="10" width="17.28515625" style="64" customWidth="1"/>
    <col min="11" max="11" width="12.7109375" style="64" customWidth="1"/>
    <col min="12" max="12" width="13.28515625" style="64" customWidth="1"/>
    <col min="13" max="13" width="17.42578125" style="64" customWidth="1"/>
    <col min="14" max="14" width="7.5703125" style="64" customWidth="1"/>
    <col min="15" max="15" width="29.140625" style="64" customWidth="1"/>
    <col min="16" max="16" width="32.28515625" style="64" customWidth="1"/>
    <col min="17" max="17" width="17" style="64" customWidth="1"/>
    <col min="18" max="18" width="36.42578125" style="487" bestFit="1" customWidth="1"/>
    <col min="19" max="19" width="13.28515625" style="64" customWidth="1"/>
    <col min="20" max="20" width="17.42578125" style="64" customWidth="1"/>
    <col min="21" max="21" width="13.7109375" style="64" customWidth="1"/>
    <col min="22" max="22" width="37.5703125" style="64" customWidth="1"/>
    <col min="23" max="23" width="25.7109375" style="64" customWidth="1"/>
    <col min="24" max="24" width="17.28515625" style="64" customWidth="1"/>
    <col min="25" max="25" width="12.7109375" style="64" customWidth="1"/>
    <col min="26" max="26" width="13.28515625" style="64" customWidth="1"/>
    <col min="27" max="27" width="17.42578125" style="64" customWidth="1"/>
    <col min="28" max="28" width="7.5703125" style="64" customWidth="1"/>
    <col min="29" max="29" width="37.42578125" style="64" customWidth="1"/>
    <col min="30" max="30" width="25.7109375" style="64" customWidth="1"/>
    <col min="31" max="31" width="17" style="64" customWidth="1"/>
    <col min="32" max="32" width="13" style="64" customWidth="1"/>
    <col min="33" max="33" width="13.28515625" style="64" customWidth="1"/>
    <col min="34" max="34" width="17.42578125" style="64" customWidth="1"/>
    <col min="35" max="35" width="7.5703125" style="64" customWidth="1"/>
    <col min="36" max="36" width="37.42578125" style="64" customWidth="1"/>
    <col min="37" max="37" width="25.7109375" style="64" customWidth="1"/>
    <col min="38" max="38" width="17.28515625" style="64" customWidth="1"/>
    <col min="39" max="39" width="13" style="64" customWidth="1"/>
    <col min="40" max="40" width="13.28515625" style="64" customWidth="1"/>
    <col min="41" max="41" width="17.42578125" style="64" customWidth="1"/>
    <col min="42" max="42" width="7.5703125" style="64" customWidth="1"/>
    <col min="43" max="43" width="37.5703125" style="64" customWidth="1"/>
    <col min="44" max="44" width="25.7109375" style="64" customWidth="1"/>
    <col min="45" max="45" width="17.28515625" style="64" customWidth="1"/>
    <col min="46" max="46" width="13" style="64" customWidth="1"/>
    <col min="47" max="47" width="13.28515625" style="64" customWidth="1"/>
    <col min="48" max="48" width="17.42578125" style="64" customWidth="1"/>
    <col min="49" max="49" width="12.28515625" style="64" customWidth="1"/>
    <col min="50" max="50" width="37.5703125" style="64" customWidth="1"/>
    <col min="51" max="51" width="25.7109375" style="64" customWidth="1"/>
    <col min="52" max="52" width="17" style="64" customWidth="1"/>
    <col min="53" max="53" width="12.7109375" style="64" customWidth="1"/>
    <col min="54" max="54" width="13.28515625" style="64" customWidth="1"/>
    <col min="55" max="55" width="17.5703125" style="64" customWidth="1"/>
    <col min="56" max="56" width="7.5703125" style="64" customWidth="1"/>
    <col min="57" max="57" width="37.42578125" style="64" customWidth="1"/>
    <col min="58" max="58" width="25.7109375" style="64" customWidth="1"/>
    <col min="59" max="59" width="17.28515625" style="64" customWidth="1"/>
    <col min="60" max="60" width="13" style="64" customWidth="1"/>
    <col min="61" max="61" width="13.28515625" style="64" customWidth="1"/>
    <col min="62" max="62" width="17.42578125" style="64" customWidth="1"/>
    <col min="63" max="63" width="7.5703125" style="64" customWidth="1"/>
    <col min="64" max="64" width="37.5703125" style="64" customWidth="1"/>
    <col min="65" max="65" width="25.5703125" style="64" customWidth="1"/>
    <col min="66" max="66" width="17.28515625" style="64" customWidth="1"/>
    <col min="67" max="67" width="12.7109375" style="64" customWidth="1"/>
    <col min="68" max="68" width="13.28515625" style="64" customWidth="1"/>
    <col min="69" max="69" width="17.42578125" style="64" customWidth="1"/>
    <col min="70" max="70" width="7.7109375" style="64" customWidth="1"/>
    <col min="71" max="71" width="37.5703125" style="64" customWidth="1"/>
    <col min="72" max="72" width="25.7109375" style="64" customWidth="1"/>
    <col min="73" max="73" width="17.28515625" style="64" customWidth="1"/>
    <col min="74" max="74" width="12.7109375" style="64" customWidth="1"/>
    <col min="75" max="75" width="13.28515625" style="64" customWidth="1"/>
    <col min="76" max="76" width="17.5703125" style="64" customWidth="1"/>
    <col min="77" max="77" width="7.5703125" style="64" customWidth="1"/>
    <col min="78" max="78" width="37.42578125" style="64" customWidth="1"/>
    <col min="79" max="79" width="25.7109375" style="64" customWidth="1"/>
    <col min="80" max="80" width="17" style="64" customWidth="1"/>
    <col min="81" max="81" width="13" style="64" customWidth="1"/>
    <col min="82" max="82" width="13.28515625" style="64" customWidth="1"/>
    <col min="83" max="83" width="17.5703125" style="64" customWidth="1"/>
    <col min="84" max="84" width="10.5703125" style="64" customWidth="1"/>
    <col min="85" max="85" width="37.42578125" style="64" customWidth="1"/>
    <col min="86" max="86" width="25.7109375" style="64" customWidth="1"/>
    <col min="87" max="87" width="17.28515625" style="64" customWidth="1"/>
    <col min="88" max="88" width="12.7109375" style="64" customWidth="1"/>
    <col min="89" max="89" width="13.28515625" style="64" customWidth="1"/>
    <col min="90" max="90" width="17.5703125" style="64" customWidth="1"/>
    <col min="91" max="91" width="7.5703125" style="64" customWidth="1"/>
    <col min="92" max="92" width="37.42578125" style="64" customWidth="1"/>
    <col min="93" max="93" width="25.7109375" style="64" customWidth="1"/>
    <col min="94" max="94" width="17.28515625" style="64" customWidth="1"/>
    <col min="95" max="95" width="13" style="64" customWidth="1"/>
    <col min="96" max="96" width="13.28515625" style="64" customWidth="1"/>
    <col min="97" max="97" width="17.5703125" style="64" customWidth="1"/>
    <col min="98" max="98" width="9.7109375" style="64" customWidth="1"/>
    <col min="99" max="99" width="37.42578125" style="64" customWidth="1"/>
    <col min="100" max="100" width="25.5703125" style="64" customWidth="1"/>
    <col min="101" max="101" width="17.28515625" style="64" customWidth="1"/>
    <col min="102" max="102" width="12.7109375" style="64" customWidth="1"/>
    <col min="103" max="103" width="13.42578125" style="64" customWidth="1"/>
    <col min="104" max="104" width="17.42578125" style="64" customWidth="1"/>
    <col min="105" max="105" width="7.5703125" style="75" customWidth="1"/>
    <col min="106" max="106" width="37.5703125" style="64" customWidth="1"/>
    <col min="107" max="107" width="25.5703125" style="64" customWidth="1"/>
    <col min="108" max="108" width="17.28515625" style="64" customWidth="1"/>
    <col min="109" max="109" width="12.7109375" style="64" customWidth="1"/>
    <col min="110" max="110" width="13.28515625" style="64" customWidth="1"/>
    <col min="111" max="111" width="17.42578125" style="64" customWidth="1"/>
    <col min="112" max="112" width="7.5703125" style="75" customWidth="1"/>
    <col min="113" max="16384" width="11.42578125" style="64"/>
  </cols>
  <sheetData>
    <row r="1" spans="1:194" ht="26.25" x14ac:dyDescent="0.4">
      <c r="A1" s="199" t="str">
        <f>'Standard Vorgaben'!$A$1</f>
        <v>Arbokost 2023</v>
      </c>
      <c r="B1" s="626" t="str">
        <f>'Standard Erstellung'!$B$1</f>
        <v>Tafelzwetschge</v>
      </c>
      <c r="C1" s="627"/>
      <c r="D1" s="627"/>
      <c r="E1" s="628"/>
      <c r="F1" s="629"/>
      <c r="G1" s="627"/>
      <c r="H1" s="627"/>
      <c r="I1" s="627"/>
      <c r="J1" s="621"/>
      <c r="K1" s="621"/>
      <c r="L1" s="621"/>
      <c r="M1" s="621"/>
      <c r="N1" s="621"/>
      <c r="O1" s="621"/>
      <c r="P1" s="621"/>
      <c r="Q1" s="621"/>
      <c r="R1" s="633"/>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1"/>
      <c r="AY1" s="621"/>
      <c r="AZ1" s="621"/>
      <c r="BA1" s="621"/>
      <c r="BB1" s="621"/>
      <c r="BC1" s="621"/>
      <c r="BD1" s="621"/>
      <c r="BE1" s="621"/>
      <c r="BF1" s="621"/>
      <c r="BG1" s="621"/>
      <c r="BH1" s="621"/>
      <c r="BI1" s="621"/>
      <c r="BJ1" s="621"/>
      <c r="BK1" s="621"/>
      <c r="BL1" s="621"/>
      <c r="BM1" s="621"/>
      <c r="BN1" s="621"/>
      <c r="BO1" s="621"/>
      <c r="BP1" s="621"/>
      <c r="BQ1" s="621"/>
      <c r="BR1" s="621"/>
      <c r="BS1" s="621"/>
      <c r="BT1" s="621"/>
      <c r="BU1" s="621"/>
      <c r="BV1" s="621"/>
      <c r="BW1" s="621"/>
      <c r="BX1" s="621"/>
      <c r="BY1" s="621"/>
      <c r="BZ1" s="621"/>
      <c r="CA1" s="621"/>
      <c r="CB1" s="621"/>
      <c r="CC1" s="621"/>
      <c r="CD1" s="621"/>
      <c r="CE1" s="621"/>
      <c r="CF1" s="621"/>
      <c r="CG1" s="621"/>
      <c r="CH1" s="621"/>
      <c r="CI1" s="621"/>
      <c r="CJ1" s="621"/>
      <c r="CK1" s="621"/>
      <c r="CL1" s="621"/>
      <c r="CM1" s="621"/>
      <c r="CN1" s="621"/>
      <c r="CO1" s="621"/>
      <c r="CP1" s="621"/>
      <c r="CQ1" s="621"/>
      <c r="CR1" s="621"/>
      <c r="CS1" s="621"/>
      <c r="CT1" s="621"/>
      <c r="CU1" s="621"/>
      <c r="CV1" s="621"/>
      <c r="CW1" s="621"/>
      <c r="CX1" s="621"/>
      <c r="CY1" s="621"/>
      <c r="CZ1" s="621"/>
      <c r="DA1" s="563"/>
      <c r="DB1" s="621"/>
      <c r="DC1" s="621"/>
      <c r="DD1" s="621"/>
      <c r="DE1" s="621"/>
      <c r="DF1" s="621"/>
      <c r="DG1" s="621"/>
      <c r="DH1" s="563"/>
    </row>
    <row r="2" spans="1:194" s="73" customFormat="1" ht="7.5" customHeight="1" x14ac:dyDescent="0.6">
      <c r="A2" s="630"/>
      <c r="B2" s="621"/>
      <c r="C2" s="627"/>
      <c r="D2" s="627"/>
      <c r="E2" s="628"/>
      <c r="F2" s="629"/>
      <c r="G2" s="627"/>
      <c r="H2" s="627"/>
      <c r="I2" s="627"/>
      <c r="J2" s="621"/>
      <c r="K2" s="621"/>
      <c r="L2" s="621"/>
      <c r="M2" s="621"/>
      <c r="N2" s="621"/>
      <c r="O2" s="621"/>
      <c r="P2" s="621"/>
      <c r="Q2" s="621"/>
      <c r="R2" s="633"/>
      <c r="S2" s="621"/>
      <c r="T2" s="621"/>
      <c r="U2" s="621"/>
      <c r="V2" s="621"/>
      <c r="W2" s="621"/>
      <c r="X2" s="621"/>
      <c r="Y2" s="621"/>
      <c r="Z2" s="621"/>
      <c r="AA2" s="621"/>
      <c r="AB2" s="621"/>
      <c r="AC2" s="621"/>
      <c r="AD2" s="621"/>
      <c r="AE2" s="621"/>
      <c r="AF2" s="621"/>
      <c r="AG2" s="621"/>
      <c r="AH2" s="621"/>
      <c r="AI2" s="621"/>
      <c r="AJ2" s="621"/>
      <c r="AK2" s="621"/>
      <c r="AL2" s="621"/>
      <c r="AM2" s="621"/>
      <c r="AN2" s="621"/>
      <c r="AO2" s="621"/>
      <c r="AP2" s="621"/>
      <c r="AQ2" s="621"/>
      <c r="AR2" s="621"/>
      <c r="AS2" s="621"/>
      <c r="AT2" s="621"/>
      <c r="AU2" s="621"/>
      <c r="AV2" s="621"/>
      <c r="AW2" s="621"/>
      <c r="AX2" s="621"/>
      <c r="AY2" s="621"/>
      <c r="AZ2" s="621"/>
      <c r="BA2" s="621"/>
      <c r="BB2" s="621"/>
      <c r="BC2" s="621"/>
      <c r="BD2" s="621"/>
      <c r="BE2" s="621"/>
      <c r="BF2" s="621"/>
      <c r="BG2" s="621"/>
      <c r="BH2" s="621"/>
      <c r="BI2" s="621"/>
      <c r="BJ2" s="621"/>
      <c r="BK2" s="621"/>
      <c r="BL2" s="621"/>
      <c r="BM2" s="621"/>
      <c r="BN2" s="621"/>
      <c r="BO2" s="621"/>
      <c r="BP2" s="621"/>
      <c r="BQ2" s="621"/>
      <c r="BR2" s="621"/>
      <c r="BS2" s="621"/>
      <c r="BT2" s="621"/>
      <c r="BU2" s="621"/>
      <c r="BV2" s="621"/>
      <c r="BW2" s="621"/>
      <c r="BX2" s="621"/>
      <c r="BY2" s="621"/>
      <c r="BZ2" s="621"/>
      <c r="CA2" s="621"/>
      <c r="CB2" s="621"/>
      <c r="CC2" s="621"/>
      <c r="CD2" s="621"/>
      <c r="CE2" s="621"/>
      <c r="CF2" s="621"/>
      <c r="CG2" s="621"/>
      <c r="CH2" s="621"/>
      <c r="CI2" s="621"/>
      <c r="CJ2" s="621"/>
      <c r="CK2" s="621"/>
      <c r="CL2" s="621"/>
      <c r="CM2" s="621"/>
      <c r="CN2" s="621"/>
      <c r="CO2" s="621"/>
      <c r="CP2" s="621"/>
      <c r="CQ2" s="621"/>
      <c r="CR2" s="621"/>
      <c r="CS2" s="621"/>
      <c r="CT2" s="621"/>
      <c r="CU2" s="621"/>
      <c r="CV2" s="621"/>
      <c r="CW2" s="621"/>
      <c r="CX2" s="621"/>
      <c r="CY2" s="621"/>
      <c r="CZ2" s="621"/>
      <c r="DA2" s="563"/>
      <c r="DB2" s="621"/>
      <c r="DC2" s="621"/>
      <c r="DD2" s="621"/>
      <c r="DE2" s="621"/>
      <c r="DF2" s="621"/>
      <c r="DG2" s="621"/>
      <c r="DH2" s="563"/>
    </row>
    <row r="3" spans="1:194" ht="4.5" customHeight="1" x14ac:dyDescent="0.2">
      <c r="A3" s="615"/>
      <c r="B3" s="621"/>
      <c r="C3" s="627"/>
      <c r="D3" s="627"/>
      <c r="E3" s="628"/>
      <c r="F3" s="629"/>
      <c r="G3" s="627"/>
      <c r="H3" s="627"/>
      <c r="I3" s="627"/>
      <c r="J3" s="621"/>
      <c r="K3" s="621"/>
      <c r="L3" s="621"/>
      <c r="M3" s="621"/>
      <c r="N3" s="621"/>
      <c r="O3" s="621"/>
      <c r="P3" s="621"/>
      <c r="Q3" s="621"/>
      <c r="R3" s="633"/>
      <c r="S3" s="621"/>
      <c r="T3" s="621"/>
      <c r="U3" s="621"/>
      <c r="V3" s="621"/>
      <c r="W3" s="621"/>
      <c r="X3" s="621"/>
      <c r="Y3" s="621"/>
      <c r="Z3" s="621"/>
      <c r="AA3" s="621"/>
      <c r="AB3" s="621"/>
      <c r="AC3" s="621"/>
      <c r="AD3" s="621"/>
      <c r="AE3" s="621"/>
      <c r="AF3" s="621"/>
      <c r="AG3" s="621"/>
      <c r="AH3" s="621"/>
      <c r="AI3" s="621"/>
      <c r="AJ3" s="621"/>
      <c r="AK3" s="621"/>
      <c r="AL3" s="621"/>
      <c r="AM3" s="621"/>
      <c r="AN3" s="621"/>
      <c r="AO3" s="621"/>
      <c r="AP3" s="621"/>
      <c r="AQ3" s="621"/>
      <c r="AR3" s="621"/>
      <c r="AS3" s="621"/>
      <c r="AT3" s="621"/>
      <c r="AU3" s="621"/>
      <c r="AV3" s="621"/>
      <c r="AW3" s="621"/>
      <c r="AX3" s="621"/>
      <c r="AY3" s="621"/>
      <c r="AZ3" s="621"/>
      <c r="BA3" s="621"/>
      <c r="BB3" s="621"/>
      <c r="BC3" s="621"/>
      <c r="BD3" s="621"/>
      <c r="BE3" s="621"/>
      <c r="BF3" s="621"/>
      <c r="BG3" s="621"/>
      <c r="BH3" s="621"/>
      <c r="BI3" s="621"/>
      <c r="BJ3" s="621"/>
      <c r="BK3" s="621"/>
      <c r="BL3" s="621"/>
      <c r="BM3" s="621"/>
      <c r="BN3" s="621"/>
      <c r="BO3" s="621"/>
      <c r="BP3" s="621"/>
      <c r="BQ3" s="621"/>
      <c r="BR3" s="621"/>
      <c r="BS3" s="621"/>
      <c r="BT3" s="621"/>
      <c r="BU3" s="621"/>
      <c r="BV3" s="621"/>
      <c r="BW3" s="621"/>
      <c r="BX3" s="621"/>
      <c r="BY3" s="621"/>
      <c r="BZ3" s="621"/>
      <c r="CA3" s="621"/>
      <c r="CB3" s="621"/>
      <c r="CC3" s="621"/>
      <c r="CD3" s="621"/>
      <c r="CE3" s="621"/>
      <c r="CF3" s="621"/>
      <c r="CG3" s="621"/>
      <c r="CH3" s="621"/>
      <c r="CI3" s="621"/>
      <c r="CJ3" s="621"/>
      <c r="CK3" s="621"/>
      <c r="CL3" s="621"/>
      <c r="CM3" s="621"/>
      <c r="CN3" s="621"/>
      <c r="CO3" s="621"/>
      <c r="CP3" s="621"/>
      <c r="CQ3" s="621"/>
      <c r="CR3" s="621"/>
      <c r="CS3" s="621"/>
      <c r="CT3" s="621"/>
      <c r="CU3" s="621"/>
      <c r="CV3" s="621"/>
      <c r="CW3" s="621"/>
      <c r="CX3" s="621"/>
      <c r="CY3" s="621"/>
      <c r="CZ3" s="621"/>
      <c r="DA3" s="563"/>
      <c r="DB3" s="621"/>
      <c r="DC3" s="621"/>
      <c r="DD3" s="621"/>
      <c r="DE3" s="621"/>
      <c r="DF3" s="621"/>
      <c r="DG3" s="621"/>
      <c r="DH3" s="563"/>
    </row>
    <row r="4" spans="1:194" ht="20.25" x14ac:dyDescent="0.3">
      <c r="A4" s="620" t="s">
        <v>324</v>
      </c>
      <c r="B4" s="626"/>
      <c r="C4" s="611"/>
      <c r="D4" s="611"/>
      <c r="E4" s="611"/>
      <c r="F4" s="611"/>
      <c r="G4" s="611"/>
      <c r="H4" s="620" t="s">
        <v>324</v>
      </c>
      <c r="I4" s="626" t="str">
        <f>'Standard Erstellung'!$B$1</f>
        <v>Tafelzwetschge</v>
      </c>
      <c r="J4" s="611"/>
      <c r="K4" s="611"/>
      <c r="L4" s="611"/>
      <c r="M4" s="611"/>
      <c r="N4" s="611"/>
      <c r="O4" s="620" t="s">
        <v>324</v>
      </c>
      <c r="P4" s="626" t="str">
        <f>'Standard Erstellung'!$B$1</f>
        <v>Tafelzwetschge</v>
      </c>
      <c r="Q4" s="611"/>
      <c r="R4" s="611"/>
      <c r="S4" s="611"/>
      <c r="T4" s="611"/>
      <c r="U4" s="611"/>
      <c r="V4" s="620" t="s">
        <v>324</v>
      </c>
      <c r="W4" s="626" t="str">
        <f>'Standard Erstellung'!$B$1</f>
        <v>Tafelzwetschge</v>
      </c>
      <c r="X4" s="611"/>
      <c r="Y4" s="611"/>
      <c r="Z4" s="611"/>
      <c r="AA4" s="611"/>
      <c r="AB4" s="611"/>
      <c r="AC4" s="620" t="s">
        <v>324</v>
      </c>
      <c r="AD4" s="626" t="str">
        <f>'Standard Erstellung'!$B$1</f>
        <v>Tafelzwetschge</v>
      </c>
      <c r="AE4" s="611"/>
      <c r="AF4" s="611"/>
      <c r="AG4" s="611"/>
      <c r="AH4" s="611"/>
      <c r="AI4" s="611"/>
      <c r="AJ4" s="620" t="s">
        <v>324</v>
      </c>
      <c r="AK4" s="626" t="str">
        <f>'Standard Erstellung'!$B$1</f>
        <v>Tafelzwetschge</v>
      </c>
      <c r="AL4" s="611"/>
      <c r="AM4" s="611"/>
      <c r="AN4" s="611"/>
      <c r="AO4" s="611"/>
      <c r="AP4" s="611"/>
      <c r="AQ4" s="620" t="s">
        <v>324</v>
      </c>
      <c r="AR4" s="626" t="str">
        <f>'Standard Erstellung'!$B$1</f>
        <v>Tafelzwetschge</v>
      </c>
      <c r="AS4" s="611"/>
      <c r="AT4" s="611"/>
      <c r="AU4" s="611"/>
      <c r="AV4" s="611"/>
      <c r="AW4" s="611"/>
      <c r="AX4" s="620" t="s">
        <v>324</v>
      </c>
      <c r="AY4" s="626" t="str">
        <f>'Standard Erstellung'!$B$1</f>
        <v>Tafelzwetschge</v>
      </c>
      <c r="AZ4" s="611"/>
      <c r="BA4" s="611"/>
      <c r="BB4" s="611"/>
      <c r="BC4" s="611"/>
      <c r="BD4" s="611"/>
      <c r="BE4" s="620" t="s">
        <v>324</v>
      </c>
      <c r="BF4" s="626" t="str">
        <f>'Standard Erstellung'!$B$1</f>
        <v>Tafelzwetschge</v>
      </c>
      <c r="BG4" s="611"/>
      <c r="BH4" s="611"/>
      <c r="BI4" s="611"/>
      <c r="BJ4" s="611"/>
      <c r="BK4" s="611"/>
      <c r="BL4" s="620" t="s">
        <v>324</v>
      </c>
      <c r="BM4" s="626" t="str">
        <f>'Standard Erstellung'!$B$1</f>
        <v>Tafelzwetschge</v>
      </c>
      <c r="BN4" s="611"/>
      <c r="BO4" s="611"/>
      <c r="BP4" s="611"/>
      <c r="BQ4" s="611"/>
      <c r="BR4" s="611"/>
      <c r="BS4" s="620" t="s">
        <v>324</v>
      </c>
      <c r="BT4" s="626" t="str">
        <f>'Standard Erstellung'!$B$1</f>
        <v>Tafelzwetschge</v>
      </c>
      <c r="BU4" s="611"/>
      <c r="BV4" s="611"/>
      <c r="BW4" s="611"/>
      <c r="BX4" s="611"/>
      <c r="BY4" s="611"/>
      <c r="BZ4" s="620" t="s">
        <v>324</v>
      </c>
      <c r="CA4" s="626" t="str">
        <f>'Standard Erstellung'!$B$1</f>
        <v>Tafelzwetschge</v>
      </c>
      <c r="CB4" s="611"/>
      <c r="CC4" s="611"/>
      <c r="CD4" s="611"/>
      <c r="CE4" s="611"/>
      <c r="CF4" s="611"/>
      <c r="CG4" s="620" t="s">
        <v>324</v>
      </c>
      <c r="CH4" s="626" t="str">
        <f>'Standard Erstellung'!$B$1</f>
        <v>Tafelzwetschge</v>
      </c>
      <c r="CI4" s="611"/>
      <c r="CJ4" s="611"/>
      <c r="CK4" s="611"/>
      <c r="CL4" s="611"/>
      <c r="CM4" s="611"/>
      <c r="CN4" s="620" t="s">
        <v>324</v>
      </c>
      <c r="CO4" s="626" t="str">
        <f>'Standard Erstellung'!$B$1</f>
        <v>Tafelzwetschge</v>
      </c>
      <c r="CP4" s="611"/>
      <c r="CQ4" s="611"/>
      <c r="CR4" s="611"/>
      <c r="CS4" s="611"/>
      <c r="CT4" s="611"/>
      <c r="CU4" s="620" t="s">
        <v>324</v>
      </c>
      <c r="CV4" s="626" t="str">
        <f>'Standard Erstellung'!$B$1</f>
        <v>Tafelzwetschge</v>
      </c>
      <c r="CW4" s="611"/>
      <c r="CX4" s="611"/>
      <c r="CY4" s="611"/>
      <c r="CZ4" s="611"/>
      <c r="DA4" s="611"/>
      <c r="DB4" s="620" t="s">
        <v>324</v>
      </c>
      <c r="DC4" s="626" t="str">
        <f>'Standard Erstellung'!$B$1</f>
        <v>Tafelzwetschge</v>
      </c>
      <c r="DD4" s="611"/>
      <c r="DE4" s="611"/>
      <c r="DF4" s="611"/>
      <c r="DG4" s="611"/>
      <c r="DH4" s="611"/>
    </row>
    <row r="5" spans="1:194" s="467" customFormat="1" ht="23.25" customHeight="1" x14ac:dyDescent="0.25">
      <c r="A5" s="340" t="s">
        <v>41</v>
      </c>
      <c r="B5" s="631">
        <f>'Standard Erstellung'!$B$2</f>
        <v>1125</v>
      </c>
      <c r="C5" s="632"/>
      <c r="D5" s="632"/>
      <c r="E5" s="632"/>
      <c r="F5" s="632"/>
      <c r="G5" s="632"/>
      <c r="H5" s="340" t="s">
        <v>42</v>
      </c>
      <c r="I5" s="634">
        <f>'Standard Vorgaben'!$B$24</f>
        <v>1125</v>
      </c>
      <c r="J5" s="632"/>
      <c r="K5" s="632"/>
      <c r="L5" s="632"/>
      <c r="M5" s="632"/>
      <c r="N5" s="632"/>
      <c r="O5" s="340" t="s">
        <v>43</v>
      </c>
      <c r="P5" s="634">
        <f>'Standard Vorgaben'!$B$24</f>
        <v>1125</v>
      </c>
      <c r="Q5" s="632"/>
      <c r="R5" s="632"/>
      <c r="S5" s="632"/>
      <c r="T5" s="632"/>
      <c r="U5" s="632"/>
      <c r="V5" s="340" t="s">
        <v>44</v>
      </c>
      <c r="W5" s="634">
        <f>'Standard Vorgaben'!$B$24</f>
        <v>1125</v>
      </c>
      <c r="X5" s="632"/>
      <c r="Y5" s="632"/>
      <c r="Z5" s="632"/>
      <c r="AA5" s="632"/>
      <c r="AB5" s="632"/>
      <c r="AC5" s="340" t="s">
        <v>45</v>
      </c>
      <c r="AD5" s="634">
        <f>'Standard Vorgaben'!$B$24</f>
        <v>1125</v>
      </c>
      <c r="AE5" s="632"/>
      <c r="AF5" s="632"/>
      <c r="AG5" s="632"/>
      <c r="AH5" s="632"/>
      <c r="AI5" s="632"/>
      <c r="AJ5" s="340" t="s">
        <v>46</v>
      </c>
      <c r="AK5" s="634">
        <f>'Standard Vorgaben'!$B$24</f>
        <v>1125</v>
      </c>
      <c r="AL5" s="632"/>
      <c r="AM5" s="632"/>
      <c r="AN5" s="632"/>
      <c r="AO5" s="632"/>
      <c r="AP5" s="632"/>
      <c r="AQ5" s="340" t="s">
        <v>47</v>
      </c>
      <c r="AR5" s="634">
        <f>'Standard Vorgaben'!$B$24</f>
        <v>1125</v>
      </c>
      <c r="AS5" s="632"/>
      <c r="AT5" s="632"/>
      <c r="AU5" s="632"/>
      <c r="AV5" s="632"/>
      <c r="AW5" s="632"/>
      <c r="AX5" s="340" t="s">
        <v>48</v>
      </c>
      <c r="AY5" s="634">
        <f>'Standard Vorgaben'!$B$24</f>
        <v>1125</v>
      </c>
      <c r="AZ5" s="632"/>
      <c r="BA5" s="632"/>
      <c r="BB5" s="632"/>
      <c r="BC5" s="632"/>
      <c r="BD5" s="632"/>
      <c r="BE5" s="340" t="s">
        <v>49</v>
      </c>
      <c r="BF5" s="634">
        <f>'Standard Vorgaben'!$B$24</f>
        <v>1125</v>
      </c>
      <c r="BG5" s="632"/>
      <c r="BH5" s="632"/>
      <c r="BI5" s="632"/>
      <c r="BJ5" s="632"/>
      <c r="BK5" s="632"/>
      <c r="BL5" s="340" t="s">
        <v>50</v>
      </c>
      <c r="BM5" s="634">
        <f>'Standard Vorgaben'!$B$24</f>
        <v>1125</v>
      </c>
      <c r="BN5" s="632"/>
      <c r="BO5" s="632"/>
      <c r="BP5" s="632"/>
      <c r="BQ5" s="632"/>
      <c r="BR5" s="632"/>
      <c r="BS5" s="340" t="s">
        <v>51</v>
      </c>
      <c r="BT5" s="634">
        <f>'Standard Vorgaben'!$B$24</f>
        <v>1125</v>
      </c>
      <c r="BU5" s="632"/>
      <c r="BV5" s="632"/>
      <c r="BW5" s="632"/>
      <c r="BX5" s="632"/>
      <c r="BY5" s="632"/>
      <c r="BZ5" s="340" t="s">
        <v>52</v>
      </c>
      <c r="CA5" s="634">
        <f>'Standard Vorgaben'!$B$24</f>
        <v>1125</v>
      </c>
      <c r="CB5" s="632"/>
      <c r="CC5" s="632"/>
      <c r="CD5" s="632"/>
      <c r="CE5" s="632"/>
      <c r="CF5" s="632"/>
      <c r="CG5" s="340" t="s">
        <v>53</v>
      </c>
      <c r="CH5" s="634">
        <f>'Standard Vorgaben'!$B$24</f>
        <v>1125</v>
      </c>
      <c r="CI5" s="632"/>
      <c r="CJ5" s="632"/>
      <c r="CK5" s="632"/>
      <c r="CL5" s="632"/>
      <c r="CM5" s="632"/>
      <c r="CN5" s="340" t="s">
        <v>54</v>
      </c>
      <c r="CO5" s="634">
        <f>'Standard Vorgaben'!$B$24</f>
        <v>1125</v>
      </c>
      <c r="CP5" s="632"/>
      <c r="CQ5" s="632"/>
      <c r="CR5" s="632"/>
      <c r="CS5" s="632"/>
      <c r="CT5" s="632"/>
      <c r="CU5" s="340" t="s">
        <v>55</v>
      </c>
      <c r="CV5" s="634">
        <f>'Standard Vorgaben'!$B$24</f>
        <v>1125</v>
      </c>
      <c r="CW5" s="632"/>
      <c r="CX5" s="632"/>
      <c r="CY5" s="632"/>
      <c r="CZ5" s="632"/>
      <c r="DA5" s="632"/>
      <c r="DB5" s="340" t="s">
        <v>154</v>
      </c>
      <c r="DC5" s="634">
        <f>'Standard Vorgaben'!$B$24</f>
        <v>1125</v>
      </c>
      <c r="DD5" s="632"/>
      <c r="DE5" s="632"/>
      <c r="DF5" s="632"/>
      <c r="DG5" s="632"/>
      <c r="DH5" s="632"/>
    </row>
    <row r="6" spans="1:194" s="80" customFormat="1" ht="21.6" customHeight="1" x14ac:dyDescent="0.25">
      <c r="A6" s="187" t="str">
        <f>'Standard Vorgaben'!A2</f>
        <v>Standard 1ha</v>
      </c>
      <c r="B6" s="621"/>
      <c r="C6" s="621"/>
      <c r="D6" s="621"/>
      <c r="E6" s="615"/>
      <c r="F6" s="191" t="s">
        <v>114</v>
      </c>
      <c r="G6" s="616"/>
      <c r="H6" s="187" t="str">
        <f>'Standard Vorgaben'!$A$2</f>
        <v>Standard 1ha</v>
      </c>
      <c r="I6" s="621"/>
      <c r="J6" s="621"/>
      <c r="K6" s="621"/>
      <c r="L6" s="627"/>
      <c r="M6" s="632"/>
      <c r="N6" s="616"/>
      <c r="O6" s="187" t="str">
        <f>'Standard Vorgaben'!$A$2</f>
        <v>Standard 1ha</v>
      </c>
      <c r="P6" s="621"/>
      <c r="Q6" s="621"/>
      <c r="R6" s="621"/>
      <c r="S6" s="627"/>
      <c r="T6" s="632"/>
      <c r="U6" s="616"/>
      <c r="V6" s="187" t="str">
        <f>'Standard Vorgaben'!$A$2</f>
        <v>Standard 1ha</v>
      </c>
      <c r="W6" s="621"/>
      <c r="X6" s="621"/>
      <c r="Y6" s="621"/>
      <c r="Z6" s="627"/>
      <c r="AA6" s="632"/>
      <c r="AB6" s="616"/>
      <c r="AC6" s="187" t="str">
        <f>'Standard Vorgaben'!$A$2</f>
        <v>Standard 1ha</v>
      </c>
      <c r="AD6" s="621"/>
      <c r="AE6" s="621"/>
      <c r="AF6" s="621"/>
      <c r="AG6" s="627"/>
      <c r="AH6" s="632"/>
      <c r="AI6" s="616"/>
      <c r="AJ6" s="187" t="str">
        <f>'Standard Vorgaben'!$A$2</f>
        <v>Standard 1ha</v>
      </c>
      <c r="AK6" s="621"/>
      <c r="AL6" s="621"/>
      <c r="AM6" s="621"/>
      <c r="AN6" s="627"/>
      <c r="AO6" s="632"/>
      <c r="AP6" s="616"/>
      <c r="AQ6" s="187" t="str">
        <f>'Standard Vorgaben'!$A$2</f>
        <v>Standard 1ha</v>
      </c>
      <c r="AR6" s="621"/>
      <c r="AS6" s="621"/>
      <c r="AT6" s="621"/>
      <c r="AU6" s="627"/>
      <c r="AV6" s="632"/>
      <c r="AW6" s="616"/>
      <c r="AX6" s="187" t="str">
        <f>'Standard Vorgaben'!$A$2</f>
        <v>Standard 1ha</v>
      </c>
      <c r="AY6" s="621"/>
      <c r="AZ6" s="621"/>
      <c r="BA6" s="621"/>
      <c r="BB6" s="627"/>
      <c r="BC6" s="632"/>
      <c r="BD6" s="616"/>
      <c r="BE6" s="187" t="str">
        <f>'Standard Vorgaben'!$A$2</f>
        <v>Standard 1ha</v>
      </c>
      <c r="BF6" s="621"/>
      <c r="BG6" s="621"/>
      <c r="BH6" s="621"/>
      <c r="BI6" s="627"/>
      <c r="BJ6" s="632"/>
      <c r="BK6" s="616"/>
      <c r="BL6" s="187" t="str">
        <f>'Standard Vorgaben'!$A$2</f>
        <v>Standard 1ha</v>
      </c>
      <c r="BM6" s="621"/>
      <c r="BN6" s="621"/>
      <c r="BO6" s="621"/>
      <c r="BP6" s="627"/>
      <c r="BQ6" s="632"/>
      <c r="BR6" s="616"/>
      <c r="BS6" s="187" t="str">
        <f>'Standard Vorgaben'!$A$2</f>
        <v>Standard 1ha</v>
      </c>
      <c r="BT6" s="621"/>
      <c r="BU6" s="621"/>
      <c r="BV6" s="621"/>
      <c r="BW6" s="627"/>
      <c r="BX6" s="632"/>
      <c r="BY6" s="616"/>
      <c r="BZ6" s="187" t="str">
        <f>'Standard Vorgaben'!$A$2</f>
        <v>Standard 1ha</v>
      </c>
      <c r="CA6" s="621"/>
      <c r="CB6" s="621"/>
      <c r="CC6" s="621"/>
      <c r="CD6" s="627"/>
      <c r="CE6" s="632"/>
      <c r="CF6" s="616"/>
      <c r="CG6" s="187" t="str">
        <f>'Standard Vorgaben'!$A$2</f>
        <v>Standard 1ha</v>
      </c>
      <c r="CH6" s="621"/>
      <c r="CI6" s="621"/>
      <c r="CJ6" s="621"/>
      <c r="CK6" s="627"/>
      <c r="CL6" s="632"/>
      <c r="CM6" s="616"/>
      <c r="CN6" s="187" t="str">
        <f>'Standard Vorgaben'!$A$2</f>
        <v>Standard 1ha</v>
      </c>
      <c r="CO6" s="621"/>
      <c r="CP6" s="621"/>
      <c r="CQ6" s="621"/>
      <c r="CR6" s="627"/>
      <c r="CS6" s="632"/>
      <c r="CT6" s="616"/>
      <c r="CU6" s="187" t="str">
        <f>'Standard Vorgaben'!$A$2</f>
        <v>Standard 1ha</v>
      </c>
      <c r="CV6" s="621"/>
      <c r="CW6" s="621"/>
      <c r="CX6" s="621"/>
      <c r="CY6" s="627"/>
      <c r="CZ6" s="632"/>
      <c r="DA6" s="616"/>
      <c r="DB6" s="187" t="str">
        <f>'Standard Vorgaben'!$A$2</f>
        <v>Standard 1ha</v>
      </c>
      <c r="DC6" s="621"/>
      <c r="DD6" s="621"/>
      <c r="DE6" s="621"/>
      <c r="DF6" s="627"/>
      <c r="DG6" s="632"/>
      <c r="DH6" s="616"/>
    </row>
    <row r="7" spans="1:194" s="49" customFormat="1" x14ac:dyDescent="0.2">
      <c r="B7" s="64"/>
      <c r="C7" s="468" t="s">
        <v>56</v>
      </c>
      <c r="D7" s="468" t="s">
        <v>57</v>
      </c>
      <c r="E7" s="469" t="s">
        <v>58</v>
      </c>
      <c r="F7" s="470" t="s">
        <v>59</v>
      </c>
      <c r="G7" s="471" t="s">
        <v>60</v>
      </c>
      <c r="I7" s="64"/>
      <c r="J7" s="468" t="s">
        <v>56</v>
      </c>
      <c r="K7" s="468" t="s">
        <v>57</v>
      </c>
      <c r="L7" s="469" t="s">
        <v>58</v>
      </c>
      <c r="M7" s="470" t="s">
        <v>59</v>
      </c>
      <c r="N7" s="471" t="s">
        <v>60</v>
      </c>
      <c r="P7" s="64"/>
      <c r="Q7" s="468" t="s">
        <v>56</v>
      </c>
      <c r="R7" s="468" t="s">
        <v>57</v>
      </c>
      <c r="S7" s="469" t="s">
        <v>58</v>
      </c>
      <c r="T7" s="470" t="s">
        <v>59</v>
      </c>
      <c r="U7" s="471" t="s">
        <v>60</v>
      </c>
      <c r="W7" s="64"/>
      <c r="X7" s="468" t="s">
        <v>56</v>
      </c>
      <c r="Y7" s="468" t="s">
        <v>57</v>
      </c>
      <c r="Z7" s="469" t="s">
        <v>58</v>
      </c>
      <c r="AA7" s="470" t="s">
        <v>59</v>
      </c>
      <c r="AB7" s="471" t="s">
        <v>60</v>
      </c>
      <c r="AD7" s="64"/>
      <c r="AE7" s="468" t="s">
        <v>56</v>
      </c>
      <c r="AF7" s="468" t="s">
        <v>57</v>
      </c>
      <c r="AG7" s="469" t="s">
        <v>58</v>
      </c>
      <c r="AH7" s="470" t="s">
        <v>59</v>
      </c>
      <c r="AI7" s="471" t="s">
        <v>60</v>
      </c>
      <c r="AK7" s="64"/>
      <c r="AL7" s="468" t="s">
        <v>56</v>
      </c>
      <c r="AM7" s="468" t="s">
        <v>57</v>
      </c>
      <c r="AN7" s="469" t="s">
        <v>58</v>
      </c>
      <c r="AO7" s="470" t="s">
        <v>59</v>
      </c>
      <c r="AP7" s="471" t="s">
        <v>60</v>
      </c>
      <c r="AR7" s="64"/>
      <c r="AS7" s="468" t="s">
        <v>56</v>
      </c>
      <c r="AT7" s="468" t="s">
        <v>57</v>
      </c>
      <c r="AU7" s="469" t="s">
        <v>58</v>
      </c>
      <c r="AV7" s="470" t="s">
        <v>59</v>
      </c>
      <c r="AW7" s="471" t="s">
        <v>60</v>
      </c>
      <c r="AY7" s="64"/>
      <c r="AZ7" s="468" t="s">
        <v>56</v>
      </c>
      <c r="BA7" s="468" t="s">
        <v>57</v>
      </c>
      <c r="BB7" s="469" t="s">
        <v>58</v>
      </c>
      <c r="BC7" s="470" t="s">
        <v>59</v>
      </c>
      <c r="BD7" s="471" t="s">
        <v>60</v>
      </c>
      <c r="BF7" s="64"/>
      <c r="BG7" s="468" t="s">
        <v>56</v>
      </c>
      <c r="BH7" s="468" t="s">
        <v>57</v>
      </c>
      <c r="BI7" s="469" t="s">
        <v>58</v>
      </c>
      <c r="BJ7" s="470" t="s">
        <v>59</v>
      </c>
      <c r="BK7" s="471" t="s">
        <v>60</v>
      </c>
      <c r="BM7" s="64"/>
      <c r="BN7" s="468" t="s">
        <v>56</v>
      </c>
      <c r="BO7" s="468" t="s">
        <v>57</v>
      </c>
      <c r="BP7" s="469" t="s">
        <v>58</v>
      </c>
      <c r="BQ7" s="470" t="s">
        <v>59</v>
      </c>
      <c r="BR7" s="471" t="s">
        <v>60</v>
      </c>
      <c r="BT7" s="64"/>
      <c r="BU7" s="468" t="s">
        <v>56</v>
      </c>
      <c r="BV7" s="468" t="s">
        <v>57</v>
      </c>
      <c r="BW7" s="469" t="s">
        <v>58</v>
      </c>
      <c r="BX7" s="470" t="s">
        <v>59</v>
      </c>
      <c r="BY7" s="471" t="s">
        <v>60</v>
      </c>
      <c r="CA7" s="64"/>
      <c r="CB7" s="468" t="s">
        <v>56</v>
      </c>
      <c r="CC7" s="468" t="s">
        <v>57</v>
      </c>
      <c r="CD7" s="469" t="s">
        <v>58</v>
      </c>
      <c r="CE7" s="470" t="s">
        <v>59</v>
      </c>
      <c r="CF7" s="471" t="s">
        <v>60</v>
      </c>
      <c r="CH7" s="64"/>
      <c r="CI7" s="468" t="s">
        <v>56</v>
      </c>
      <c r="CJ7" s="468" t="s">
        <v>57</v>
      </c>
      <c r="CK7" s="469" t="s">
        <v>58</v>
      </c>
      <c r="CL7" s="470" t="s">
        <v>59</v>
      </c>
      <c r="CM7" s="471" t="s">
        <v>60</v>
      </c>
      <c r="CO7" s="64"/>
      <c r="CP7" s="468" t="s">
        <v>56</v>
      </c>
      <c r="CQ7" s="468" t="s">
        <v>57</v>
      </c>
      <c r="CR7" s="469" t="s">
        <v>58</v>
      </c>
      <c r="CS7" s="470" t="s">
        <v>59</v>
      </c>
      <c r="CT7" s="471" t="s">
        <v>60</v>
      </c>
      <c r="CV7" s="64"/>
      <c r="CW7" s="468" t="s">
        <v>56</v>
      </c>
      <c r="CX7" s="468" t="s">
        <v>57</v>
      </c>
      <c r="CY7" s="469" t="s">
        <v>58</v>
      </c>
      <c r="CZ7" s="470" t="s">
        <v>59</v>
      </c>
      <c r="DA7" s="471" t="s">
        <v>60</v>
      </c>
      <c r="DC7" s="64"/>
      <c r="DD7" s="468" t="s">
        <v>56</v>
      </c>
      <c r="DE7" s="468" t="s">
        <v>57</v>
      </c>
      <c r="DF7" s="469" t="s">
        <v>58</v>
      </c>
      <c r="DG7" s="470" t="s">
        <v>59</v>
      </c>
      <c r="DH7" s="471" t="s">
        <v>60</v>
      </c>
    </row>
    <row r="8" spans="1:194" s="76" customFormat="1" ht="15.75" customHeight="1" x14ac:dyDescent="0.2">
      <c r="A8" s="76" t="s">
        <v>61</v>
      </c>
      <c r="B8" s="80" t="str">
        <f>'Standard Vorgaben'!$B$45</f>
        <v>Tafelzwetschgen 33 mm</v>
      </c>
      <c r="C8" s="472">
        <f>D8/B5</f>
        <v>0</v>
      </c>
      <c r="D8" s="473">
        <f>G8*D10</f>
        <v>0</v>
      </c>
      <c r="E8" s="485">
        <f>'Standard Vorgaben'!B46</f>
        <v>1.84</v>
      </c>
      <c r="F8" s="182">
        <f>D8*E8</f>
        <v>0</v>
      </c>
      <c r="G8" s="413">
        <f>'Standard Vorgaben'!B69</f>
        <v>0.9</v>
      </c>
      <c r="H8" s="76" t="s">
        <v>61</v>
      </c>
      <c r="I8" s="80" t="str">
        <f>'Standard Vorgaben'!$B$45</f>
        <v>Tafelzwetschgen 33 mm</v>
      </c>
      <c r="J8" s="472">
        <f>K8/B5</f>
        <v>3.2</v>
      </c>
      <c r="K8" s="473">
        <f>N8*K10</f>
        <v>3600</v>
      </c>
      <c r="L8" s="485">
        <f>'Standard Vorgaben'!B47</f>
        <v>1.84</v>
      </c>
      <c r="M8" s="182">
        <f>K8*L8</f>
        <v>6624</v>
      </c>
      <c r="N8" s="413">
        <f>'Standard Vorgaben'!B70</f>
        <v>0.9</v>
      </c>
      <c r="O8" s="76" t="s">
        <v>61</v>
      </c>
      <c r="P8" s="80" t="str">
        <f>'Standard Vorgaben'!$B$45</f>
        <v>Tafelzwetschgen 33 mm</v>
      </c>
      <c r="Q8" s="472">
        <f>R8/B5</f>
        <v>4.8</v>
      </c>
      <c r="R8" s="473">
        <f>U8*R10</f>
        <v>5400</v>
      </c>
      <c r="S8" s="485">
        <f>'Standard Vorgaben'!B48</f>
        <v>1.84</v>
      </c>
      <c r="T8" s="182">
        <f>R8*S8</f>
        <v>9936</v>
      </c>
      <c r="U8" s="413">
        <f>'Standard Vorgaben'!B71</f>
        <v>0.9</v>
      </c>
      <c r="V8" s="76" t="s">
        <v>61</v>
      </c>
      <c r="W8" s="80" t="str">
        <f>'Standard Vorgaben'!$B$45</f>
        <v>Tafelzwetschgen 33 mm</v>
      </c>
      <c r="X8" s="472">
        <f>Y8/B5</f>
        <v>8</v>
      </c>
      <c r="Y8" s="473">
        <f>AB8*Y10</f>
        <v>9000</v>
      </c>
      <c r="Z8" s="485">
        <f>'Standard Vorgaben'!B49</f>
        <v>1.84</v>
      </c>
      <c r="AA8" s="182">
        <f>Y8*Z8</f>
        <v>16560</v>
      </c>
      <c r="AB8" s="413">
        <f>'Standard Vorgaben'!B72</f>
        <v>0.9</v>
      </c>
      <c r="AC8" s="76" t="s">
        <v>61</v>
      </c>
      <c r="AD8" s="80" t="str">
        <f>'Standard Vorgaben'!$B$45</f>
        <v>Tafelzwetschgen 33 mm</v>
      </c>
      <c r="AE8" s="472">
        <f>AF8/B5</f>
        <v>14.4</v>
      </c>
      <c r="AF8" s="473">
        <f>AI8*AF10</f>
        <v>16200</v>
      </c>
      <c r="AG8" s="485">
        <f>'Standard Vorgaben'!B50</f>
        <v>1.84</v>
      </c>
      <c r="AH8" s="182">
        <f>AF8*AG8</f>
        <v>29808</v>
      </c>
      <c r="AI8" s="413">
        <f>'Standard Vorgaben'!B73</f>
        <v>0.9</v>
      </c>
      <c r="AJ8" s="76" t="s">
        <v>61</v>
      </c>
      <c r="AK8" s="80" t="str">
        <f>'Standard Vorgaben'!$B$45</f>
        <v>Tafelzwetschgen 33 mm</v>
      </c>
      <c r="AL8" s="472">
        <f>AM8/B5</f>
        <v>17.600000000000001</v>
      </c>
      <c r="AM8" s="473">
        <f>AP8*AM10</f>
        <v>19800</v>
      </c>
      <c r="AN8" s="485">
        <f>'Standard Vorgaben'!B51</f>
        <v>1.84</v>
      </c>
      <c r="AO8" s="182">
        <f>AM8*AN8</f>
        <v>36432</v>
      </c>
      <c r="AP8" s="413">
        <f>'Standard Vorgaben'!B74</f>
        <v>0.9</v>
      </c>
      <c r="AQ8" s="76" t="s">
        <v>61</v>
      </c>
      <c r="AR8" s="80" t="str">
        <f>'Standard Vorgaben'!$B$45</f>
        <v>Tafelzwetschgen 33 mm</v>
      </c>
      <c r="AS8" s="472">
        <f>AT8/B5</f>
        <v>20.8</v>
      </c>
      <c r="AT8" s="473">
        <f>AW8*AT10</f>
        <v>23400</v>
      </c>
      <c r="AU8" s="485">
        <f>'Standard Vorgaben'!B52</f>
        <v>1.84</v>
      </c>
      <c r="AV8" s="182">
        <f>AT8*AU8</f>
        <v>43056</v>
      </c>
      <c r="AW8" s="413">
        <f>'Standard Vorgaben'!B75</f>
        <v>0.9</v>
      </c>
      <c r="AX8" s="76" t="s">
        <v>61</v>
      </c>
      <c r="AY8" s="80" t="str">
        <f>'Standard Vorgaben'!$B$45</f>
        <v>Tafelzwetschgen 33 mm</v>
      </c>
      <c r="AZ8" s="472">
        <f>BA8/B5</f>
        <v>20.8</v>
      </c>
      <c r="BA8" s="473">
        <f>BD8*BA10</f>
        <v>23400</v>
      </c>
      <c r="BB8" s="485">
        <f>'Standard Vorgaben'!B53</f>
        <v>1.84</v>
      </c>
      <c r="BC8" s="182">
        <f>BA8*BB8</f>
        <v>43056</v>
      </c>
      <c r="BD8" s="413">
        <f>'Standard Vorgaben'!B76</f>
        <v>0.9</v>
      </c>
      <c r="BE8" s="76" t="s">
        <v>61</v>
      </c>
      <c r="BF8" s="80" t="str">
        <f>'Standard Vorgaben'!$B$45</f>
        <v>Tafelzwetschgen 33 mm</v>
      </c>
      <c r="BG8" s="472">
        <f>BH8/B5</f>
        <v>20.8</v>
      </c>
      <c r="BH8" s="473">
        <f>BK8*BH10</f>
        <v>23400</v>
      </c>
      <c r="BI8" s="485">
        <f>'Standard Vorgaben'!B54</f>
        <v>1.84</v>
      </c>
      <c r="BJ8" s="182">
        <f>BH8*BI8</f>
        <v>43056</v>
      </c>
      <c r="BK8" s="413">
        <f>'Standard Vorgaben'!B76</f>
        <v>0.9</v>
      </c>
      <c r="BL8" s="76" t="s">
        <v>61</v>
      </c>
      <c r="BM8" s="80" t="str">
        <f>'Standard Vorgaben'!$B$45</f>
        <v>Tafelzwetschgen 33 mm</v>
      </c>
      <c r="BN8" s="472">
        <f>BO8/B5</f>
        <v>20.8</v>
      </c>
      <c r="BO8" s="473">
        <f>BR8*BO10</f>
        <v>23400</v>
      </c>
      <c r="BP8" s="485">
        <f>'Standard Vorgaben'!B55</f>
        <v>1.84</v>
      </c>
      <c r="BQ8" s="182">
        <f>BO8*BP8</f>
        <v>43056</v>
      </c>
      <c r="BR8" s="413">
        <f>'Standard Vorgaben'!B78</f>
        <v>0.9</v>
      </c>
      <c r="BS8" s="76" t="s">
        <v>61</v>
      </c>
      <c r="BT8" s="80" t="str">
        <f>'Standard Vorgaben'!$B$45</f>
        <v>Tafelzwetschgen 33 mm</v>
      </c>
      <c r="BU8" s="472">
        <f>BV8/B5</f>
        <v>20.8</v>
      </c>
      <c r="BV8" s="473">
        <f>BY8*BV10</f>
        <v>23400</v>
      </c>
      <c r="BW8" s="485">
        <f>'Standard Vorgaben'!B56</f>
        <v>1.84</v>
      </c>
      <c r="BX8" s="182">
        <f>BV8*BW8</f>
        <v>43056</v>
      </c>
      <c r="BY8" s="413">
        <f>'Standard Vorgaben'!B79</f>
        <v>0.9</v>
      </c>
      <c r="BZ8" s="76" t="s">
        <v>61</v>
      </c>
      <c r="CA8" s="80" t="str">
        <f>'Standard Vorgaben'!$B$45</f>
        <v>Tafelzwetschgen 33 mm</v>
      </c>
      <c r="CB8" s="472">
        <f>CC8/B5</f>
        <v>20.8</v>
      </c>
      <c r="CC8" s="473">
        <f>CF8*CC10</f>
        <v>23400</v>
      </c>
      <c r="CD8" s="485">
        <f>'Standard Vorgaben'!B57</f>
        <v>1.84</v>
      </c>
      <c r="CE8" s="182">
        <f>CC8*CD8</f>
        <v>43056</v>
      </c>
      <c r="CF8" s="413">
        <f>'Standard Vorgaben'!B80</f>
        <v>0.9</v>
      </c>
      <c r="CG8" s="76" t="s">
        <v>61</v>
      </c>
      <c r="CH8" s="80" t="str">
        <f>'Standard Vorgaben'!$B$45</f>
        <v>Tafelzwetschgen 33 mm</v>
      </c>
      <c r="CI8" s="472">
        <f>CJ8/B5</f>
        <v>20.8</v>
      </c>
      <c r="CJ8" s="473">
        <f>CM8*CJ10</f>
        <v>23400</v>
      </c>
      <c r="CK8" s="485">
        <f>'Standard Vorgaben'!B58</f>
        <v>1.84</v>
      </c>
      <c r="CL8" s="182">
        <f>CJ8*CK8</f>
        <v>43056</v>
      </c>
      <c r="CM8" s="413">
        <f>'Standard Vorgaben'!B81</f>
        <v>0.9</v>
      </c>
      <c r="CN8" s="76" t="s">
        <v>61</v>
      </c>
      <c r="CO8" s="80" t="str">
        <f>'Standard Vorgaben'!$B$45</f>
        <v>Tafelzwetschgen 33 mm</v>
      </c>
      <c r="CP8" s="472">
        <f>CQ8/B5</f>
        <v>20.8</v>
      </c>
      <c r="CQ8" s="473">
        <f>CT8*CQ10</f>
        <v>23400</v>
      </c>
      <c r="CR8" s="485">
        <f>'Standard Vorgaben'!B59</f>
        <v>1.84</v>
      </c>
      <c r="CS8" s="182">
        <f>CQ8*CR8</f>
        <v>43056</v>
      </c>
      <c r="CT8" s="413">
        <f>'Standard Vorgaben'!B82</f>
        <v>0.9</v>
      </c>
      <c r="CU8" s="76" t="s">
        <v>61</v>
      </c>
      <c r="CV8" s="80" t="str">
        <f>'Standard Vorgaben'!$B$45</f>
        <v>Tafelzwetschgen 33 mm</v>
      </c>
      <c r="CW8" s="472">
        <f>CX8/B5</f>
        <v>20.8</v>
      </c>
      <c r="CX8" s="473">
        <f>DA8*CX10</f>
        <v>23400</v>
      </c>
      <c r="CY8" s="485">
        <f>'Standard Vorgaben'!B60</f>
        <v>1.84</v>
      </c>
      <c r="CZ8" s="182">
        <f>CX8*CY8</f>
        <v>43056</v>
      </c>
      <c r="DA8" s="413">
        <f>'Standard Vorgaben'!B83</f>
        <v>0.9</v>
      </c>
      <c r="DB8" s="76" t="s">
        <v>61</v>
      </c>
      <c r="DC8" s="80" t="str">
        <f>'Standard Vorgaben'!$B$45</f>
        <v>Tafelzwetschgen 33 mm</v>
      </c>
      <c r="DD8" s="472">
        <f>DE8/B5</f>
        <v>20.8</v>
      </c>
      <c r="DE8" s="473">
        <f>DH8*DE10</f>
        <v>23400</v>
      </c>
      <c r="DF8" s="485">
        <f>'Standard Vorgaben'!B61</f>
        <v>1.84</v>
      </c>
      <c r="DG8" s="182">
        <f>DE8*DF8</f>
        <v>43056</v>
      </c>
      <c r="DH8" s="413">
        <f>'Standard Vorgaben'!B84</f>
        <v>0.9</v>
      </c>
    </row>
    <row r="9" spans="1:194" s="76" customFormat="1" ht="14.1" customHeight="1" x14ac:dyDescent="0.2">
      <c r="B9" s="80" t="str">
        <f>'Standard Vorgaben'!$C$45</f>
        <v>Sortierabgang</v>
      </c>
      <c r="C9" s="474">
        <f>D9/B5</f>
        <v>0</v>
      </c>
      <c r="D9" s="475">
        <f>G9*D10</f>
        <v>0</v>
      </c>
      <c r="E9" s="654">
        <f>'Standard Vorgaben'!C46</f>
        <v>0</v>
      </c>
      <c r="F9" s="176">
        <f>D9*E9</f>
        <v>0</v>
      </c>
      <c r="G9" s="417">
        <f>'Standard Vorgaben'!C69</f>
        <v>0.1</v>
      </c>
      <c r="I9" s="80" t="str">
        <f>'Standard Vorgaben'!$C$45</f>
        <v>Sortierabgang</v>
      </c>
      <c r="J9" s="474">
        <f>K9/B5</f>
        <v>0.35555555555555557</v>
      </c>
      <c r="K9" s="475">
        <f>N9*K10</f>
        <v>400</v>
      </c>
      <c r="L9" s="654">
        <f>'Standard Vorgaben'!C47</f>
        <v>0</v>
      </c>
      <c r="M9" s="176">
        <f>K9*L9</f>
        <v>0</v>
      </c>
      <c r="N9" s="417">
        <f>'Standard Vorgaben'!C70</f>
        <v>0.1</v>
      </c>
      <c r="P9" s="80" t="str">
        <f>'Standard Vorgaben'!$C$45</f>
        <v>Sortierabgang</v>
      </c>
      <c r="Q9" s="474">
        <f>R9/B5</f>
        <v>0.53333333333333333</v>
      </c>
      <c r="R9" s="475">
        <f>U9*R10</f>
        <v>600</v>
      </c>
      <c r="S9" s="654">
        <f>'Standard Vorgaben'!C48</f>
        <v>0</v>
      </c>
      <c r="T9" s="176">
        <f>R9*S9</f>
        <v>0</v>
      </c>
      <c r="U9" s="417">
        <f>'Standard Vorgaben'!C71</f>
        <v>0.1</v>
      </c>
      <c r="W9" s="80" t="str">
        <f>'Standard Vorgaben'!$C$45</f>
        <v>Sortierabgang</v>
      </c>
      <c r="X9" s="474">
        <f>Y9/B5</f>
        <v>0.88888888888888884</v>
      </c>
      <c r="Y9" s="475">
        <f>AB9*Y10</f>
        <v>1000</v>
      </c>
      <c r="Z9" s="654">
        <f>'Standard Vorgaben'!C49</f>
        <v>0</v>
      </c>
      <c r="AA9" s="176">
        <f>Y9*Z9</f>
        <v>0</v>
      </c>
      <c r="AB9" s="417">
        <f>'Standard Vorgaben'!C72</f>
        <v>0.1</v>
      </c>
      <c r="AD9" s="80" t="str">
        <f>'Standard Vorgaben'!$C$45</f>
        <v>Sortierabgang</v>
      </c>
      <c r="AE9" s="474">
        <f>AF9/B5</f>
        <v>1.6</v>
      </c>
      <c r="AF9" s="475">
        <f>AI9*AF10</f>
        <v>1800</v>
      </c>
      <c r="AG9" s="654">
        <f>'Standard Vorgaben'!C50</f>
        <v>0</v>
      </c>
      <c r="AH9" s="176">
        <f>AF9*AG9</f>
        <v>0</v>
      </c>
      <c r="AI9" s="417">
        <f>'Standard Vorgaben'!C73</f>
        <v>0.1</v>
      </c>
      <c r="AK9" s="80" t="str">
        <f>'Standard Vorgaben'!$C$45</f>
        <v>Sortierabgang</v>
      </c>
      <c r="AL9" s="474">
        <f>AM9/B5</f>
        <v>1.9555555555555555</v>
      </c>
      <c r="AM9" s="475">
        <f>AP9*AM10</f>
        <v>2200</v>
      </c>
      <c r="AN9" s="654">
        <f>'Standard Vorgaben'!C51</f>
        <v>0</v>
      </c>
      <c r="AO9" s="176">
        <f>AM9*AN9</f>
        <v>0</v>
      </c>
      <c r="AP9" s="417">
        <f>'Standard Vorgaben'!C74</f>
        <v>0.1</v>
      </c>
      <c r="AR9" s="80" t="str">
        <f>'Standard Vorgaben'!$C$45</f>
        <v>Sortierabgang</v>
      </c>
      <c r="AS9" s="474">
        <f>AT9/B5</f>
        <v>2.3111111111111109</v>
      </c>
      <c r="AT9" s="475">
        <f>AW9*AT10</f>
        <v>2600</v>
      </c>
      <c r="AU9" s="654">
        <f>'Standard Vorgaben'!C52</f>
        <v>0</v>
      </c>
      <c r="AV9" s="176">
        <f>AT9*AU9</f>
        <v>0</v>
      </c>
      <c r="AW9" s="413">
        <f>'Standard Vorgaben'!C75</f>
        <v>0.1</v>
      </c>
      <c r="AY9" s="80" t="str">
        <f>'Standard Vorgaben'!$C$45</f>
        <v>Sortierabgang</v>
      </c>
      <c r="AZ9" s="474">
        <f>BA9/B5</f>
        <v>2.3111111111111109</v>
      </c>
      <c r="BA9" s="475">
        <f>BD9*BA10</f>
        <v>2600</v>
      </c>
      <c r="BB9" s="654">
        <f>'Standard Vorgaben'!C53</f>
        <v>0</v>
      </c>
      <c r="BC9" s="176">
        <f>BA9*BB9</f>
        <v>0</v>
      </c>
      <c r="BD9" s="417">
        <f>'Standard Vorgaben'!C76</f>
        <v>0.1</v>
      </c>
      <c r="BF9" s="80" t="str">
        <f>'Standard Vorgaben'!$C$45</f>
        <v>Sortierabgang</v>
      </c>
      <c r="BG9" s="474">
        <f>BH9/B5</f>
        <v>2.3111111111111109</v>
      </c>
      <c r="BH9" s="475">
        <f>BK9*BH10</f>
        <v>2600</v>
      </c>
      <c r="BI9" s="654">
        <f>'Standard Vorgaben'!C54</f>
        <v>0</v>
      </c>
      <c r="BJ9" s="176">
        <f>BH9*BI9</f>
        <v>0</v>
      </c>
      <c r="BK9" s="417">
        <f>'Standard Vorgaben'!C76</f>
        <v>0.1</v>
      </c>
      <c r="BM9" s="80" t="str">
        <f>'Standard Vorgaben'!$C$45</f>
        <v>Sortierabgang</v>
      </c>
      <c r="BN9" s="474">
        <f>BO9/B5</f>
        <v>2.3111111111111109</v>
      </c>
      <c r="BO9" s="475">
        <f>BR9*BO10</f>
        <v>2600</v>
      </c>
      <c r="BP9" s="654">
        <f>'Standard Vorgaben'!C55</f>
        <v>0</v>
      </c>
      <c r="BQ9" s="176">
        <f>BO9*BP9</f>
        <v>0</v>
      </c>
      <c r="BR9" s="417">
        <f>'Standard Vorgaben'!C78</f>
        <v>0.1</v>
      </c>
      <c r="BT9" s="80" t="str">
        <f>'Standard Vorgaben'!$C$45</f>
        <v>Sortierabgang</v>
      </c>
      <c r="BU9" s="474">
        <f>BV9/B5</f>
        <v>2.3111111111111109</v>
      </c>
      <c r="BV9" s="475">
        <f>BY9*BV10</f>
        <v>2600</v>
      </c>
      <c r="BW9" s="654">
        <f>'Standard Vorgaben'!C55</f>
        <v>0</v>
      </c>
      <c r="BX9" s="176">
        <f>BV9*BW9</f>
        <v>0</v>
      </c>
      <c r="BY9" s="417">
        <f>'Standard Vorgaben'!C79</f>
        <v>0.1</v>
      </c>
      <c r="CA9" s="80" t="str">
        <f>'Standard Vorgaben'!$C$45</f>
        <v>Sortierabgang</v>
      </c>
      <c r="CB9" s="474">
        <f>CC9/B5</f>
        <v>2.3111111111111109</v>
      </c>
      <c r="CC9" s="475">
        <f>CF9*CC10</f>
        <v>2600</v>
      </c>
      <c r="CD9" s="654">
        <f>'Standard Vorgaben'!C57</f>
        <v>0</v>
      </c>
      <c r="CE9" s="176">
        <f>CC9*CD9</f>
        <v>0</v>
      </c>
      <c r="CF9" s="417">
        <f>'Standard Vorgaben'!C80</f>
        <v>0.1</v>
      </c>
      <c r="CH9" s="80" t="str">
        <f>'Standard Vorgaben'!$C$45</f>
        <v>Sortierabgang</v>
      </c>
      <c r="CI9" s="474">
        <f>CJ9/B5</f>
        <v>2.3111111111111109</v>
      </c>
      <c r="CJ9" s="475">
        <f>CM9*CJ10</f>
        <v>2600</v>
      </c>
      <c r="CK9" s="654">
        <f>'Standard Vorgaben'!C58</f>
        <v>0</v>
      </c>
      <c r="CL9" s="176">
        <f>CJ9*CK9</f>
        <v>0</v>
      </c>
      <c r="CM9" s="417">
        <f>'Standard Vorgaben'!C81</f>
        <v>0.1</v>
      </c>
      <c r="CO9" s="80" t="str">
        <f>'Standard Vorgaben'!$C$45</f>
        <v>Sortierabgang</v>
      </c>
      <c r="CP9" s="474">
        <f>CQ9/B5</f>
        <v>2.3111111111111109</v>
      </c>
      <c r="CQ9" s="475">
        <f>CT9*CQ10</f>
        <v>2600</v>
      </c>
      <c r="CR9" s="654">
        <f>'Standard Vorgaben'!C59</f>
        <v>0</v>
      </c>
      <c r="CS9" s="176">
        <f>CQ9*CR9</f>
        <v>0</v>
      </c>
      <c r="CT9" s="417">
        <f>'Standard Vorgaben'!C82</f>
        <v>0.1</v>
      </c>
      <c r="CV9" s="80" t="str">
        <f>'Standard Vorgaben'!$C$45</f>
        <v>Sortierabgang</v>
      </c>
      <c r="CW9" s="474">
        <f>CX9/B5</f>
        <v>2.3111111111111109</v>
      </c>
      <c r="CX9" s="475">
        <f>DA9*CX10</f>
        <v>2600</v>
      </c>
      <c r="CY9" s="654">
        <f>'Standard Vorgaben'!C60</f>
        <v>0</v>
      </c>
      <c r="CZ9" s="176">
        <f>CX9*CY9</f>
        <v>0</v>
      </c>
      <c r="DA9" s="417">
        <f>'Standard Vorgaben'!C83</f>
        <v>0.1</v>
      </c>
      <c r="DC9" s="80" t="str">
        <f>'Standard Vorgaben'!$C$45</f>
        <v>Sortierabgang</v>
      </c>
      <c r="DD9" s="474">
        <f>DE9/B5</f>
        <v>2.3111111111111109</v>
      </c>
      <c r="DE9" s="475">
        <f>DH9*DE10</f>
        <v>2600</v>
      </c>
      <c r="DF9" s="654">
        <f>'Standard Vorgaben'!C61</f>
        <v>0</v>
      </c>
      <c r="DG9" s="176">
        <f>DE9*DF9</f>
        <v>0</v>
      </c>
      <c r="DH9" s="417">
        <f>'Standard Vorgaben'!C84</f>
        <v>0.1</v>
      </c>
    </row>
    <row r="10" spans="1:194" s="76" customFormat="1" x14ac:dyDescent="0.2">
      <c r="A10" s="98"/>
      <c r="B10" s="171"/>
      <c r="C10" s="476">
        <f>SUM(C8:C9)</f>
        <v>0</v>
      </c>
      <c r="D10" s="478">
        <f>'Standard Vorgaben'!D46</f>
        <v>0</v>
      </c>
      <c r="E10" s="477">
        <f>(E8*G8)+(E9*G9)</f>
        <v>1.6560000000000001</v>
      </c>
      <c r="F10" s="94">
        <f>SUM(F8:F9)</f>
        <v>0</v>
      </c>
      <c r="G10" s="413">
        <f>SUM(G8:G9)</f>
        <v>1</v>
      </c>
      <c r="H10" s="98"/>
      <c r="I10" s="171"/>
      <c r="J10" s="476">
        <f>SUM(J8:J9)</f>
        <v>3.5555555555555558</v>
      </c>
      <c r="K10" s="478">
        <f>'Standard Vorgaben'!D47</f>
        <v>4000</v>
      </c>
      <c r="L10" s="477">
        <f>(L8*N8)+(L9*N9)</f>
        <v>1.6560000000000001</v>
      </c>
      <c r="M10" s="94">
        <f>SUM(M8:M9)</f>
        <v>6624</v>
      </c>
      <c r="N10" s="413">
        <f>SUM(N8:N9)</f>
        <v>1</v>
      </c>
      <c r="O10" s="98"/>
      <c r="P10" s="171"/>
      <c r="Q10" s="476">
        <f>SUM(Q8:Q9)</f>
        <v>5.333333333333333</v>
      </c>
      <c r="R10" s="478">
        <f>'Standard Vorgaben'!D48</f>
        <v>6000</v>
      </c>
      <c r="S10" s="477">
        <f>(S8*U8)+(S9*U9)</f>
        <v>1.6560000000000001</v>
      </c>
      <c r="T10" s="94">
        <f>SUM(T8:T9)</f>
        <v>9936</v>
      </c>
      <c r="U10" s="413">
        <f>SUM(U8:U9)</f>
        <v>1</v>
      </c>
      <c r="V10" s="98"/>
      <c r="W10" s="171"/>
      <c r="X10" s="476">
        <f>SUM(X8:X9)</f>
        <v>8.8888888888888893</v>
      </c>
      <c r="Y10" s="478">
        <f>'Standard Vorgaben'!D49</f>
        <v>10000</v>
      </c>
      <c r="Z10" s="477">
        <f>(Z8*AB8)+(Z9*AB9)</f>
        <v>1.6560000000000001</v>
      </c>
      <c r="AA10" s="94">
        <f>SUM(AA8:AA9)</f>
        <v>16560</v>
      </c>
      <c r="AB10" s="413">
        <f>SUM(AB8:AB9)</f>
        <v>1</v>
      </c>
      <c r="AC10" s="98"/>
      <c r="AD10" s="171"/>
      <c r="AE10" s="476">
        <f>SUM(AE8:AE9)</f>
        <v>16</v>
      </c>
      <c r="AF10" s="478">
        <f>'Standard Vorgaben'!D50</f>
        <v>18000</v>
      </c>
      <c r="AG10" s="477">
        <f>(AG8*AI8)+(AG9*AI9)</f>
        <v>1.6560000000000001</v>
      </c>
      <c r="AH10" s="94">
        <f>SUM(AH8:AH9)</f>
        <v>29808</v>
      </c>
      <c r="AI10" s="413">
        <f>SUM(AI8:AI9)</f>
        <v>1</v>
      </c>
      <c r="AJ10" s="98"/>
      <c r="AK10" s="171"/>
      <c r="AL10" s="476">
        <f>SUM(AL8:AL9)</f>
        <v>19.555555555555557</v>
      </c>
      <c r="AM10" s="478">
        <f>'Standard Vorgaben'!D51</f>
        <v>22000</v>
      </c>
      <c r="AN10" s="477">
        <f>(AN8*AP8)+(AN9*AP9)</f>
        <v>1.6560000000000001</v>
      </c>
      <c r="AO10" s="94">
        <f>SUM(AO8:AO9)</f>
        <v>36432</v>
      </c>
      <c r="AP10" s="413">
        <f>SUM(AP8:AP9)</f>
        <v>1</v>
      </c>
      <c r="AQ10" s="98"/>
      <c r="AR10" s="171"/>
      <c r="AS10" s="476">
        <f>SUM(AS8:AS9)</f>
        <v>23.111111111111111</v>
      </c>
      <c r="AT10" s="478">
        <f>'Standard Vorgaben'!D52</f>
        <v>26000</v>
      </c>
      <c r="AU10" s="477">
        <f>(AU8*AW8)+(AU9*AW9)</f>
        <v>1.6560000000000001</v>
      </c>
      <c r="AV10" s="94">
        <f>SUM(AV8:AV9)</f>
        <v>43056</v>
      </c>
      <c r="AW10" s="413">
        <f>SUM(AW8:AW9)</f>
        <v>1</v>
      </c>
      <c r="AX10" s="98"/>
      <c r="AY10" s="171"/>
      <c r="AZ10" s="476">
        <f>SUM(AZ8:AZ9)</f>
        <v>23.111111111111111</v>
      </c>
      <c r="BA10" s="478">
        <f>'Standard Vorgaben'!D53</f>
        <v>26000</v>
      </c>
      <c r="BB10" s="477">
        <f>(BB8*BD8)+(BB9*BD9)</f>
        <v>1.6560000000000001</v>
      </c>
      <c r="BC10" s="94">
        <f>SUM(BC8:BC9)</f>
        <v>43056</v>
      </c>
      <c r="BD10" s="413">
        <f>SUM(BD8:BD9)</f>
        <v>1</v>
      </c>
      <c r="BE10" s="98"/>
      <c r="BF10" s="171"/>
      <c r="BG10" s="476">
        <f>SUM(BG8:BG9)</f>
        <v>23.111111111111111</v>
      </c>
      <c r="BH10" s="478">
        <f>'Standard Vorgaben'!D54</f>
        <v>26000</v>
      </c>
      <c r="BI10" s="477">
        <f>(BI8*BK8)+(BI9*BK9)</f>
        <v>1.6560000000000001</v>
      </c>
      <c r="BJ10" s="94">
        <f>SUM(BJ8:BJ9)</f>
        <v>43056</v>
      </c>
      <c r="BK10" s="413">
        <f>SUM(BK8:BK9)</f>
        <v>1</v>
      </c>
      <c r="BL10" s="98"/>
      <c r="BM10" s="171"/>
      <c r="BN10" s="476">
        <f>SUM(BN8:BN9)</f>
        <v>23.111111111111111</v>
      </c>
      <c r="BO10" s="478">
        <f>'Standard Vorgaben'!D55</f>
        <v>26000</v>
      </c>
      <c r="BP10" s="477">
        <f>(BP8*BR8)+(BP9*BR9)</f>
        <v>1.6560000000000001</v>
      </c>
      <c r="BQ10" s="94">
        <f>SUM(BQ8:BQ9)</f>
        <v>43056</v>
      </c>
      <c r="BR10" s="413">
        <f>SUM(BR8:BR9)</f>
        <v>1</v>
      </c>
      <c r="BS10" s="98"/>
      <c r="BT10" s="171"/>
      <c r="BU10" s="476">
        <f>SUM(BU8:BU9)</f>
        <v>23.111111111111111</v>
      </c>
      <c r="BV10" s="478">
        <f>'Standard Vorgaben'!D56</f>
        <v>26000</v>
      </c>
      <c r="BW10" s="477">
        <f>(BW8*BY8)+(BW9*BY9)</f>
        <v>1.6560000000000001</v>
      </c>
      <c r="BX10" s="94">
        <f>SUM(BX8:BX9)</f>
        <v>43056</v>
      </c>
      <c r="BY10" s="413">
        <f>SUM(BY8:BY9)</f>
        <v>1</v>
      </c>
      <c r="BZ10" s="98"/>
      <c r="CA10" s="171"/>
      <c r="CB10" s="476">
        <f>SUM(CB8:CB9)</f>
        <v>23.111111111111111</v>
      </c>
      <c r="CC10" s="478">
        <f>'Standard Vorgaben'!D57</f>
        <v>26000</v>
      </c>
      <c r="CD10" s="477">
        <f>(CD8*CF8)+(CD9*CF9)</f>
        <v>1.6560000000000001</v>
      </c>
      <c r="CE10" s="94">
        <f>SUM(CE8:CE9)</f>
        <v>43056</v>
      </c>
      <c r="CF10" s="413">
        <f>SUM(CF8:CF9)</f>
        <v>1</v>
      </c>
      <c r="CG10" s="98"/>
      <c r="CH10" s="171"/>
      <c r="CI10" s="476">
        <f>SUM(CI8:CI9)</f>
        <v>23.111111111111111</v>
      </c>
      <c r="CJ10" s="478">
        <f>'Standard Vorgaben'!D58</f>
        <v>26000</v>
      </c>
      <c r="CK10" s="477">
        <f>(CK8*CM8)+(CK9*CM9)</f>
        <v>1.6560000000000001</v>
      </c>
      <c r="CL10" s="94">
        <f>SUM(CL8:CL9)</f>
        <v>43056</v>
      </c>
      <c r="CM10" s="413">
        <f>SUM(CM8:CM9)</f>
        <v>1</v>
      </c>
      <c r="CN10" s="98"/>
      <c r="CO10" s="171"/>
      <c r="CP10" s="476">
        <f>SUM(CP8:CP9)</f>
        <v>23.111111111111111</v>
      </c>
      <c r="CQ10" s="478">
        <f>'Standard Vorgaben'!D59</f>
        <v>26000</v>
      </c>
      <c r="CR10" s="477">
        <f>(CR8*CT8)+(CR9*CT9)</f>
        <v>1.6560000000000001</v>
      </c>
      <c r="CS10" s="94">
        <f>SUM(CS8:CS9)</f>
        <v>43056</v>
      </c>
      <c r="CT10" s="413">
        <f>SUM(CT8:CT9)</f>
        <v>1</v>
      </c>
      <c r="CU10" s="98"/>
      <c r="CV10" s="171"/>
      <c r="CW10" s="476">
        <f>SUM(CW8:CW9)</f>
        <v>23.111111111111111</v>
      </c>
      <c r="CX10" s="478">
        <f>'Standard Vorgaben'!D60</f>
        <v>26000</v>
      </c>
      <c r="CY10" s="477">
        <f>(CY8*DA8)+(CY9*DA9)</f>
        <v>1.6560000000000001</v>
      </c>
      <c r="CZ10" s="94">
        <f>SUM(CZ8:CZ9)</f>
        <v>43056</v>
      </c>
      <c r="DA10" s="413">
        <f>SUM(DA8:DA9)</f>
        <v>1</v>
      </c>
      <c r="DB10" s="98"/>
      <c r="DC10" s="171"/>
      <c r="DD10" s="476">
        <f>SUM(DD8:DD9)</f>
        <v>23.111111111111111</v>
      </c>
      <c r="DE10" s="478">
        <f>'Standard Vorgaben'!D61</f>
        <v>26000</v>
      </c>
      <c r="DF10" s="477">
        <f>(DF8*DH8)+(DF9*DH9)</f>
        <v>1.6560000000000001</v>
      </c>
      <c r="DG10" s="94">
        <f>SUM(DG8:DG9)</f>
        <v>43056</v>
      </c>
      <c r="DH10" s="413">
        <f>SUM(DH8:DH9)</f>
        <v>1</v>
      </c>
    </row>
    <row r="11" spans="1:194" s="98" customFormat="1" x14ac:dyDescent="0.2">
      <c r="B11" s="98" t="str">
        <f>'Standard Vorgaben'!$A$39</f>
        <v>Direktzahlungen ÖLN</v>
      </c>
      <c r="C11" s="476"/>
      <c r="D11" s="478"/>
      <c r="E11" s="477"/>
      <c r="F11" s="176">
        <f>'Standard Vorgaben'!$C$39</f>
        <v>1100</v>
      </c>
      <c r="G11" s="413"/>
      <c r="I11" s="98" t="str">
        <f>'Standard Vorgaben'!$A$39</f>
        <v>Direktzahlungen ÖLN</v>
      </c>
      <c r="J11" s="476"/>
      <c r="K11" s="478"/>
      <c r="L11" s="477"/>
      <c r="M11" s="176">
        <f>'Standard Vorgaben'!$C$39</f>
        <v>1100</v>
      </c>
      <c r="N11" s="413"/>
      <c r="P11" s="98" t="str">
        <f>'Standard Vorgaben'!$A$39</f>
        <v>Direktzahlungen ÖLN</v>
      </c>
      <c r="Q11" s="476"/>
      <c r="R11" s="478"/>
      <c r="S11" s="477"/>
      <c r="T11" s="176">
        <f>'Standard Vorgaben'!$C$39</f>
        <v>1100</v>
      </c>
      <c r="U11" s="413"/>
      <c r="W11" s="98" t="str">
        <f>'Standard Vorgaben'!$A$39</f>
        <v>Direktzahlungen ÖLN</v>
      </c>
      <c r="X11" s="476"/>
      <c r="Y11" s="478"/>
      <c r="Z11" s="477"/>
      <c r="AA11" s="176">
        <f>'Standard Vorgaben'!$C$39</f>
        <v>1100</v>
      </c>
      <c r="AB11" s="413"/>
      <c r="AD11" s="98" t="str">
        <f>'Standard Vorgaben'!$A$39</f>
        <v>Direktzahlungen ÖLN</v>
      </c>
      <c r="AE11" s="476"/>
      <c r="AF11" s="478"/>
      <c r="AG11" s="477"/>
      <c r="AH11" s="176">
        <f>'Standard Vorgaben'!$C$39</f>
        <v>1100</v>
      </c>
      <c r="AI11" s="413"/>
      <c r="AK11" s="98" t="str">
        <f>'Standard Vorgaben'!$A$39</f>
        <v>Direktzahlungen ÖLN</v>
      </c>
      <c r="AL11" s="476"/>
      <c r="AM11" s="478"/>
      <c r="AN11" s="477"/>
      <c r="AO11" s="176">
        <f>'Standard Vorgaben'!$C$39</f>
        <v>1100</v>
      </c>
      <c r="AP11" s="413"/>
      <c r="AR11" s="98" t="str">
        <f>'Standard Vorgaben'!$A$39</f>
        <v>Direktzahlungen ÖLN</v>
      </c>
      <c r="AS11" s="476"/>
      <c r="AT11" s="478"/>
      <c r="AU11" s="477"/>
      <c r="AV11" s="176">
        <f>'Standard Vorgaben'!$C$39</f>
        <v>1100</v>
      </c>
      <c r="AW11" s="413"/>
      <c r="AY11" s="98" t="str">
        <f>'Standard Vorgaben'!$A$39</f>
        <v>Direktzahlungen ÖLN</v>
      </c>
      <c r="AZ11" s="476"/>
      <c r="BA11" s="478"/>
      <c r="BB11" s="477"/>
      <c r="BC11" s="176">
        <f>'Standard Vorgaben'!$C$39</f>
        <v>1100</v>
      </c>
      <c r="BD11" s="413"/>
      <c r="BF11" s="98" t="str">
        <f>'Standard Vorgaben'!$A$39</f>
        <v>Direktzahlungen ÖLN</v>
      </c>
      <c r="BG11" s="476"/>
      <c r="BH11" s="478"/>
      <c r="BI11" s="477"/>
      <c r="BJ11" s="176">
        <f>'Standard Vorgaben'!$C$39</f>
        <v>1100</v>
      </c>
      <c r="BK11" s="413"/>
      <c r="BM11" s="98" t="str">
        <f>'Standard Vorgaben'!$A$39</f>
        <v>Direktzahlungen ÖLN</v>
      </c>
      <c r="BN11" s="476"/>
      <c r="BO11" s="478"/>
      <c r="BP11" s="477"/>
      <c r="BQ11" s="176">
        <f>'Standard Vorgaben'!$C$39</f>
        <v>1100</v>
      </c>
      <c r="BR11" s="413"/>
      <c r="BT11" s="98" t="str">
        <f>'Standard Vorgaben'!$A$39</f>
        <v>Direktzahlungen ÖLN</v>
      </c>
      <c r="BU11" s="476"/>
      <c r="BV11" s="478"/>
      <c r="BW11" s="477"/>
      <c r="BX11" s="176">
        <f>'Standard Vorgaben'!$C$39</f>
        <v>1100</v>
      </c>
      <c r="BY11" s="413"/>
      <c r="CA11" s="98" t="str">
        <f>'Standard Vorgaben'!$A$39</f>
        <v>Direktzahlungen ÖLN</v>
      </c>
      <c r="CB11" s="476"/>
      <c r="CC11" s="478"/>
      <c r="CD11" s="477"/>
      <c r="CE11" s="176">
        <f>'Standard Vorgaben'!$C$39</f>
        <v>1100</v>
      </c>
      <c r="CF11" s="413"/>
      <c r="CH11" s="98" t="str">
        <f>'Standard Vorgaben'!$A$39</f>
        <v>Direktzahlungen ÖLN</v>
      </c>
      <c r="CI11" s="476"/>
      <c r="CJ11" s="478"/>
      <c r="CK11" s="477"/>
      <c r="CL11" s="176">
        <f>'Standard Vorgaben'!$C$39</f>
        <v>1100</v>
      </c>
      <c r="CM11" s="413"/>
      <c r="CO11" s="98" t="str">
        <f>'Standard Vorgaben'!$A$39</f>
        <v>Direktzahlungen ÖLN</v>
      </c>
      <c r="CP11" s="476"/>
      <c r="CQ11" s="478"/>
      <c r="CR11" s="477"/>
      <c r="CS11" s="176">
        <f>'Standard Vorgaben'!$C$39</f>
        <v>1100</v>
      </c>
      <c r="CT11" s="413"/>
      <c r="CV11" s="98" t="str">
        <f>'Standard Vorgaben'!$A$39</f>
        <v>Direktzahlungen ÖLN</v>
      </c>
      <c r="CW11" s="476"/>
      <c r="CX11" s="478"/>
      <c r="CY11" s="477"/>
      <c r="CZ11" s="176">
        <f>'Standard Vorgaben'!$C$39</f>
        <v>1100</v>
      </c>
      <c r="DA11" s="413"/>
      <c r="DC11" s="98" t="str">
        <f>'Standard Vorgaben'!$A$39</f>
        <v>Direktzahlungen ÖLN</v>
      </c>
      <c r="DD11" s="476"/>
      <c r="DE11" s="478"/>
      <c r="DF11" s="477"/>
      <c r="DG11" s="176">
        <f>'Standard Vorgaben'!$C$39</f>
        <v>1100</v>
      </c>
      <c r="DH11" s="413"/>
    </row>
    <row r="12" spans="1:194" ht="15.75" thickBot="1" x14ac:dyDescent="0.3">
      <c r="A12" s="561" t="s">
        <v>86</v>
      </c>
      <c r="B12" s="374"/>
      <c r="C12" s="374"/>
      <c r="D12" s="374"/>
      <c r="E12" s="374"/>
      <c r="F12" s="479">
        <f>SUM(F10:F11)</f>
        <v>1100</v>
      </c>
      <c r="G12" s="373"/>
      <c r="H12" s="561" t="s">
        <v>86</v>
      </c>
      <c r="I12" s="374"/>
      <c r="J12" s="374"/>
      <c r="K12" s="374"/>
      <c r="L12" s="374"/>
      <c r="M12" s="479">
        <f>SUM(M10:M11)</f>
        <v>7724</v>
      </c>
      <c r="N12" s="373"/>
      <c r="O12" s="561" t="s">
        <v>86</v>
      </c>
      <c r="P12" s="374"/>
      <c r="Q12" s="374"/>
      <c r="R12" s="374"/>
      <c r="S12" s="374"/>
      <c r="T12" s="479">
        <f>SUM(T10:T11)</f>
        <v>11036</v>
      </c>
      <c r="U12" s="373"/>
      <c r="V12" s="561" t="s">
        <v>86</v>
      </c>
      <c r="W12" s="374"/>
      <c r="X12" s="374"/>
      <c r="Y12" s="374"/>
      <c r="Z12" s="374"/>
      <c r="AA12" s="479">
        <f>SUM(AA10:AA11)</f>
        <v>17660</v>
      </c>
      <c r="AB12" s="373"/>
      <c r="AC12" s="561" t="s">
        <v>86</v>
      </c>
      <c r="AD12" s="374"/>
      <c r="AE12" s="374"/>
      <c r="AF12" s="374"/>
      <c r="AG12" s="374"/>
      <c r="AH12" s="479">
        <f>SUM(AH10:AH11)</f>
        <v>30908</v>
      </c>
      <c r="AI12" s="373"/>
      <c r="AJ12" s="561" t="s">
        <v>86</v>
      </c>
      <c r="AK12" s="374"/>
      <c r="AL12" s="374"/>
      <c r="AM12" s="374"/>
      <c r="AN12" s="374"/>
      <c r="AO12" s="479">
        <f>SUM(AO10:AO11)</f>
        <v>37532</v>
      </c>
      <c r="AP12" s="373"/>
      <c r="AQ12" s="561" t="s">
        <v>86</v>
      </c>
      <c r="AR12" s="374"/>
      <c r="AS12" s="374"/>
      <c r="AT12" s="374"/>
      <c r="AU12" s="374"/>
      <c r="AV12" s="479">
        <f>SUM(AV10:AV11)</f>
        <v>44156</v>
      </c>
      <c r="AW12" s="373"/>
      <c r="AX12" s="561" t="s">
        <v>86</v>
      </c>
      <c r="AY12" s="374"/>
      <c r="AZ12" s="374"/>
      <c r="BA12" s="374"/>
      <c r="BB12" s="374"/>
      <c r="BC12" s="479">
        <f>SUM(BC10:BC11)</f>
        <v>44156</v>
      </c>
      <c r="BD12" s="373"/>
      <c r="BE12" s="561" t="s">
        <v>86</v>
      </c>
      <c r="BF12" s="374"/>
      <c r="BG12" s="374"/>
      <c r="BH12" s="374"/>
      <c r="BI12" s="374"/>
      <c r="BJ12" s="479">
        <f>SUM(BJ10:BJ11)</f>
        <v>44156</v>
      </c>
      <c r="BK12" s="373"/>
      <c r="BL12" s="561" t="s">
        <v>86</v>
      </c>
      <c r="BM12" s="374"/>
      <c r="BN12" s="374"/>
      <c r="BO12" s="374"/>
      <c r="BP12" s="374"/>
      <c r="BQ12" s="479">
        <f>SUM(BQ10:BQ11)</f>
        <v>44156</v>
      </c>
      <c r="BR12" s="373"/>
      <c r="BS12" s="561" t="s">
        <v>86</v>
      </c>
      <c r="BT12" s="374"/>
      <c r="BU12" s="374"/>
      <c r="BV12" s="374"/>
      <c r="BW12" s="374"/>
      <c r="BX12" s="479">
        <f>SUM(BX10:BX11)</f>
        <v>44156</v>
      </c>
      <c r="BY12" s="373"/>
      <c r="BZ12" s="561" t="s">
        <v>86</v>
      </c>
      <c r="CA12" s="374"/>
      <c r="CB12" s="374"/>
      <c r="CC12" s="374"/>
      <c r="CD12" s="374"/>
      <c r="CE12" s="479">
        <f>SUM(CE10:CE11)</f>
        <v>44156</v>
      </c>
      <c r="CF12" s="373"/>
      <c r="CG12" s="561" t="s">
        <v>86</v>
      </c>
      <c r="CH12" s="374"/>
      <c r="CI12" s="374"/>
      <c r="CJ12" s="374"/>
      <c r="CK12" s="374"/>
      <c r="CL12" s="479">
        <f>SUM(CL10:CL11)</f>
        <v>44156</v>
      </c>
      <c r="CM12" s="373"/>
      <c r="CN12" s="561" t="s">
        <v>86</v>
      </c>
      <c r="CO12" s="374"/>
      <c r="CP12" s="374"/>
      <c r="CQ12" s="374"/>
      <c r="CR12" s="374"/>
      <c r="CS12" s="479">
        <f>SUM(CS10:CS11)</f>
        <v>44156</v>
      </c>
      <c r="CT12" s="373"/>
      <c r="CU12" s="561" t="s">
        <v>86</v>
      </c>
      <c r="CV12" s="374"/>
      <c r="CW12" s="374"/>
      <c r="CX12" s="374"/>
      <c r="CY12" s="374"/>
      <c r="CZ12" s="479">
        <f>SUM(CZ10:CZ11)</f>
        <v>44156</v>
      </c>
      <c r="DA12" s="373"/>
      <c r="DB12" s="561" t="s">
        <v>86</v>
      </c>
      <c r="DC12" s="374"/>
      <c r="DD12" s="374"/>
      <c r="DE12" s="374"/>
      <c r="DF12" s="374"/>
      <c r="DG12" s="479">
        <f>SUM(DG10:DG11)</f>
        <v>44156</v>
      </c>
      <c r="DH12" s="373"/>
      <c r="DI12" s="171"/>
    </row>
    <row r="13" spans="1:194" x14ac:dyDescent="0.2">
      <c r="A13" s="73"/>
      <c r="B13" s="73"/>
      <c r="C13" s="468" t="s">
        <v>11</v>
      </c>
      <c r="D13" s="468" t="s">
        <v>57</v>
      </c>
      <c r="E13" s="469" t="s">
        <v>58</v>
      </c>
      <c r="F13" s="480" t="s">
        <v>13</v>
      </c>
      <c r="G13" s="471" t="s">
        <v>60</v>
      </c>
      <c r="H13" s="73"/>
      <c r="I13" s="73"/>
      <c r="J13" s="468" t="s">
        <v>11</v>
      </c>
      <c r="K13" s="468" t="s">
        <v>57</v>
      </c>
      <c r="L13" s="469" t="s">
        <v>58</v>
      </c>
      <c r="M13" s="480" t="s">
        <v>13</v>
      </c>
      <c r="N13" s="471" t="s">
        <v>60</v>
      </c>
      <c r="O13" s="73"/>
      <c r="P13" s="73"/>
      <c r="Q13" s="468" t="s">
        <v>11</v>
      </c>
      <c r="R13" s="468" t="s">
        <v>57</v>
      </c>
      <c r="S13" s="469" t="s">
        <v>58</v>
      </c>
      <c r="T13" s="480" t="s">
        <v>13</v>
      </c>
      <c r="U13" s="471" t="s">
        <v>60</v>
      </c>
      <c r="V13" s="73"/>
      <c r="W13" s="73"/>
      <c r="X13" s="468" t="s">
        <v>11</v>
      </c>
      <c r="Y13" s="468" t="s">
        <v>57</v>
      </c>
      <c r="Z13" s="469" t="s">
        <v>58</v>
      </c>
      <c r="AA13" s="480" t="s">
        <v>13</v>
      </c>
      <c r="AB13" s="471" t="s">
        <v>60</v>
      </c>
      <c r="AC13" s="73"/>
      <c r="AD13" s="73"/>
      <c r="AE13" s="468" t="s">
        <v>11</v>
      </c>
      <c r="AF13" s="468" t="s">
        <v>57</v>
      </c>
      <c r="AG13" s="469" t="s">
        <v>58</v>
      </c>
      <c r="AH13" s="480" t="s">
        <v>13</v>
      </c>
      <c r="AI13" s="471" t="s">
        <v>60</v>
      </c>
      <c r="AJ13" s="73"/>
      <c r="AK13" s="73"/>
      <c r="AL13" s="468" t="s">
        <v>11</v>
      </c>
      <c r="AM13" s="468" t="s">
        <v>57</v>
      </c>
      <c r="AN13" s="469" t="s">
        <v>58</v>
      </c>
      <c r="AO13" s="480" t="s">
        <v>13</v>
      </c>
      <c r="AP13" s="471" t="s">
        <v>60</v>
      </c>
      <c r="AQ13" s="73"/>
      <c r="AR13" s="73"/>
      <c r="AS13" s="468" t="s">
        <v>11</v>
      </c>
      <c r="AT13" s="468" t="s">
        <v>57</v>
      </c>
      <c r="AU13" s="469" t="s">
        <v>58</v>
      </c>
      <c r="AV13" s="480" t="s">
        <v>13</v>
      </c>
      <c r="AW13" s="471" t="s">
        <v>60</v>
      </c>
      <c r="AX13" s="73"/>
      <c r="AY13" s="73"/>
      <c r="AZ13" s="468" t="s">
        <v>11</v>
      </c>
      <c r="BA13" s="468" t="s">
        <v>57</v>
      </c>
      <c r="BB13" s="469" t="s">
        <v>58</v>
      </c>
      <c r="BC13" s="480" t="s">
        <v>13</v>
      </c>
      <c r="BD13" s="471" t="s">
        <v>60</v>
      </c>
      <c r="BE13" s="73"/>
      <c r="BF13" s="73"/>
      <c r="BG13" s="468" t="s">
        <v>11</v>
      </c>
      <c r="BH13" s="468" t="s">
        <v>57</v>
      </c>
      <c r="BI13" s="469" t="s">
        <v>58</v>
      </c>
      <c r="BJ13" s="480" t="s">
        <v>13</v>
      </c>
      <c r="BK13" s="471" t="s">
        <v>60</v>
      </c>
      <c r="BL13" s="73"/>
      <c r="BM13" s="73"/>
      <c r="BN13" s="468" t="s">
        <v>11</v>
      </c>
      <c r="BO13" s="468" t="s">
        <v>57</v>
      </c>
      <c r="BP13" s="469" t="s">
        <v>58</v>
      </c>
      <c r="BQ13" s="480" t="s">
        <v>13</v>
      </c>
      <c r="BR13" s="471" t="s">
        <v>60</v>
      </c>
      <c r="BS13" s="73"/>
      <c r="BT13" s="73"/>
      <c r="BU13" s="468" t="s">
        <v>11</v>
      </c>
      <c r="BV13" s="468" t="s">
        <v>57</v>
      </c>
      <c r="BW13" s="469" t="s">
        <v>58</v>
      </c>
      <c r="BX13" s="480" t="s">
        <v>13</v>
      </c>
      <c r="BY13" s="471" t="s">
        <v>60</v>
      </c>
      <c r="BZ13" s="73"/>
      <c r="CA13" s="73"/>
      <c r="CB13" s="468" t="s">
        <v>11</v>
      </c>
      <c r="CC13" s="468" t="s">
        <v>57</v>
      </c>
      <c r="CD13" s="469" t="s">
        <v>58</v>
      </c>
      <c r="CE13" s="480" t="s">
        <v>13</v>
      </c>
      <c r="CF13" s="471" t="s">
        <v>60</v>
      </c>
      <c r="CG13" s="73"/>
      <c r="CH13" s="73"/>
      <c r="CI13" s="468" t="s">
        <v>11</v>
      </c>
      <c r="CJ13" s="468" t="s">
        <v>57</v>
      </c>
      <c r="CK13" s="469" t="s">
        <v>58</v>
      </c>
      <c r="CL13" s="480" t="s">
        <v>13</v>
      </c>
      <c r="CM13" s="471" t="s">
        <v>60</v>
      </c>
      <c r="CN13" s="73"/>
      <c r="CO13" s="73"/>
      <c r="CP13" s="468" t="s">
        <v>11</v>
      </c>
      <c r="CQ13" s="468" t="s">
        <v>57</v>
      </c>
      <c r="CR13" s="469" t="s">
        <v>58</v>
      </c>
      <c r="CS13" s="480" t="s">
        <v>13</v>
      </c>
      <c r="CT13" s="471" t="s">
        <v>60</v>
      </c>
      <c r="CU13" s="73"/>
      <c r="CV13" s="73"/>
      <c r="CW13" s="468" t="s">
        <v>11</v>
      </c>
      <c r="CX13" s="468" t="s">
        <v>57</v>
      </c>
      <c r="CY13" s="469" t="s">
        <v>58</v>
      </c>
      <c r="CZ13" s="480" t="s">
        <v>13</v>
      </c>
      <c r="DA13" s="471" t="s">
        <v>60</v>
      </c>
      <c r="DB13" s="73"/>
      <c r="DC13" s="73"/>
      <c r="DD13" s="468" t="s">
        <v>11</v>
      </c>
      <c r="DE13" s="468" t="s">
        <v>57</v>
      </c>
      <c r="DF13" s="469" t="s">
        <v>58</v>
      </c>
      <c r="DG13" s="480" t="s">
        <v>13</v>
      </c>
      <c r="DH13" s="471" t="s">
        <v>60</v>
      </c>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row>
    <row r="14" spans="1:194" x14ac:dyDescent="0.2">
      <c r="A14" s="80" t="s">
        <v>29</v>
      </c>
      <c r="B14" s="73" t="str">
        <f>'Standard Vorgaben'!B99</f>
        <v>Ammonsalpeter</v>
      </c>
      <c r="C14" s="120">
        <f>'Standard Vorgaben'!B105</f>
        <v>2</v>
      </c>
      <c r="D14" s="481">
        <f>'Standard Vorgaben'!B104</f>
        <v>150</v>
      </c>
      <c r="E14" s="48">
        <f>'Standard Vorgaben'!$B$100</f>
        <v>0.9</v>
      </c>
      <c r="F14" s="483">
        <f>D14*E14</f>
        <v>135</v>
      </c>
      <c r="G14" s="484">
        <f>F14/$F$69</f>
        <v>1.4268784556645941E-2</v>
      </c>
      <c r="H14" s="80" t="s">
        <v>29</v>
      </c>
      <c r="I14" s="73" t="str">
        <f>'Standard Vorgaben'!B99</f>
        <v>Ammonsalpeter</v>
      </c>
      <c r="J14" s="120">
        <f>'Standard Vorgaben'!B107</f>
        <v>2</v>
      </c>
      <c r="K14" s="481">
        <f>'Standard Vorgaben'!B106</f>
        <v>150</v>
      </c>
      <c r="L14" s="48">
        <f>'Standard Vorgaben'!$B$100</f>
        <v>0.9</v>
      </c>
      <c r="M14" s="483">
        <f>K14*L14</f>
        <v>135</v>
      </c>
      <c r="N14" s="484">
        <f>M14/$M$69</f>
        <v>9.8178867717653891E-3</v>
      </c>
      <c r="O14" s="80" t="s">
        <v>29</v>
      </c>
      <c r="P14" s="73" t="str">
        <f>'Standard Vorgaben'!$B$99</f>
        <v>Ammonsalpeter</v>
      </c>
      <c r="Q14" s="120">
        <f>'Standard Vorgaben'!$B$109</f>
        <v>2</v>
      </c>
      <c r="R14" s="481">
        <f>'Standard Vorgaben'!$B$108</f>
        <v>180</v>
      </c>
      <c r="S14" s="48">
        <f>'Standard Vorgaben'!$B$100</f>
        <v>0.9</v>
      </c>
      <c r="T14" s="483">
        <f>R14*S14</f>
        <v>162</v>
      </c>
      <c r="U14" s="484">
        <f>T14/$T$69</f>
        <v>7.9728329426629503E-3</v>
      </c>
      <c r="V14" s="80" t="s">
        <v>29</v>
      </c>
      <c r="W14" s="73" t="str">
        <f>'Standard Vorgaben'!$B$99</f>
        <v>Ammonsalpeter</v>
      </c>
      <c r="X14" s="120">
        <f>'Standard Vorgaben'!$B$109</f>
        <v>2</v>
      </c>
      <c r="Y14" s="481">
        <f>'Standard Vorgaben'!$B$108</f>
        <v>180</v>
      </c>
      <c r="Z14" s="48">
        <f>'Standard Vorgaben'!$B$100</f>
        <v>0.9</v>
      </c>
      <c r="AA14" s="483">
        <f>Y14*Z14</f>
        <v>162</v>
      </c>
      <c r="AB14" s="484">
        <f>AA14/$AA$69</f>
        <v>6.7012628485645861E-3</v>
      </c>
      <c r="AC14" s="80" t="s">
        <v>29</v>
      </c>
      <c r="AD14" s="73" t="str">
        <f>'Standard Vorgaben'!$B$99</f>
        <v>Ammonsalpeter</v>
      </c>
      <c r="AE14" s="120">
        <f>'Standard Vorgaben'!$B$111</f>
        <v>3</v>
      </c>
      <c r="AF14" s="481">
        <f>'Standard Vorgaben'!$B$110</f>
        <v>220</v>
      </c>
      <c r="AG14" s="48">
        <f>'Standard Vorgaben'!$B$100</f>
        <v>0.9</v>
      </c>
      <c r="AH14" s="483">
        <f>AF14*AG14</f>
        <v>198</v>
      </c>
      <c r="AI14" s="484">
        <f>AH14/$AH$69</f>
        <v>5.6741931797921405E-3</v>
      </c>
      <c r="AJ14" s="80" t="s">
        <v>29</v>
      </c>
      <c r="AK14" s="73" t="str">
        <f>'Standard Vorgaben'!$B$99</f>
        <v>Ammonsalpeter</v>
      </c>
      <c r="AL14" s="120">
        <f>'Standard Vorgaben'!$B$111</f>
        <v>3</v>
      </c>
      <c r="AM14" s="481">
        <f>'Standard Vorgaben'!$B$110</f>
        <v>220</v>
      </c>
      <c r="AN14" s="48">
        <f>'Standard Vorgaben'!$B$100</f>
        <v>0.9</v>
      </c>
      <c r="AO14" s="483">
        <f>AM14*AN14</f>
        <v>198</v>
      </c>
      <c r="AP14" s="484">
        <f>AO14/$AO$69</f>
        <v>5.1572290230221304E-3</v>
      </c>
      <c r="AQ14" s="80" t="s">
        <v>29</v>
      </c>
      <c r="AR14" s="73" t="str">
        <f>'Standard Vorgaben'!$B$99</f>
        <v>Ammonsalpeter</v>
      </c>
      <c r="AS14" s="120">
        <f>'Standard Vorgaben'!$B$111</f>
        <v>3</v>
      </c>
      <c r="AT14" s="481">
        <f>'Standard Vorgaben'!$B$110</f>
        <v>220</v>
      </c>
      <c r="AU14" s="48">
        <f>'Standard Vorgaben'!$B$100</f>
        <v>0.9</v>
      </c>
      <c r="AV14" s="483">
        <f>AT14*AU14</f>
        <v>198</v>
      </c>
      <c r="AW14" s="484">
        <f>AV14/$AV$69</f>
        <v>4.7297749699131428E-3</v>
      </c>
      <c r="AX14" s="80" t="s">
        <v>29</v>
      </c>
      <c r="AY14" s="73" t="str">
        <f>'Standard Vorgaben'!$B$99</f>
        <v>Ammonsalpeter</v>
      </c>
      <c r="AZ14" s="120">
        <f>'Standard Vorgaben'!$B$111</f>
        <v>3</v>
      </c>
      <c r="BA14" s="481">
        <f>'Standard Vorgaben'!$B$110</f>
        <v>220</v>
      </c>
      <c r="BB14" s="48">
        <f>'Standard Vorgaben'!$B$100</f>
        <v>0.9</v>
      </c>
      <c r="BC14" s="483">
        <f>BA14*BB14</f>
        <v>198</v>
      </c>
      <c r="BD14" s="484">
        <f>BC14/$BC$69</f>
        <v>4.7321083173677315E-3</v>
      </c>
      <c r="BE14" s="80" t="s">
        <v>29</v>
      </c>
      <c r="BF14" s="73" t="str">
        <f>'Standard Vorgaben'!$B$99</f>
        <v>Ammonsalpeter</v>
      </c>
      <c r="BG14" s="120">
        <f>'Standard Vorgaben'!$B$111</f>
        <v>3</v>
      </c>
      <c r="BH14" s="481">
        <f>'Standard Vorgaben'!$B$110</f>
        <v>220</v>
      </c>
      <c r="BI14" s="48">
        <f>'Standard Vorgaben'!$B$100</f>
        <v>0.9</v>
      </c>
      <c r="BJ14" s="483">
        <f>BH14*BI14</f>
        <v>198</v>
      </c>
      <c r="BK14" s="484">
        <f>BJ14/$BJ$69</f>
        <v>4.7344649995128786E-3</v>
      </c>
      <c r="BL14" s="80" t="s">
        <v>29</v>
      </c>
      <c r="BM14" s="73" t="str">
        <f>'Standard Vorgaben'!$B$99</f>
        <v>Ammonsalpeter</v>
      </c>
      <c r="BN14" s="120">
        <f>'Standard Vorgaben'!$B$111</f>
        <v>3</v>
      </c>
      <c r="BO14" s="481">
        <f>'Standard Vorgaben'!$B$110</f>
        <v>220</v>
      </c>
      <c r="BP14" s="48">
        <f>'Standard Vorgaben'!$B$100</f>
        <v>0.9</v>
      </c>
      <c r="BQ14" s="483">
        <f>BO14*BP14</f>
        <v>198</v>
      </c>
      <c r="BR14" s="484">
        <f>BQ14/$BQ$69</f>
        <v>4.7368452721249588E-3</v>
      </c>
      <c r="BS14" s="80" t="s">
        <v>29</v>
      </c>
      <c r="BT14" s="73" t="str">
        <f>'Standard Vorgaben'!$B$99</f>
        <v>Ammonsalpeter</v>
      </c>
      <c r="BU14" s="120">
        <f>'Standard Vorgaben'!$B$111</f>
        <v>3</v>
      </c>
      <c r="BV14" s="481">
        <f>'Standard Vorgaben'!$B$110</f>
        <v>220</v>
      </c>
      <c r="BW14" s="48">
        <f>'Standard Vorgaben'!$B$100</f>
        <v>0.9</v>
      </c>
      <c r="BX14" s="483">
        <f>BV14*BW14</f>
        <v>198</v>
      </c>
      <c r="BY14" s="484">
        <f>BX14/$BX$69</f>
        <v>4.7392493942139072E-3</v>
      </c>
      <c r="BZ14" s="80" t="s">
        <v>29</v>
      </c>
      <c r="CA14" s="73" t="str">
        <f>'Standard Vorgaben'!$B$99</f>
        <v>Ammonsalpeter</v>
      </c>
      <c r="CB14" s="120">
        <f>'Standard Vorgaben'!$B$111</f>
        <v>3</v>
      </c>
      <c r="CC14" s="481">
        <f>'Standard Vorgaben'!$B$110</f>
        <v>220</v>
      </c>
      <c r="CD14" s="48">
        <f>'Standard Vorgaben'!$B$100</f>
        <v>0.9</v>
      </c>
      <c r="CE14" s="483">
        <f>CC14*CD14</f>
        <v>198</v>
      </c>
      <c r="CF14" s="484">
        <f>CE14/$CE$69</f>
        <v>4.7416776280722796E-3</v>
      </c>
      <c r="CG14" s="80" t="s">
        <v>29</v>
      </c>
      <c r="CH14" s="73" t="str">
        <f>'Standard Vorgaben'!$B$99</f>
        <v>Ammonsalpeter</v>
      </c>
      <c r="CI14" s="120">
        <f>'Standard Vorgaben'!$B$111</f>
        <v>3</v>
      </c>
      <c r="CJ14" s="481">
        <f>'Standard Vorgaben'!$B$110</f>
        <v>220</v>
      </c>
      <c r="CK14" s="48">
        <f>'Standard Vorgaben'!$B$100</f>
        <v>0.9</v>
      </c>
      <c r="CL14" s="483">
        <f>CJ14*CK14</f>
        <v>198</v>
      </c>
      <c r="CM14" s="484">
        <f>CL14/$CL$69</f>
        <v>4.7441302393252185E-3</v>
      </c>
      <c r="CN14" s="80" t="s">
        <v>29</v>
      </c>
      <c r="CO14" s="73" t="str">
        <f>'Standard Vorgaben'!$B$99</f>
        <v>Ammonsalpeter</v>
      </c>
      <c r="CP14" s="120">
        <f>'Standard Vorgaben'!$B$111</f>
        <v>3</v>
      </c>
      <c r="CQ14" s="481">
        <f>'Standard Vorgaben'!$B$110</f>
        <v>220</v>
      </c>
      <c r="CR14" s="48">
        <f>'Standard Vorgaben'!$B$100</f>
        <v>0.9</v>
      </c>
      <c r="CS14" s="483">
        <f>CQ14*CR14</f>
        <v>198</v>
      </c>
      <c r="CT14" s="484">
        <f>CS14/$CS$69</f>
        <v>4.7466074969813449E-3</v>
      </c>
      <c r="CU14" s="80" t="s">
        <v>29</v>
      </c>
      <c r="CV14" s="73" t="str">
        <f>'Standard Vorgaben'!$B$99</f>
        <v>Ammonsalpeter</v>
      </c>
      <c r="CW14" s="120">
        <f>'Standard Vorgaben'!$B$111</f>
        <v>3</v>
      </c>
      <c r="CX14" s="481">
        <f>'Standard Vorgaben'!$B$110</f>
        <v>220</v>
      </c>
      <c r="CY14" s="48">
        <f>'Standard Vorgaben'!$B$100</f>
        <v>0.9</v>
      </c>
      <c r="CZ14" s="483">
        <f>CX14*CY14</f>
        <v>198</v>
      </c>
      <c r="DA14" s="484">
        <f>CZ14/$CZ$69</f>
        <v>4.7491096734845768E-3</v>
      </c>
      <c r="DB14" s="80" t="s">
        <v>29</v>
      </c>
      <c r="DC14" s="73" t="str">
        <f>'Standard Vorgaben'!$B$99</f>
        <v>Ammonsalpeter</v>
      </c>
      <c r="DD14" s="120">
        <f>'Standard Vorgaben'!$B$111</f>
        <v>3</v>
      </c>
      <c r="DE14" s="481">
        <f>'Standard Vorgaben'!$B$110</f>
        <v>220</v>
      </c>
      <c r="DF14" s="48">
        <f>'Standard Vorgaben'!$B$100</f>
        <v>0.9</v>
      </c>
      <c r="DG14" s="483">
        <f>DE14*DF14</f>
        <v>198</v>
      </c>
      <c r="DH14" s="484">
        <f>DG14/$DG$69</f>
        <v>4.153568818522111E-3</v>
      </c>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row>
    <row r="15" spans="1:194" ht="13.5" thickBot="1" x14ac:dyDescent="0.25">
      <c r="A15" s="76"/>
      <c r="B15" s="171" t="str">
        <f>'Standard Vorgaben'!C99</f>
        <v>Grunddünger (Terbona)</v>
      </c>
      <c r="C15" s="511">
        <f>'Standard Vorgaben'!C105</f>
        <v>0</v>
      </c>
      <c r="D15" s="889">
        <f>'Standard Vorgaben'!C104</f>
        <v>0</v>
      </c>
      <c r="E15" s="45">
        <f>'Standard Vorgaben'!$C$100</f>
        <v>1.08</v>
      </c>
      <c r="F15" s="486">
        <f>D15*E15</f>
        <v>0</v>
      </c>
      <c r="G15" s="484">
        <f>F15/$F$69</f>
        <v>0</v>
      </c>
      <c r="H15" s="98"/>
      <c r="I15" s="171" t="str">
        <f>'Standard Vorgaben'!C99</f>
        <v>Grunddünger (Terbona)</v>
      </c>
      <c r="J15" s="511">
        <f>'Standard Vorgaben'!C107</f>
        <v>0</v>
      </c>
      <c r="K15" s="889">
        <f>'Standard Vorgaben'!C106</f>
        <v>0</v>
      </c>
      <c r="L15" s="45">
        <f>'Standard Vorgaben'!$C$100</f>
        <v>1.08</v>
      </c>
      <c r="M15" s="486">
        <f>K15*L15</f>
        <v>0</v>
      </c>
      <c r="N15" s="484">
        <f>M15/$M$69</f>
        <v>0</v>
      </c>
      <c r="O15" s="98"/>
      <c r="P15" s="171" t="str">
        <f>'Standard Vorgaben'!$C$99</f>
        <v>Grunddünger (Terbona)</v>
      </c>
      <c r="Q15" s="657">
        <f>'Standard Vorgaben'!$C$109</f>
        <v>0</v>
      </c>
      <c r="R15" s="889">
        <f>'Standard Vorgaben'!$C$108</f>
        <v>0</v>
      </c>
      <c r="S15" s="45">
        <f>'Standard Vorgaben'!$C$100</f>
        <v>1.08</v>
      </c>
      <c r="T15" s="656">
        <f>R15*S15</f>
        <v>0</v>
      </c>
      <c r="U15" s="484">
        <f>T15/$T$69</f>
        <v>0</v>
      </c>
      <c r="V15" s="98"/>
      <c r="W15" s="171" t="str">
        <f>'Standard Vorgaben'!$C$99</f>
        <v>Grunddünger (Terbona)</v>
      </c>
      <c r="X15" s="657">
        <f>'Standard Vorgaben'!$C$109</f>
        <v>0</v>
      </c>
      <c r="Y15" s="889">
        <f>'Standard Vorgaben'!$C$108</f>
        <v>0</v>
      </c>
      <c r="Z15" s="45">
        <f>'Standard Vorgaben'!$C$100</f>
        <v>1.08</v>
      </c>
      <c r="AA15" s="656">
        <f>Y15*Z15</f>
        <v>0</v>
      </c>
      <c r="AB15" s="484">
        <f>AA15/$AA$69</f>
        <v>0</v>
      </c>
      <c r="AC15" s="80"/>
      <c r="AD15" s="73" t="str">
        <f>'Standard Vorgaben'!$C$99</f>
        <v>Grunddünger (Terbona)</v>
      </c>
      <c r="AE15" s="511">
        <f>'Standard Vorgaben'!$C$111</f>
        <v>1</v>
      </c>
      <c r="AF15" s="889">
        <f>'Standard Vorgaben'!$C$110</f>
        <v>300</v>
      </c>
      <c r="AG15" s="45">
        <f>'Standard Vorgaben'!$C$100</f>
        <v>1.08</v>
      </c>
      <c r="AH15" s="486">
        <f>AF15*AG15</f>
        <v>324</v>
      </c>
      <c r="AI15" s="484">
        <f>AH15/$AH$69</f>
        <v>9.2850433851144124E-3</v>
      </c>
      <c r="AJ15" s="80"/>
      <c r="AK15" s="73" t="str">
        <f>'Standard Vorgaben'!$C$99</f>
        <v>Grunddünger (Terbona)</v>
      </c>
      <c r="AL15" s="511">
        <f>'Standard Vorgaben'!$C$111</f>
        <v>1</v>
      </c>
      <c r="AM15" s="889">
        <f>'Standard Vorgaben'!$C$110</f>
        <v>300</v>
      </c>
      <c r="AN15" s="45">
        <f>'Standard Vorgaben'!$C$100</f>
        <v>1.08</v>
      </c>
      <c r="AO15" s="486">
        <f>AM15*AN15</f>
        <v>324</v>
      </c>
      <c r="AP15" s="484">
        <f>AO15/$AO$69</f>
        <v>8.4391020376725773E-3</v>
      </c>
      <c r="AQ15" s="80"/>
      <c r="AR15" s="73" t="str">
        <f>'Standard Vorgaben'!$C$99</f>
        <v>Grunddünger (Terbona)</v>
      </c>
      <c r="AS15" s="511">
        <f>'Standard Vorgaben'!$C$111</f>
        <v>1</v>
      </c>
      <c r="AT15" s="889">
        <f>'Standard Vorgaben'!$C$110</f>
        <v>300</v>
      </c>
      <c r="AU15" s="45">
        <f>'Standard Vorgaben'!$C$100</f>
        <v>1.08</v>
      </c>
      <c r="AV15" s="486">
        <f>AT15*AU15</f>
        <v>324</v>
      </c>
      <c r="AW15" s="484">
        <f>AV15/$AV$69</f>
        <v>7.7396317689487791E-3</v>
      </c>
      <c r="AX15" s="80"/>
      <c r="AY15" s="73" t="str">
        <f>'Standard Vorgaben'!$C$99</f>
        <v>Grunddünger (Terbona)</v>
      </c>
      <c r="AZ15" s="511">
        <f>'Standard Vorgaben'!$C$111</f>
        <v>1</v>
      </c>
      <c r="BA15" s="889">
        <f>'Standard Vorgaben'!$C$110</f>
        <v>300</v>
      </c>
      <c r="BB15" s="45">
        <f>'Standard Vorgaben'!$C$100</f>
        <v>1.08</v>
      </c>
      <c r="BC15" s="486">
        <f>BA15*BB15</f>
        <v>324</v>
      </c>
      <c r="BD15" s="484">
        <f>BC15/$BC$69</f>
        <v>7.7434499738744701E-3</v>
      </c>
      <c r="BE15" s="80"/>
      <c r="BF15" s="73" t="str">
        <f>'Standard Vorgaben'!$C$99</f>
        <v>Grunddünger (Terbona)</v>
      </c>
      <c r="BG15" s="511">
        <f>'Standard Vorgaben'!$C$111</f>
        <v>1</v>
      </c>
      <c r="BH15" s="889">
        <f>'Standard Vorgaben'!$C$110</f>
        <v>300</v>
      </c>
      <c r="BI15" s="45">
        <f>'Standard Vorgaben'!$C$100</f>
        <v>1.08</v>
      </c>
      <c r="BJ15" s="486">
        <f>BH15*BI15</f>
        <v>324</v>
      </c>
      <c r="BK15" s="484">
        <f>BJ15/$BJ$69</f>
        <v>7.7473063628392558E-3</v>
      </c>
      <c r="BL15" s="80"/>
      <c r="BM15" s="73" t="str">
        <f>'Standard Vorgaben'!$C$99</f>
        <v>Grunddünger (Terbona)</v>
      </c>
      <c r="BN15" s="511">
        <f>'Standard Vorgaben'!$C$111</f>
        <v>1</v>
      </c>
      <c r="BO15" s="889">
        <f>'Standard Vorgaben'!$C$110</f>
        <v>300</v>
      </c>
      <c r="BP15" s="45">
        <f>'Standard Vorgaben'!$C$100</f>
        <v>1.08</v>
      </c>
      <c r="BQ15" s="486">
        <f>BO15*BP15</f>
        <v>324</v>
      </c>
      <c r="BR15" s="484">
        <f>BQ15/$BQ$69</f>
        <v>7.7512013543862964E-3</v>
      </c>
      <c r="BS15" s="80"/>
      <c r="BT15" s="73" t="str">
        <f>'Standard Vorgaben'!$C$99</f>
        <v>Grunddünger (Terbona)</v>
      </c>
      <c r="BU15" s="511">
        <f>'Standard Vorgaben'!$C$111</f>
        <v>1</v>
      </c>
      <c r="BV15" s="889">
        <f>'Standard Vorgaben'!$C$110</f>
        <v>300</v>
      </c>
      <c r="BW15" s="45">
        <f>'Standard Vorgaben'!$C$100</f>
        <v>1.08</v>
      </c>
      <c r="BX15" s="486">
        <f>BV15*BW15</f>
        <v>324</v>
      </c>
      <c r="BY15" s="484">
        <f>BX15/$BX$69</f>
        <v>7.7551353723500308E-3</v>
      </c>
      <c r="BZ15" s="80"/>
      <c r="CA15" s="73" t="str">
        <f>'Standard Vorgaben'!$C$99</f>
        <v>Grunddünger (Terbona)</v>
      </c>
      <c r="CB15" s="511">
        <f>'Standard Vorgaben'!$C$111</f>
        <v>1</v>
      </c>
      <c r="CC15" s="889">
        <f>'Standard Vorgaben'!$C$110</f>
        <v>300</v>
      </c>
      <c r="CD15" s="45">
        <f>'Standard Vorgaben'!$C$100</f>
        <v>1.08</v>
      </c>
      <c r="CE15" s="486">
        <f>CC15*CD15</f>
        <v>324</v>
      </c>
      <c r="CF15" s="484">
        <f>CE15/$CE$69</f>
        <v>7.759108845936457E-3</v>
      </c>
      <c r="CG15" s="80"/>
      <c r="CH15" s="73" t="str">
        <f>'Standard Vorgaben'!$C$99</f>
        <v>Grunddünger (Terbona)</v>
      </c>
      <c r="CI15" s="511">
        <f>'Standard Vorgaben'!$C$111</f>
        <v>1</v>
      </c>
      <c r="CJ15" s="889">
        <f>'Standard Vorgaben'!$C$110</f>
        <v>300</v>
      </c>
      <c r="CK15" s="45">
        <f>'Standard Vorgaben'!$C$100</f>
        <v>1.08</v>
      </c>
      <c r="CL15" s="486">
        <f>CJ15*CK15</f>
        <v>324</v>
      </c>
      <c r="CM15" s="484">
        <f>CL15/$CL$69</f>
        <v>7.7631222098049025E-3</v>
      </c>
      <c r="CN15" s="80"/>
      <c r="CO15" s="73" t="str">
        <f>'Standard Vorgaben'!$C$99</f>
        <v>Grunddünger (Terbona)</v>
      </c>
      <c r="CP15" s="511">
        <f>'Standard Vorgaben'!$C$111</f>
        <v>1</v>
      </c>
      <c r="CQ15" s="889">
        <f>'Standard Vorgaben'!$C$110</f>
        <v>300</v>
      </c>
      <c r="CR15" s="45">
        <f>'Standard Vorgaben'!$C$100</f>
        <v>1.08</v>
      </c>
      <c r="CS15" s="486">
        <f>CQ15*CR15</f>
        <v>324</v>
      </c>
      <c r="CT15" s="484">
        <f>CS15/$CS$69</f>
        <v>7.7671759041512915E-3</v>
      </c>
      <c r="CU15" s="80"/>
      <c r="CV15" s="73" t="str">
        <f>'Standard Vorgaben'!$C$99</f>
        <v>Grunddünger (Terbona)</v>
      </c>
      <c r="CW15" s="511">
        <f>'Standard Vorgaben'!$C$111</f>
        <v>1</v>
      </c>
      <c r="CX15" s="889">
        <f>'Standard Vorgaben'!$C$110</f>
        <v>300</v>
      </c>
      <c r="CY15" s="45">
        <f>'Standard Vorgaben'!$C$100</f>
        <v>1.08</v>
      </c>
      <c r="CZ15" s="486">
        <f>CX15*CY15</f>
        <v>324</v>
      </c>
      <c r="DA15" s="484">
        <f>CZ15/$CZ$69</f>
        <v>7.7712703747929435E-3</v>
      </c>
      <c r="DB15" s="80"/>
      <c r="DC15" s="73" t="str">
        <f>'Standard Vorgaben'!$C$99</f>
        <v>Grunddünger (Terbona)</v>
      </c>
      <c r="DD15" s="511">
        <f>'Standard Vorgaben'!$C$111</f>
        <v>1</v>
      </c>
      <c r="DE15" s="889">
        <f>'Standard Vorgaben'!$C$110</f>
        <v>300</v>
      </c>
      <c r="DF15" s="45">
        <f>'Standard Vorgaben'!$C$100</f>
        <v>1.08</v>
      </c>
      <c r="DG15" s="486">
        <f>DE15*DF15</f>
        <v>324</v>
      </c>
      <c r="DH15" s="484">
        <f>DG15/$DG$69</f>
        <v>6.7967489757634544E-3</v>
      </c>
    </row>
    <row r="16" spans="1:194" x14ac:dyDescent="0.2">
      <c r="Q16" s="120">
        <f>SUM(Q14:Q15)</f>
        <v>2</v>
      </c>
      <c r="T16" s="178">
        <f>SUM(T14:T15)</f>
        <v>162</v>
      </c>
      <c r="X16" s="120">
        <f>SUM(X14:X15)</f>
        <v>2</v>
      </c>
      <c r="Y16" s="487"/>
      <c r="AA16" s="178">
        <f>SUM(AA14:AA15)</f>
        <v>162</v>
      </c>
      <c r="AC16" s="80"/>
      <c r="AD16" s="64" t="str">
        <f>'Standard Vorgaben'!$D$99</f>
        <v xml:space="preserve">Triplesuperphosphat </v>
      </c>
      <c r="AE16" s="120">
        <f>'Standard Vorgaben'!$D$111</f>
        <v>0</v>
      </c>
      <c r="AF16" s="120">
        <f>'Standard Vorgaben'!$D$110</f>
        <v>35</v>
      </c>
      <c r="AG16" s="482">
        <f>'Standard Vorgaben'!$D$100</f>
        <v>0.79</v>
      </c>
      <c r="AH16" s="483">
        <f>AF16*AG16</f>
        <v>27.650000000000002</v>
      </c>
      <c r="AI16" s="484">
        <f>AH16/$AH$69</f>
        <v>7.9238101727905404E-4</v>
      </c>
      <c r="AJ16" s="80"/>
      <c r="AK16" s="64" t="str">
        <f>'Standard Vorgaben'!$D$99</f>
        <v xml:space="preserve">Triplesuperphosphat </v>
      </c>
      <c r="AL16" s="120">
        <f>'Standard Vorgaben'!$D$111</f>
        <v>0</v>
      </c>
      <c r="AM16" s="120">
        <f>'Standard Vorgaben'!$D$110</f>
        <v>35</v>
      </c>
      <c r="AN16" s="482">
        <f>'Standard Vorgaben'!$D$100</f>
        <v>0.79</v>
      </c>
      <c r="AO16" s="483">
        <f>AM16*AN16</f>
        <v>27.650000000000002</v>
      </c>
      <c r="AP16" s="484">
        <f>AO16/$AO$69</f>
        <v>7.2018880043718135E-4</v>
      </c>
      <c r="AQ16" s="80"/>
      <c r="AR16" s="64" t="str">
        <f>'Standard Vorgaben'!$D$99</f>
        <v xml:space="preserve">Triplesuperphosphat </v>
      </c>
      <c r="AS16" s="120">
        <f>'Standard Vorgaben'!$D$111</f>
        <v>0</v>
      </c>
      <c r="AT16" s="120">
        <f>'Standard Vorgaben'!$D$110</f>
        <v>35</v>
      </c>
      <c r="AU16" s="482">
        <f>'Standard Vorgaben'!$D$100</f>
        <v>0.79</v>
      </c>
      <c r="AV16" s="483">
        <f>AT16*AU16</f>
        <v>27.650000000000002</v>
      </c>
      <c r="AW16" s="484">
        <f>AV16/$AV$69</f>
        <v>6.6049635312170917E-4</v>
      </c>
      <c r="AX16" s="80"/>
      <c r="AY16" s="64" t="str">
        <f>'Standard Vorgaben'!$D$99</f>
        <v xml:space="preserve">Triplesuperphosphat </v>
      </c>
      <c r="AZ16" s="120">
        <f>'Standard Vorgaben'!$D$111</f>
        <v>0</v>
      </c>
      <c r="BA16" s="120">
        <f>'Standard Vorgaben'!$D$110</f>
        <v>35</v>
      </c>
      <c r="BB16" s="482">
        <f>'Standard Vorgaben'!$D$100</f>
        <v>0.79</v>
      </c>
      <c r="BC16" s="483">
        <f>BA16*BB16</f>
        <v>27.650000000000002</v>
      </c>
      <c r="BD16" s="484">
        <f>BC16/$BC$69</f>
        <v>6.6082219684453431E-4</v>
      </c>
      <c r="BE16" s="80"/>
      <c r="BF16" s="64" t="str">
        <f>'Standard Vorgaben'!$D$99</f>
        <v xml:space="preserve">Triplesuperphosphat </v>
      </c>
      <c r="BG16" s="120">
        <f>'Standard Vorgaben'!$D$111</f>
        <v>0</v>
      </c>
      <c r="BH16" s="120">
        <f>'Standard Vorgaben'!$D$110</f>
        <v>35</v>
      </c>
      <c r="BI16" s="482">
        <f>'Standard Vorgaben'!$D$100</f>
        <v>0.79</v>
      </c>
      <c r="BJ16" s="483">
        <f>BH16*BI16</f>
        <v>27.650000000000002</v>
      </c>
      <c r="BK16" s="484">
        <f>BJ16/$BJ$69</f>
        <v>6.6115129917439957E-4</v>
      </c>
      <c r="BL16" s="80"/>
      <c r="BM16" s="64" t="str">
        <f>'Standard Vorgaben'!$D$99</f>
        <v xml:space="preserve">Triplesuperphosphat </v>
      </c>
      <c r="BN16" s="120">
        <f>'Standard Vorgaben'!$D$111</f>
        <v>0</v>
      </c>
      <c r="BO16" s="120">
        <f>'Standard Vorgaben'!$D$110</f>
        <v>35</v>
      </c>
      <c r="BP16" s="482">
        <f>'Standard Vorgaben'!$D$100</f>
        <v>0.79</v>
      </c>
      <c r="BQ16" s="483">
        <f>BO16*BP16</f>
        <v>27.650000000000002</v>
      </c>
      <c r="BR16" s="484">
        <f>BQ16/$BQ$69</f>
        <v>6.614836958295713E-4</v>
      </c>
      <c r="BS16" s="80"/>
      <c r="BT16" s="64" t="str">
        <f>'Standard Vorgaben'!$D$99</f>
        <v xml:space="preserve">Triplesuperphosphat </v>
      </c>
      <c r="BU16" s="120">
        <f>'Standard Vorgaben'!$D$111</f>
        <v>0</v>
      </c>
      <c r="BV16" s="120">
        <f>'Standard Vorgaben'!$D$110</f>
        <v>35</v>
      </c>
      <c r="BW16" s="482">
        <f>'Standard Vorgaben'!$D$100</f>
        <v>0.79</v>
      </c>
      <c r="BX16" s="483">
        <f>BV16*BW16</f>
        <v>27.650000000000002</v>
      </c>
      <c r="BY16" s="484">
        <f>BX16/$BX$69</f>
        <v>6.6181942297987152E-4</v>
      </c>
      <c r="BZ16" s="80"/>
      <c r="CA16" s="64" t="str">
        <f>'Standard Vorgaben'!$D$99</f>
        <v xml:space="preserve">Triplesuperphosphat </v>
      </c>
      <c r="CB16" s="120">
        <f>'Standard Vorgaben'!$D$111</f>
        <v>0</v>
      </c>
      <c r="CC16" s="120">
        <f>'Standard Vorgaben'!$D$110</f>
        <v>35</v>
      </c>
      <c r="CD16" s="482">
        <f>'Standard Vorgaben'!$D$100</f>
        <v>0.79</v>
      </c>
      <c r="CE16" s="483">
        <f>CC16*CD16</f>
        <v>27.650000000000002</v>
      </c>
      <c r="CF16" s="484">
        <f>CE16/$CE$69</f>
        <v>6.6215851725352792E-4</v>
      </c>
      <c r="CG16" s="80"/>
      <c r="CH16" s="64" t="str">
        <f>'Standard Vorgaben'!$D$99</f>
        <v xml:space="preserve">Triplesuperphosphat </v>
      </c>
      <c r="CI16" s="120">
        <f>'Standard Vorgaben'!$D$111</f>
        <v>0</v>
      </c>
      <c r="CJ16" s="120">
        <f>'Standard Vorgaben'!$D$110</f>
        <v>35</v>
      </c>
      <c r="CK16" s="482">
        <f>'Standard Vorgaben'!$D$100</f>
        <v>0.79</v>
      </c>
      <c r="CL16" s="483">
        <f>CJ16*CK16</f>
        <v>27.650000000000002</v>
      </c>
      <c r="CM16" s="484">
        <f>CL16/$CL$69</f>
        <v>6.6250101574415296E-4</v>
      </c>
      <c r="CN16" s="80"/>
      <c r="CO16" s="64" t="str">
        <f>'Standard Vorgaben'!$D$99</f>
        <v xml:space="preserve">Triplesuperphosphat </v>
      </c>
      <c r="CP16" s="120">
        <f>'Standard Vorgaben'!$D$111</f>
        <v>0</v>
      </c>
      <c r="CQ16" s="120">
        <f>'Standard Vorgaben'!$D$110</f>
        <v>35</v>
      </c>
      <c r="CR16" s="482">
        <f>'Standard Vorgaben'!$D$100</f>
        <v>0.79</v>
      </c>
      <c r="CS16" s="483">
        <f>CQ16*CR16</f>
        <v>27.650000000000002</v>
      </c>
      <c r="CT16" s="484">
        <f>CS16/$CS$69</f>
        <v>6.6284695601784944E-4</v>
      </c>
      <c r="CU16" s="80"/>
      <c r="CV16" s="64" t="str">
        <f>'Standard Vorgaben'!$D$99</f>
        <v xml:space="preserve">Triplesuperphosphat </v>
      </c>
      <c r="CW16" s="120">
        <f>'Standard Vorgaben'!$D$111</f>
        <v>0</v>
      </c>
      <c r="CX16" s="120">
        <f>'Standard Vorgaben'!$D$110</f>
        <v>35</v>
      </c>
      <c r="CY16" s="482">
        <f>'Standard Vorgaben'!$D$100</f>
        <v>0.79</v>
      </c>
      <c r="CZ16" s="483">
        <f>CX16*CY16</f>
        <v>27.650000000000002</v>
      </c>
      <c r="DA16" s="484">
        <f>CZ16/$CZ$69</f>
        <v>6.6319637612044719E-4</v>
      </c>
      <c r="DB16" s="80"/>
      <c r="DC16" s="64" t="str">
        <f>'Standard Vorgaben'!$D$99</f>
        <v xml:space="preserve">Triplesuperphosphat </v>
      </c>
      <c r="DD16" s="120">
        <f>'Standard Vorgaben'!$D$111</f>
        <v>0</v>
      </c>
      <c r="DE16" s="120">
        <f>'Standard Vorgaben'!$D$110</f>
        <v>35</v>
      </c>
      <c r="DF16" s="482">
        <f>'Standard Vorgaben'!$D$100</f>
        <v>0.79</v>
      </c>
      <c r="DG16" s="483">
        <f>DE16*DF16</f>
        <v>27.650000000000002</v>
      </c>
      <c r="DH16" s="484">
        <f>DG16/$DG$69</f>
        <v>5.8003120117240594E-4</v>
      </c>
    </row>
    <row r="17" spans="1:112" ht="13.5" thickBot="1" x14ac:dyDescent="0.25">
      <c r="F17" s="895"/>
      <c r="G17" s="655"/>
      <c r="H17" s="80"/>
      <c r="I17" s="64"/>
      <c r="J17" s="120"/>
      <c r="K17" s="120"/>
      <c r="L17" s="482"/>
      <c r="M17" s="895"/>
      <c r="N17" s="655"/>
      <c r="O17" s="80"/>
      <c r="Q17" s="120"/>
      <c r="R17" s="120"/>
      <c r="S17" s="482"/>
      <c r="T17" s="482"/>
      <c r="U17" s="655"/>
      <c r="V17" s="80"/>
      <c r="X17" s="120"/>
      <c r="Y17" s="120"/>
      <c r="Z17" s="1304"/>
      <c r="AA17" s="519"/>
      <c r="AB17" s="655"/>
      <c r="AC17" s="80"/>
      <c r="AD17" s="64" t="str">
        <f>'Standard Vorgaben'!$E$99</f>
        <v>Patentkali</v>
      </c>
      <c r="AE17" s="657">
        <f>'Standard Vorgaben'!$E$111</f>
        <v>0</v>
      </c>
      <c r="AF17" s="120">
        <f>'Standard Vorgaben'!$E$110</f>
        <v>180</v>
      </c>
      <c r="AG17" s="482">
        <f>'Standard Vorgaben'!$E$100</f>
        <v>0.67</v>
      </c>
      <c r="AH17" s="656">
        <f>AF17*AG17</f>
        <v>120.60000000000001</v>
      </c>
      <c r="AI17" s="484">
        <f>AH17/$AH$69</f>
        <v>3.4560994822370314E-3</v>
      </c>
      <c r="AJ17" s="80"/>
      <c r="AK17" s="64" t="str">
        <f>'Standard Vorgaben'!$E$99</f>
        <v>Patentkali</v>
      </c>
      <c r="AL17" s="657">
        <f>'Standard Vorgaben'!$E$111</f>
        <v>0</v>
      </c>
      <c r="AM17" s="120">
        <f>'Standard Vorgaben'!$E$110</f>
        <v>180</v>
      </c>
      <c r="AN17" s="482">
        <f>'Standard Vorgaben'!$E$100</f>
        <v>0.67</v>
      </c>
      <c r="AO17" s="656">
        <f>AM17*AN17</f>
        <v>120.60000000000001</v>
      </c>
      <c r="AP17" s="484">
        <f>AO17/$AO$69</f>
        <v>3.1412213140225706E-3</v>
      </c>
      <c r="AQ17" s="80"/>
      <c r="AR17" s="64" t="str">
        <f>'Standard Vorgaben'!$E$99</f>
        <v>Patentkali</v>
      </c>
      <c r="AS17" s="657">
        <f>'Standard Vorgaben'!$E$111</f>
        <v>0</v>
      </c>
      <c r="AT17" s="120">
        <f>'Standard Vorgaben'!$E$110</f>
        <v>180</v>
      </c>
      <c r="AU17" s="482">
        <f>'Standard Vorgaben'!$E$100</f>
        <v>0.67</v>
      </c>
      <c r="AV17" s="656">
        <f>AT17*AU17</f>
        <v>120.60000000000001</v>
      </c>
      <c r="AW17" s="484">
        <f>AV17/$AV$69</f>
        <v>2.8808629362198235E-3</v>
      </c>
      <c r="AX17" s="80"/>
      <c r="AY17" s="64" t="str">
        <f>'Standard Vorgaben'!$E$99</f>
        <v>Patentkali</v>
      </c>
      <c r="AZ17" s="657">
        <f>'Standard Vorgaben'!$E$111</f>
        <v>0</v>
      </c>
      <c r="BA17" s="120">
        <f>'Standard Vorgaben'!$E$110</f>
        <v>180</v>
      </c>
      <c r="BB17" s="482">
        <f>'Standard Vorgaben'!$E$100</f>
        <v>0.67</v>
      </c>
      <c r="BC17" s="656">
        <f>BA17*BB17</f>
        <v>120.60000000000001</v>
      </c>
      <c r="BD17" s="484">
        <f>BC17/$BC$69</f>
        <v>2.8822841569421643E-3</v>
      </c>
      <c r="BE17" s="80"/>
      <c r="BF17" s="64" t="str">
        <f>'Standard Vorgaben'!$E$99</f>
        <v>Patentkali</v>
      </c>
      <c r="BG17" s="657">
        <f>'Standard Vorgaben'!$E$111</f>
        <v>0</v>
      </c>
      <c r="BH17" s="120">
        <f>'Standard Vorgaben'!$E$110</f>
        <v>180</v>
      </c>
      <c r="BI17" s="482">
        <f>'Standard Vorgaben'!$E$100</f>
        <v>0.67</v>
      </c>
      <c r="BJ17" s="656">
        <f>BH17*BI17</f>
        <v>120.60000000000001</v>
      </c>
      <c r="BK17" s="484">
        <f>BJ17/$BJ$69</f>
        <v>2.88371959061239E-3</v>
      </c>
      <c r="BL17" s="80"/>
      <c r="BM17" s="64" t="str">
        <f>'Standard Vorgaben'!$E$99</f>
        <v>Patentkali</v>
      </c>
      <c r="BN17" s="657">
        <f>'Standard Vorgaben'!$E$111</f>
        <v>0</v>
      </c>
      <c r="BO17" s="120">
        <f>'Standard Vorgaben'!$E$110</f>
        <v>180</v>
      </c>
      <c r="BP17" s="482">
        <f>'Standard Vorgaben'!$E$100</f>
        <v>0.67</v>
      </c>
      <c r="BQ17" s="656">
        <f>BO17*BP17</f>
        <v>120.60000000000001</v>
      </c>
      <c r="BR17" s="484">
        <f>BQ17/$BQ$69</f>
        <v>2.8851693930215662E-3</v>
      </c>
      <c r="BS17" s="80"/>
      <c r="BT17" s="64" t="str">
        <f>'Standard Vorgaben'!$E$99</f>
        <v>Patentkali</v>
      </c>
      <c r="BU17" s="657">
        <f>'Standard Vorgaben'!$E$111</f>
        <v>0</v>
      </c>
      <c r="BV17" s="120">
        <f>'Standard Vorgaben'!$E$110</f>
        <v>180</v>
      </c>
      <c r="BW17" s="482">
        <f>'Standard Vorgaben'!$E$100</f>
        <v>0.67</v>
      </c>
      <c r="BX17" s="656">
        <f>BV17*BW17</f>
        <v>120.60000000000001</v>
      </c>
      <c r="BY17" s="484">
        <f>BX17/$BX$69</f>
        <v>2.8866337219302894E-3</v>
      </c>
      <c r="BZ17" s="80"/>
      <c r="CA17" s="64" t="str">
        <f>'Standard Vorgaben'!$E$99</f>
        <v>Patentkali</v>
      </c>
      <c r="CB17" s="657">
        <f>'Standard Vorgaben'!$E$111</f>
        <v>0</v>
      </c>
      <c r="CC17" s="120">
        <f>'Standard Vorgaben'!$E$110</f>
        <v>180</v>
      </c>
      <c r="CD17" s="482">
        <f>'Standard Vorgaben'!$E$100</f>
        <v>0.67</v>
      </c>
      <c r="CE17" s="656">
        <f>CC17*CD17</f>
        <v>120.60000000000001</v>
      </c>
      <c r="CF17" s="484">
        <f>CE17/$CE$69</f>
        <v>2.8881127370985705E-3</v>
      </c>
      <c r="CG17" s="80"/>
      <c r="CH17" s="64" t="str">
        <f>'Standard Vorgaben'!$E$99</f>
        <v>Patentkali</v>
      </c>
      <c r="CI17" s="657">
        <f>'Standard Vorgaben'!$E$111</f>
        <v>0</v>
      </c>
      <c r="CJ17" s="120">
        <f>'Standard Vorgaben'!$E$110</f>
        <v>180</v>
      </c>
      <c r="CK17" s="482">
        <f>'Standard Vorgaben'!$E$100</f>
        <v>0.67</v>
      </c>
      <c r="CL17" s="656">
        <f>CJ17*CK17</f>
        <v>120.60000000000001</v>
      </c>
      <c r="CM17" s="484">
        <f>CL17/$CL$69</f>
        <v>2.8896066003162696E-3</v>
      </c>
      <c r="CN17" s="80"/>
      <c r="CO17" s="64" t="str">
        <f>'Standard Vorgaben'!$E$99</f>
        <v>Patentkali</v>
      </c>
      <c r="CP17" s="657">
        <f>'Standard Vorgaben'!$E$111</f>
        <v>0</v>
      </c>
      <c r="CQ17" s="120">
        <f>'Standard Vorgaben'!$E$110</f>
        <v>180</v>
      </c>
      <c r="CR17" s="482">
        <f>'Standard Vorgaben'!$E$100</f>
        <v>0.67</v>
      </c>
      <c r="CS17" s="656">
        <f>CQ17*CR17</f>
        <v>120.60000000000001</v>
      </c>
      <c r="CT17" s="484">
        <f>CS17/$CS$69</f>
        <v>2.8911154754340919E-3</v>
      </c>
      <c r="CU17" s="80"/>
      <c r="CV17" s="64" t="str">
        <f>'Standard Vorgaben'!$E$99</f>
        <v>Patentkali</v>
      </c>
      <c r="CW17" s="657">
        <f>'Standard Vorgaben'!$E$111</f>
        <v>0</v>
      </c>
      <c r="CX17" s="120">
        <f>'Standard Vorgaben'!$E$110</f>
        <v>180</v>
      </c>
      <c r="CY17" s="482">
        <f>'Standard Vorgaben'!$E$100</f>
        <v>0.67</v>
      </c>
      <c r="CZ17" s="656">
        <f>CX17*CY17</f>
        <v>120.60000000000001</v>
      </c>
      <c r="DA17" s="484">
        <f>CZ17/$CZ$69</f>
        <v>2.8926395283951512E-3</v>
      </c>
      <c r="DB17" s="80"/>
      <c r="DC17" s="64" t="str">
        <f>'Standard Vorgaben'!$E$99</f>
        <v>Patentkali</v>
      </c>
      <c r="DD17" s="657">
        <f>'Standard Vorgaben'!$E$111</f>
        <v>0</v>
      </c>
      <c r="DE17" s="120">
        <f>'Standard Vorgaben'!$E$110</f>
        <v>180</v>
      </c>
      <c r="DF17" s="482">
        <f>'Standard Vorgaben'!$E$100</f>
        <v>0.67</v>
      </c>
      <c r="DG17" s="656">
        <f>DE17*DF17</f>
        <v>120.60000000000001</v>
      </c>
      <c r="DH17" s="484">
        <f>DG17/$DG$69</f>
        <v>2.5299010076452861E-3</v>
      </c>
    </row>
    <row r="18" spans="1:112" x14ac:dyDescent="0.2">
      <c r="C18" s="120">
        <f>SUM(C14:C15)</f>
        <v>2</v>
      </c>
      <c r="F18" s="178">
        <f>SUM(F14:F15)</f>
        <v>135</v>
      </c>
      <c r="G18" s="655">
        <f>F18/$F$69</f>
        <v>1.4268784556645941E-2</v>
      </c>
      <c r="H18" s="80"/>
      <c r="I18" s="64"/>
      <c r="J18" s="120">
        <f>SUM(J14:J15)</f>
        <v>2</v>
      </c>
      <c r="K18" s="120"/>
      <c r="L18" s="482"/>
      <c r="M18" s="178">
        <f>SUM(M14:M15)</f>
        <v>135</v>
      </c>
      <c r="N18" s="655">
        <f>M18/$M$69</f>
        <v>9.8178867717653891E-3</v>
      </c>
      <c r="O18" s="80"/>
      <c r="R18" s="120"/>
      <c r="S18" s="482"/>
      <c r="T18" s="482"/>
      <c r="U18" s="655">
        <f>T16/$T$69</f>
        <v>7.9728329426629503E-3</v>
      </c>
      <c r="V18" s="80"/>
      <c r="X18" s="120">
        <f>SUM(X14:X15)</f>
        <v>2</v>
      </c>
      <c r="Y18" s="120"/>
      <c r="Z18" s="1304"/>
      <c r="AA18" s="519"/>
      <c r="AB18" s="655">
        <f>AA18/$AA$69</f>
        <v>0</v>
      </c>
      <c r="AC18" s="80"/>
      <c r="AE18" s="890">
        <f>SUM(AE14:AE17)</f>
        <v>4</v>
      </c>
      <c r="AF18" s="178"/>
      <c r="AG18" s="178"/>
      <c r="AH18" s="178">
        <f>SUM(AH14:AH17)</f>
        <v>670.25</v>
      </c>
      <c r="AI18" s="178">
        <f>SUM(AI14:AI17)</f>
        <v>1.920771706442264E-2</v>
      </c>
      <c r="AJ18" s="80"/>
      <c r="AL18" s="890">
        <f>SUM(AL14:AL17)</f>
        <v>4</v>
      </c>
      <c r="AM18" s="178"/>
      <c r="AN18" s="178"/>
      <c r="AO18" s="178">
        <f>SUM(AO14:AO17)</f>
        <v>670.25</v>
      </c>
      <c r="AP18" s="178">
        <f>SUM(AP14:AP17)</f>
        <v>1.7457741175154459E-2</v>
      </c>
      <c r="AQ18" s="80"/>
      <c r="AS18" s="890">
        <f>SUM(AS14:AS17)</f>
        <v>4</v>
      </c>
      <c r="AT18" s="178"/>
      <c r="AU18" s="178"/>
      <c r="AV18" s="178">
        <f>SUM(AV14:AV17)</f>
        <v>670.25</v>
      </c>
      <c r="AW18" s="178">
        <f>SUM(AW14:AW17)</f>
        <v>1.6010766028203456E-2</v>
      </c>
      <c r="AX18" s="80"/>
      <c r="AZ18" s="890">
        <f>SUM(AZ14:AZ17)</f>
        <v>4</v>
      </c>
      <c r="BA18" s="178"/>
      <c r="BB18" s="178"/>
      <c r="BC18" s="178">
        <f>SUM(BC14:BC17)</f>
        <v>670.25</v>
      </c>
      <c r="BD18" s="178">
        <f>SUM(BD14:BD17)</f>
        <v>1.60186646450289E-2</v>
      </c>
      <c r="BE18" s="80"/>
      <c r="BG18" s="890">
        <f>SUM(BG14:BG17)</f>
        <v>4</v>
      </c>
      <c r="BH18" s="178"/>
      <c r="BI18" s="178"/>
      <c r="BJ18" s="178">
        <f>SUM(BJ14:BJ17)</f>
        <v>670.25</v>
      </c>
      <c r="BK18" s="178">
        <f>SUM(BK14:BK17)</f>
        <v>1.6026642252138922E-2</v>
      </c>
      <c r="BL18" s="80"/>
      <c r="BN18" s="890">
        <f>SUM(BN14:BN17)</f>
        <v>4</v>
      </c>
      <c r="BO18" s="178"/>
      <c r="BP18" s="178"/>
      <c r="BQ18" s="178">
        <f>SUM(BQ14:BQ17)</f>
        <v>670.25</v>
      </c>
      <c r="BR18" s="178">
        <f>SUM(BR14:BR17)</f>
        <v>1.6034699715362394E-2</v>
      </c>
      <c r="BS18" s="80"/>
      <c r="BU18" s="890">
        <f>SUM(BU14:BU17)</f>
        <v>4</v>
      </c>
      <c r="BV18" s="178"/>
      <c r="BW18" s="178"/>
      <c r="BX18" s="178">
        <f>SUM(BX14:BX17)</f>
        <v>670.25</v>
      </c>
      <c r="BY18" s="178">
        <f>SUM(BY14:BY17)</f>
        <v>1.6042837911474098E-2</v>
      </c>
      <c r="BZ18" s="80"/>
      <c r="CB18" s="890">
        <f>SUM(CB14:CB17)</f>
        <v>4</v>
      </c>
      <c r="CC18" s="178"/>
      <c r="CD18" s="178"/>
      <c r="CE18" s="178">
        <f>SUM(CE14:CE17)</f>
        <v>670.25</v>
      </c>
      <c r="CF18" s="178">
        <f>SUM(CF14:CF17)</f>
        <v>1.6051057728360834E-2</v>
      </c>
      <c r="CG18" s="80"/>
      <c r="CI18" s="890">
        <f>SUM(CI14:CI17)</f>
        <v>4</v>
      </c>
      <c r="CJ18" s="178"/>
      <c r="CK18" s="178"/>
      <c r="CL18" s="178">
        <f>SUM(CL14:CL17)</f>
        <v>670.25</v>
      </c>
      <c r="CM18" s="178">
        <f>SUM(CM14:CM17)</f>
        <v>1.6059360065190546E-2</v>
      </c>
      <c r="CN18" s="80"/>
      <c r="CP18" s="890">
        <f>SUM(CP14:CP17)</f>
        <v>4</v>
      </c>
      <c r="CQ18" s="178"/>
      <c r="CR18" s="178"/>
      <c r="CS18" s="178">
        <f>SUM(CS14:CS17)</f>
        <v>670.25</v>
      </c>
      <c r="CT18" s="178">
        <f>SUM(CT14:CT17)</f>
        <v>1.6067745832584579E-2</v>
      </c>
      <c r="CU18" s="80"/>
      <c r="CW18" s="890">
        <f>SUM(CW14:CW17)</f>
        <v>4</v>
      </c>
      <c r="CX18" s="178"/>
      <c r="CY18" s="178"/>
      <c r="CZ18" s="178">
        <f>SUM(CZ14:CZ17)</f>
        <v>670.25</v>
      </c>
      <c r="DA18" s="178">
        <f>SUM(DA14:DA17)</f>
        <v>1.607621595279312E-2</v>
      </c>
      <c r="DB18" s="80"/>
      <c r="DD18" s="890">
        <f>SUM(DD14:DD17)</f>
        <v>4</v>
      </c>
      <c r="DE18" s="178"/>
      <c r="DF18" s="178"/>
      <c r="DG18" s="178">
        <f>SUM(DG14:DG17)</f>
        <v>670.25</v>
      </c>
      <c r="DH18" s="178">
        <f>SUM(DH14:DH17)</f>
        <v>1.4060250003103259E-2</v>
      </c>
    </row>
    <row r="19" spans="1:112" ht="21.6" customHeight="1" x14ac:dyDescent="0.2">
      <c r="A19" s="80"/>
      <c r="C19" s="323"/>
      <c r="D19" s="529"/>
      <c r="G19" s="484"/>
      <c r="H19" s="80"/>
      <c r="I19" s="64"/>
      <c r="J19" s="323"/>
      <c r="K19" s="529"/>
      <c r="L19" s="482"/>
      <c r="M19" s="483"/>
      <c r="N19" s="484"/>
      <c r="O19" s="80"/>
      <c r="Q19" s="323"/>
      <c r="R19" s="529"/>
      <c r="S19" s="482"/>
      <c r="T19" s="483"/>
      <c r="U19" s="484"/>
      <c r="V19" s="80"/>
      <c r="X19" s="323"/>
      <c r="Y19" s="529"/>
      <c r="Z19" s="482"/>
      <c r="AA19" s="483"/>
      <c r="AB19" s="484"/>
      <c r="AC19" s="80"/>
      <c r="AE19" s="323"/>
      <c r="AF19" s="529"/>
      <c r="AG19" s="482"/>
      <c r="AH19" s="483"/>
      <c r="AI19" s="484"/>
      <c r="AJ19" s="80"/>
      <c r="AL19" s="323"/>
      <c r="AM19" s="529"/>
      <c r="AN19" s="482"/>
      <c r="AO19" s="483"/>
      <c r="AP19" s="484"/>
      <c r="AQ19" s="80"/>
      <c r="AS19" s="323"/>
      <c r="AT19" s="529"/>
      <c r="AU19" s="482"/>
      <c r="AV19" s="483"/>
      <c r="AW19" s="484"/>
      <c r="AX19" s="80"/>
      <c r="AZ19" s="323"/>
      <c r="BA19" s="529"/>
      <c r="BB19" s="482"/>
      <c r="BC19" s="483"/>
      <c r="BD19" s="484"/>
      <c r="BE19" s="80"/>
      <c r="BG19" s="323"/>
      <c r="BH19" s="529"/>
      <c r="BI19" s="482"/>
      <c r="BJ19" s="483"/>
      <c r="BK19" s="484"/>
      <c r="BL19" s="80"/>
      <c r="BN19" s="323"/>
      <c r="BO19" s="529"/>
      <c r="BP19" s="482"/>
      <c r="BQ19" s="483"/>
      <c r="BR19" s="484"/>
      <c r="BS19" s="80"/>
      <c r="BU19" s="323"/>
      <c r="BV19" s="529"/>
      <c r="BW19" s="482"/>
      <c r="BX19" s="483"/>
      <c r="BY19" s="484"/>
      <c r="BZ19" s="80"/>
      <c r="CB19" s="323"/>
      <c r="CC19" s="529"/>
      <c r="CD19" s="482"/>
      <c r="CE19" s="483"/>
      <c r="CF19" s="484"/>
      <c r="CG19" s="80"/>
      <c r="CI19" s="323"/>
      <c r="CJ19" s="529"/>
      <c r="CK19" s="482"/>
      <c r="CL19" s="483"/>
      <c r="CM19" s="484"/>
      <c r="CN19" s="80"/>
      <c r="CP19" s="323"/>
      <c r="CQ19" s="529"/>
      <c r="CR19" s="482"/>
      <c r="CS19" s="483"/>
      <c r="CT19" s="484"/>
      <c r="CU19" s="80"/>
      <c r="CW19" s="323"/>
      <c r="CX19" s="529"/>
      <c r="CY19" s="482"/>
      <c r="CZ19" s="483"/>
      <c r="DA19" s="484"/>
      <c r="DB19" s="80"/>
      <c r="DD19" s="323"/>
      <c r="DE19" s="529"/>
      <c r="DF19" s="482"/>
      <c r="DG19" s="483"/>
      <c r="DH19" s="484"/>
    </row>
    <row r="20" spans="1:112" x14ac:dyDescent="0.2">
      <c r="A20" s="80"/>
      <c r="C20" s="323"/>
      <c r="D20" s="529"/>
      <c r="E20" s="169"/>
      <c r="G20" s="484"/>
      <c r="H20" s="80"/>
      <c r="I20" s="64"/>
      <c r="J20" s="323"/>
      <c r="K20" s="529"/>
      <c r="L20" s="482"/>
      <c r="M20" s="483"/>
      <c r="N20" s="484"/>
      <c r="O20" s="80"/>
      <c r="Q20" s="323"/>
      <c r="R20" s="529"/>
      <c r="S20" s="482"/>
      <c r="T20" s="483"/>
      <c r="U20" s="484"/>
      <c r="V20" s="80"/>
      <c r="X20" s="323"/>
      <c r="Y20" s="529"/>
      <c r="Z20" s="482"/>
      <c r="AA20" s="483"/>
      <c r="AB20" s="484"/>
      <c r="AC20" s="80"/>
      <c r="AE20" s="323"/>
      <c r="AF20" s="529"/>
      <c r="AG20" s="482"/>
      <c r="AH20" s="483"/>
      <c r="AI20" s="484"/>
      <c r="AJ20" s="80"/>
      <c r="AL20" s="323"/>
      <c r="AM20" s="529"/>
      <c r="AN20" s="482"/>
      <c r="AO20" s="483"/>
      <c r="AP20" s="484"/>
      <c r="AQ20" s="80"/>
      <c r="AS20" s="323"/>
      <c r="AT20" s="529"/>
      <c r="AU20" s="482"/>
      <c r="AV20" s="483"/>
      <c r="AW20" s="484"/>
      <c r="AX20" s="80"/>
      <c r="AZ20" s="323"/>
      <c r="BA20" s="529"/>
      <c r="BB20" s="482"/>
      <c r="BC20" s="483"/>
      <c r="BD20" s="484"/>
      <c r="BE20" s="80"/>
      <c r="BG20" s="323"/>
      <c r="BH20" s="529"/>
      <c r="BI20" s="482"/>
      <c r="BJ20" s="483"/>
      <c r="BK20" s="484"/>
      <c r="BL20" s="80"/>
      <c r="BN20" s="323"/>
      <c r="BO20" s="529"/>
      <c r="BP20" s="482"/>
      <c r="BQ20" s="483"/>
      <c r="BR20" s="484"/>
      <c r="BS20" s="80"/>
      <c r="BU20" s="323"/>
      <c r="BV20" s="529"/>
      <c r="BW20" s="482"/>
      <c r="BX20" s="483"/>
      <c r="BY20" s="484"/>
      <c r="BZ20" s="80"/>
      <c r="CB20" s="323"/>
      <c r="CC20" s="529"/>
      <c r="CD20" s="482"/>
      <c r="CE20" s="483"/>
      <c r="CF20" s="484"/>
      <c r="CG20" s="80"/>
      <c r="CI20" s="323"/>
      <c r="CJ20" s="529"/>
      <c r="CK20" s="482"/>
      <c r="CL20" s="483"/>
      <c r="CM20" s="484"/>
      <c r="CN20" s="80"/>
      <c r="CP20" s="323"/>
      <c r="CQ20" s="529"/>
      <c r="CR20" s="482"/>
      <c r="CS20" s="483"/>
      <c r="CT20" s="484"/>
      <c r="CU20" s="80"/>
      <c r="CW20" s="323"/>
      <c r="CX20" s="529"/>
      <c r="CY20" s="482"/>
      <c r="CZ20" s="483"/>
      <c r="DA20" s="484"/>
      <c r="DB20" s="80"/>
      <c r="DD20" s="323"/>
      <c r="DE20" s="529"/>
      <c r="DF20" s="482"/>
      <c r="DG20" s="483"/>
      <c r="DH20" s="484"/>
    </row>
    <row r="21" spans="1:112" x14ac:dyDescent="0.2">
      <c r="A21" s="49" t="str">
        <f>'Standard Vorgaben'!$A$116</f>
        <v>Fungiziden</v>
      </c>
      <c r="C21" s="323"/>
      <c r="D21" s="529"/>
      <c r="E21" s="169"/>
      <c r="F21" s="483">
        <f>'Standard Vorgaben'!B116</f>
        <v>420</v>
      </c>
      <c r="G21" s="484"/>
      <c r="H21" s="49" t="str">
        <f>'Standard Vorgaben'!$A$116</f>
        <v>Fungiziden</v>
      </c>
      <c r="I21" s="64"/>
      <c r="J21" s="323"/>
      <c r="K21" s="529"/>
      <c r="L21" s="169"/>
      <c r="M21" s="483">
        <f>'Standard Vorgaben'!C116</f>
        <v>550</v>
      </c>
      <c r="N21" s="484"/>
      <c r="O21" s="49" t="str">
        <f>'Standard Vorgaben'!$A$116</f>
        <v>Fungiziden</v>
      </c>
      <c r="Q21" s="323"/>
      <c r="R21" s="529"/>
      <c r="S21" s="169"/>
      <c r="T21" s="483">
        <f>'Standard Vorgaben'!D116</f>
        <v>1200</v>
      </c>
      <c r="U21" s="484"/>
      <c r="V21" s="49" t="str">
        <f>'Standard Vorgaben'!$A$116</f>
        <v>Fungiziden</v>
      </c>
      <c r="X21" s="323"/>
      <c r="Y21" s="529"/>
      <c r="Z21" s="169"/>
      <c r="AA21" s="483">
        <f>'Standard Vorgaben'!$E$116</f>
        <v>1200</v>
      </c>
      <c r="AB21" s="484"/>
      <c r="AC21" s="49" t="str">
        <f>'Standard Vorgaben'!$A$116</f>
        <v>Fungiziden</v>
      </c>
      <c r="AE21" s="323"/>
      <c r="AF21" s="529"/>
      <c r="AG21" s="169"/>
      <c r="AH21" s="483">
        <f>'Standard Vorgaben'!$E$116</f>
        <v>1200</v>
      </c>
      <c r="AI21" s="484"/>
      <c r="AJ21" s="49" t="str">
        <f>'Standard Vorgaben'!$A$116</f>
        <v>Fungiziden</v>
      </c>
      <c r="AL21" s="323"/>
      <c r="AM21" s="529"/>
      <c r="AN21" s="169"/>
      <c r="AO21" s="483">
        <f>'Standard Vorgaben'!$E$116</f>
        <v>1200</v>
      </c>
      <c r="AP21" s="484"/>
      <c r="AQ21" s="49" t="str">
        <f>'Standard Vorgaben'!$A$116</f>
        <v>Fungiziden</v>
      </c>
      <c r="AS21" s="323"/>
      <c r="AT21" s="529"/>
      <c r="AU21" s="169"/>
      <c r="AV21" s="483">
        <f>'Standard Vorgaben'!$E$116</f>
        <v>1200</v>
      </c>
      <c r="AW21" s="484"/>
      <c r="AX21" s="49" t="str">
        <f>'Standard Vorgaben'!$A$116</f>
        <v>Fungiziden</v>
      </c>
      <c r="AZ21" s="323"/>
      <c r="BA21" s="529"/>
      <c r="BB21" s="169"/>
      <c r="BC21" s="483">
        <f>'Standard Vorgaben'!$E$116</f>
        <v>1200</v>
      </c>
      <c r="BD21" s="484"/>
      <c r="BE21" s="49" t="str">
        <f>'Standard Vorgaben'!$A$116</f>
        <v>Fungiziden</v>
      </c>
      <c r="BG21" s="323"/>
      <c r="BH21" s="529"/>
      <c r="BI21" s="169"/>
      <c r="BJ21" s="483">
        <f>'Standard Vorgaben'!$E$116</f>
        <v>1200</v>
      </c>
      <c r="BK21" s="484"/>
      <c r="BL21" s="49" t="str">
        <f>'Standard Vorgaben'!$A$116</f>
        <v>Fungiziden</v>
      </c>
      <c r="BN21" s="323"/>
      <c r="BO21" s="529"/>
      <c r="BP21" s="169"/>
      <c r="BQ21" s="483">
        <f>'Standard Vorgaben'!$E$116</f>
        <v>1200</v>
      </c>
      <c r="BR21" s="484"/>
      <c r="BS21" s="49" t="str">
        <f>'Standard Vorgaben'!$A$116</f>
        <v>Fungiziden</v>
      </c>
      <c r="BU21" s="323"/>
      <c r="BV21" s="529"/>
      <c r="BW21" s="169"/>
      <c r="BX21" s="483">
        <f>'Standard Vorgaben'!$E$116</f>
        <v>1200</v>
      </c>
      <c r="BY21" s="484"/>
      <c r="BZ21" s="49" t="str">
        <f>'Standard Vorgaben'!$A$116</f>
        <v>Fungiziden</v>
      </c>
      <c r="CB21" s="323"/>
      <c r="CC21" s="529"/>
      <c r="CD21" s="169"/>
      <c r="CE21" s="483">
        <f>'Standard Vorgaben'!$E$116</f>
        <v>1200</v>
      </c>
      <c r="CF21" s="484"/>
      <c r="CG21" s="49" t="str">
        <f>'Standard Vorgaben'!$A$116</f>
        <v>Fungiziden</v>
      </c>
      <c r="CI21" s="323"/>
      <c r="CJ21" s="529"/>
      <c r="CK21" s="169"/>
      <c r="CL21" s="483">
        <f>'Standard Vorgaben'!$E$116</f>
        <v>1200</v>
      </c>
      <c r="CM21" s="484"/>
      <c r="CN21" s="49" t="str">
        <f>'Standard Vorgaben'!$A$116</f>
        <v>Fungiziden</v>
      </c>
      <c r="CP21" s="323"/>
      <c r="CQ21" s="529"/>
      <c r="CR21" s="169"/>
      <c r="CS21" s="483">
        <f>'Standard Vorgaben'!$E$116</f>
        <v>1200</v>
      </c>
      <c r="CT21" s="484"/>
      <c r="CU21" s="49" t="str">
        <f>'Standard Vorgaben'!$A$116</f>
        <v>Fungiziden</v>
      </c>
      <c r="CW21" s="323"/>
      <c r="CX21" s="529"/>
      <c r="CY21" s="169"/>
      <c r="CZ21" s="483">
        <f>'Standard Vorgaben'!$E$116</f>
        <v>1200</v>
      </c>
      <c r="DA21" s="484"/>
      <c r="DB21" s="49" t="str">
        <f>'Standard Vorgaben'!$A$116</f>
        <v>Fungiziden</v>
      </c>
      <c r="DD21" s="323"/>
      <c r="DE21" s="529"/>
      <c r="DF21" s="169"/>
      <c r="DG21" s="483">
        <f>'Standard Vorgaben'!$E$116</f>
        <v>1200</v>
      </c>
      <c r="DH21" s="484"/>
    </row>
    <row r="22" spans="1:112" x14ac:dyDescent="0.2">
      <c r="A22" s="49" t="str">
        <f>'Standard Vorgaben'!$A$117</f>
        <v>Insektiziden</v>
      </c>
      <c r="C22" s="323"/>
      <c r="D22" s="529"/>
      <c r="E22" s="169"/>
      <c r="F22" s="483">
        <f>'Standard Vorgaben'!B117</f>
        <v>55</v>
      </c>
      <c r="G22" s="484"/>
      <c r="H22" s="49" t="str">
        <f>'Standard Vorgaben'!$A$117</f>
        <v>Insektiziden</v>
      </c>
      <c r="I22" s="64"/>
      <c r="J22" s="323"/>
      <c r="K22" s="529"/>
      <c r="L22" s="169"/>
      <c r="M22" s="483">
        <f>'Standard Vorgaben'!C117</f>
        <v>55</v>
      </c>
      <c r="N22" s="484"/>
      <c r="O22" s="49" t="str">
        <f>'Standard Vorgaben'!$A$117</f>
        <v>Insektiziden</v>
      </c>
      <c r="Q22" s="323"/>
      <c r="R22" s="529"/>
      <c r="S22" s="169"/>
      <c r="T22" s="483">
        <f>'Standard Vorgaben'!D117</f>
        <v>900</v>
      </c>
      <c r="U22" s="484"/>
      <c r="V22" s="49" t="str">
        <f>'Standard Vorgaben'!$A$117</f>
        <v>Insektiziden</v>
      </c>
      <c r="X22" s="323"/>
      <c r="Y22" s="529"/>
      <c r="Z22" s="169"/>
      <c r="AA22" s="483">
        <f>'Standard Vorgaben'!$E$117</f>
        <v>1200</v>
      </c>
      <c r="AB22" s="484"/>
      <c r="AC22" s="49" t="str">
        <f>'Standard Vorgaben'!$A$117</f>
        <v>Insektiziden</v>
      </c>
      <c r="AE22" s="323"/>
      <c r="AF22" s="529"/>
      <c r="AG22" s="169"/>
      <c r="AH22" s="483">
        <f>'Standard Vorgaben'!$E$117</f>
        <v>1200</v>
      </c>
      <c r="AI22" s="484"/>
      <c r="AJ22" s="49" t="str">
        <f>'Standard Vorgaben'!$A$117</f>
        <v>Insektiziden</v>
      </c>
      <c r="AL22" s="323"/>
      <c r="AM22" s="529"/>
      <c r="AN22" s="169"/>
      <c r="AO22" s="483">
        <f>'Standard Vorgaben'!$E$117</f>
        <v>1200</v>
      </c>
      <c r="AP22" s="484"/>
      <c r="AQ22" s="49" t="str">
        <f>'Standard Vorgaben'!$A$117</f>
        <v>Insektiziden</v>
      </c>
      <c r="AS22" s="323"/>
      <c r="AT22" s="529"/>
      <c r="AU22" s="169"/>
      <c r="AV22" s="483">
        <f>'Standard Vorgaben'!$E$117</f>
        <v>1200</v>
      </c>
      <c r="AW22" s="484"/>
      <c r="AX22" s="49" t="str">
        <f>'Standard Vorgaben'!$A$117</f>
        <v>Insektiziden</v>
      </c>
      <c r="AZ22" s="323"/>
      <c r="BA22" s="529"/>
      <c r="BB22" s="169"/>
      <c r="BC22" s="483">
        <f>'Standard Vorgaben'!$E$117</f>
        <v>1200</v>
      </c>
      <c r="BD22" s="484"/>
      <c r="BE22" s="49" t="str">
        <f>'Standard Vorgaben'!$A$117</f>
        <v>Insektiziden</v>
      </c>
      <c r="BG22" s="323"/>
      <c r="BH22" s="529"/>
      <c r="BI22" s="169"/>
      <c r="BJ22" s="483">
        <f>'Standard Vorgaben'!$E$117</f>
        <v>1200</v>
      </c>
      <c r="BK22" s="484"/>
      <c r="BL22" s="49" t="str">
        <f>'Standard Vorgaben'!$A$117</f>
        <v>Insektiziden</v>
      </c>
      <c r="BN22" s="323"/>
      <c r="BO22" s="529"/>
      <c r="BP22" s="169"/>
      <c r="BQ22" s="483">
        <f>'Standard Vorgaben'!$E$117</f>
        <v>1200</v>
      </c>
      <c r="BR22" s="484"/>
      <c r="BS22" s="49" t="str">
        <f>'Standard Vorgaben'!$A$117</f>
        <v>Insektiziden</v>
      </c>
      <c r="BU22" s="323"/>
      <c r="BV22" s="529"/>
      <c r="BW22" s="169"/>
      <c r="BX22" s="483">
        <f>'Standard Vorgaben'!$E$117</f>
        <v>1200</v>
      </c>
      <c r="BY22" s="484"/>
      <c r="BZ22" s="49" t="str">
        <f>'Standard Vorgaben'!$A$117</f>
        <v>Insektiziden</v>
      </c>
      <c r="CB22" s="323"/>
      <c r="CC22" s="529"/>
      <c r="CD22" s="169"/>
      <c r="CE22" s="483">
        <f>'Standard Vorgaben'!$E$117</f>
        <v>1200</v>
      </c>
      <c r="CF22" s="484"/>
      <c r="CG22" s="49" t="str">
        <f>'Standard Vorgaben'!$A$117</f>
        <v>Insektiziden</v>
      </c>
      <c r="CI22" s="323"/>
      <c r="CJ22" s="529"/>
      <c r="CK22" s="169"/>
      <c r="CL22" s="483">
        <f>'Standard Vorgaben'!$E$117</f>
        <v>1200</v>
      </c>
      <c r="CM22" s="484"/>
      <c r="CN22" s="49" t="str">
        <f>'Standard Vorgaben'!$A$117</f>
        <v>Insektiziden</v>
      </c>
      <c r="CP22" s="323"/>
      <c r="CQ22" s="529"/>
      <c r="CR22" s="169"/>
      <c r="CS22" s="483">
        <f>'Standard Vorgaben'!$E$117</f>
        <v>1200</v>
      </c>
      <c r="CT22" s="484"/>
      <c r="CU22" s="49" t="str">
        <f>'Standard Vorgaben'!$A$117</f>
        <v>Insektiziden</v>
      </c>
      <c r="CW22" s="323"/>
      <c r="CX22" s="529"/>
      <c r="CY22" s="169"/>
      <c r="CZ22" s="483">
        <f>'Standard Vorgaben'!$E$117</f>
        <v>1200</v>
      </c>
      <c r="DA22" s="484"/>
      <c r="DB22" s="49" t="str">
        <f>'Standard Vorgaben'!$A$117</f>
        <v>Insektiziden</v>
      </c>
      <c r="DD22" s="323"/>
      <c r="DE22" s="529"/>
      <c r="DF22" s="169"/>
      <c r="DG22" s="483">
        <f>'Standard Vorgaben'!$E$117</f>
        <v>1200</v>
      </c>
      <c r="DH22" s="484"/>
    </row>
    <row r="23" spans="1:112" ht="13.5" thickBot="1" x14ac:dyDescent="0.25">
      <c r="A23" s="49" t="str">
        <f>'Standard Vorgaben'!$A$118</f>
        <v>Herbiziden</v>
      </c>
      <c r="C23" s="323"/>
      <c r="D23" s="529"/>
      <c r="E23" s="169"/>
      <c r="F23" s="656">
        <f>'Standard Vorgaben'!B118</f>
        <v>0</v>
      </c>
      <c r="G23" s="484"/>
      <c r="H23" s="49" t="str">
        <f>'Standard Vorgaben'!$A$118</f>
        <v>Herbiziden</v>
      </c>
      <c r="I23" s="64"/>
      <c r="J23" s="323"/>
      <c r="K23" s="529"/>
      <c r="L23" s="169"/>
      <c r="M23" s="656">
        <f>'Standard Vorgaben'!C118</f>
        <v>80</v>
      </c>
      <c r="N23" s="484"/>
      <c r="O23" s="49" t="str">
        <f>'Standard Vorgaben'!$A$118</f>
        <v>Herbiziden</v>
      </c>
      <c r="Q23" s="323"/>
      <c r="R23" s="529"/>
      <c r="S23" s="169"/>
      <c r="T23" s="656">
        <f>'Standard Vorgaben'!D118</f>
        <v>150</v>
      </c>
      <c r="U23" s="484"/>
      <c r="V23" s="49" t="str">
        <f>'Standard Vorgaben'!$A$118</f>
        <v>Herbiziden</v>
      </c>
      <c r="X23" s="323"/>
      <c r="Y23" s="529"/>
      <c r="Z23" s="169"/>
      <c r="AA23" s="656">
        <f>'Standard Vorgaben'!$E$118</f>
        <v>160</v>
      </c>
      <c r="AB23" s="484"/>
      <c r="AC23" s="49" t="str">
        <f>'Standard Vorgaben'!$A$118</f>
        <v>Herbiziden</v>
      </c>
      <c r="AE23" s="323"/>
      <c r="AF23" s="529"/>
      <c r="AG23" s="169"/>
      <c r="AH23" s="656">
        <f>'Standard Vorgaben'!$E$118</f>
        <v>160</v>
      </c>
      <c r="AI23" s="484"/>
      <c r="AJ23" s="49" t="str">
        <f>'Standard Vorgaben'!$A$118</f>
        <v>Herbiziden</v>
      </c>
      <c r="AL23" s="323"/>
      <c r="AM23" s="529"/>
      <c r="AN23" s="169"/>
      <c r="AO23" s="656">
        <f>'Standard Vorgaben'!$E$118</f>
        <v>160</v>
      </c>
      <c r="AP23" s="484"/>
      <c r="AQ23" s="49" t="str">
        <f>'Standard Vorgaben'!$A$118</f>
        <v>Herbiziden</v>
      </c>
      <c r="AS23" s="323"/>
      <c r="AT23" s="529"/>
      <c r="AU23" s="169"/>
      <c r="AV23" s="656">
        <f>'Standard Vorgaben'!$E$118</f>
        <v>160</v>
      </c>
      <c r="AW23" s="484"/>
      <c r="AX23" s="49" t="str">
        <f>'Standard Vorgaben'!$A$118</f>
        <v>Herbiziden</v>
      </c>
      <c r="AZ23" s="323"/>
      <c r="BA23" s="529"/>
      <c r="BB23" s="169"/>
      <c r="BC23" s="656">
        <f>'Standard Vorgaben'!$E$118</f>
        <v>160</v>
      </c>
      <c r="BD23" s="484"/>
      <c r="BE23" s="49" t="str">
        <f>'Standard Vorgaben'!$A$118</f>
        <v>Herbiziden</v>
      </c>
      <c r="BG23" s="323"/>
      <c r="BH23" s="529"/>
      <c r="BI23" s="169"/>
      <c r="BJ23" s="656">
        <f>'Standard Vorgaben'!$E$118</f>
        <v>160</v>
      </c>
      <c r="BK23" s="484"/>
      <c r="BL23" s="49" t="str">
        <f>'Standard Vorgaben'!$A$118</f>
        <v>Herbiziden</v>
      </c>
      <c r="BN23" s="323"/>
      <c r="BO23" s="529"/>
      <c r="BP23" s="169"/>
      <c r="BQ23" s="656">
        <f>'Standard Vorgaben'!$E$118</f>
        <v>160</v>
      </c>
      <c r="BR23" s="484"/>
      <c r="BS23" s="49" t="str">
        <f>'Standard Vorgaben'!$A$118</f>
        <v>Herbiziden</v>
      </c>
      <c r="BU23" s="323"/>
      <c r="BV23" s="529"/>
      <c r="BW23" s="169"/>
      <c r="BX23" s="656">
        <f>'Standard Vorgaben'!$E$118</f>
        <v>160</v>
      </c>
      <c r="BY23" s="484"/>
      <c r="BZ23" s="49" t="str">
        <f>'Standard Vorgaben'!$A$118</f>
        <v>Herbiziden</v>
      </c>
      <c r="CB23" s="323"/>
      <c r="CC23" s="529"/>
      <c r="CD23" s="169"/>
      <c r="CE23" s="656">
        <f>'Standard Vorgaben'!$E$118</f>
        <v>160</v>
      </c>
      <c r="CF23" s="484"/>
      <c r="CG23" s="49" t="str">
        <f>'Standard Vorgaben'!$A$118</f>
        <v>Herbiziden</v>
      </c>
      <c r="CI23" s="323"/>
      <c r="CJ23" s="529"/>
      <c r="CK23" s="169"/>
      <c r="CL23" s="656">
        <f>'Standard Vorgaben'!$E$118</f>
        <v>160</v>
      </c>
      <c r="CM23" s="484"/>
      <c r="CN23" s="49" t="str">
        <f>'Standard Vorgaben'!$A$118</f>
        <v>Herbiziden</v>
      </c>
      <c r="CP23" s="323"/>
      <c r="CQ23" s="529"/>
      <c r="CR23" s="169"/>
      <c r="CS23" s="656">
        <f>'Standard Vorgaben'!$E$118</f>
        <v>160</v>
      </c>
      <c r="CT23" s="484"/>
      <c r="CU23" s="49" t="str">
        <f>'Standard Vorgaben'!$A$118</f>
        <v>Herbiziden</v>
      </c>
      <c r="CW23" s="323"/>
      <c r="CX23" s="529"/>
      <c r="CY23" s="169"/>
      <c r="CZ23" s="656">
        <f>'Standard Vorgaben'!$E$118</f>
        <v>160</v>
      </c>
      <c r="DA23" s="484"/>
      <c r="DB23" s="49" t="str">
        <f>'Standard Vorgaben'!$A$118</f>
        <v>Herbiziden</v>
      </c>
      <c r="DD23" s="323"/>
      <c r="DE23" s="529"/>
      <c r="DF23" s="169"/>
      <c r="DG23" s="656">
        <f>'Standard Vorgaben'!$E$118</f>
        <v>160</v>
      </c>
      <c r="DH23" s="484"/>
    </row>
    <row r="24" spans="1:112" x14ac:dyDescent="0.2">
      <c r="A24" s="124"/>
      <c r="C24" s="323"/>
      <c r="D24" s="888"/>
      <c r="E24" s="169"/>
      <c r="F24" s="1322">
        <f>SUM(F21:F23)</f>
        <v>475</v>
      </c>
      <c r="G24" s="484"/>
      <c r="H24" s="124"/>
      <c r="I24" s="64"/>
      <c r="J24" s="323"/>
      <c r="K24" s="888"/>
      <c r="L24" s="169"/>
      <c r="M24" s="1322">
        <f>SUM(M21:M23)</f>
        <v>685</v>
      </c>
      <c r="N24" s="484"/>
      <c r="O24" s="124"/>
      <c r="Q24" s="323"/>
      <c r="R24" s="888"/>
      <c r="S24" s="169"/>
      <c r="T24" s="1322">
        <f>SUM(T21:T23)</f>
        <v>2250</v>
      </c>
      <c r="U24" s="484"/>
      <c r="V24" s="124"/>
      <c r="X24" s="323"/>
      <c r="Y24" s="888"/>
      <c r="Z24" s="169"/>
      <c r="AA24" s="1322">
        <f>SUM(AA21:AA23)</f>
        <v>2560</v>
      </c>
      <c r="AB24" s="484">
        <f>AA24/AA34</f>
        <v>0.37104047094964809</v>
      </c>
      <c r="AC24" s="124"/>
      <c r="AE24" s="323"/>
      <c r="AF24" s="888"/>
      <c r="AG24" s="169"/>
      <c r="AH24" s="1322">
        <f>SUM(AH21:AH23)</f>
        <v>2560</v>
      </c>
      <c r="AI24" s="484">
        <f>AH24/AH34</f>
        <v>0.30161054492667211</v>
      </c>
      <c r="AJ24" s="124"/>
      <c r="AL24" s="323"/>
      <c r="AM24" s="888"/>
      <c r="AN24" s="169"/>
      <c r="AO24" s="1322">
        <f>SUM(AO21:AO23)</f>
        <v>2560</v>
      </c>
      <c r="AP24" s="484">
        <f>AO24/AO34</f>
        <v>0.28356957244037634</v>
      </c>
      <c r="AQ24" s="124"/>
      <c r="AS24" s="323"/>
      <c r="AT24" s="888"/>
      <c r="AU24" s="169"/>
      <c r="AV24" s="1322">
        <f>SUM(AV21:AV23)</f>
        <v>2560</v>
      </c>
      <c r="AW24" s="484">
        <f>AV24/AV34</f>
        <v>0.26756504696290723</v>
      </c>
      <c r="AX24" s="124"/>
      <c r="AZ24" s="323"/>
      <c r="BA24" s="888"/>
      <c r="BB24" s="169"/>
      <c r="BC24" s="1322">
        <f>SUM(BC21:BC23)</f>
        <v>2560</v>
      </c>
      <c r="BD24" s="484">
        <f>BC24/BC34</f>
        <v>0.26756504696290723</v>
      </c>
      <c r="BE24" s="124"/>
      <c r="BG24" s="323"/>
      <c r="BH24" s="888"/>
      <c r="BI24" s="169"/>
      <c r="BJ24" s="1322">
        <f>SUM(BJ21:BJ23)</f>
        <v>2560</v>
      </c>
      <c r="BK24" s="484">
        <f>BJ24/BJ34</f>
        <v>0.26756504696290723</v>
      </c>
      <c r="BL24" s="124"/>
      <c r="BN24" s="323"/>
      <c r="BO24" s="888"/>
      <c r="BP24" s="169"/>
      <c r="BQ24" s="1322">
        <f>SUM(BQ21:BQ23)</f>
        <v>2560</v>
      </c>
      <c r="BR24" s="484">
        <f>BQ24/BQ34</f>
        <v>0.26756504696290723</v>
      </c>
      <c r="BS24" s="124"/>
      <c r="BU24" s="323"/>
      <c r="BV24" s="888"/>
      <c r="BW24" s="169"/>
      <c r="BX24" s="1322">
        <f>SUM(BX21:BX23)</f>
        <v>2560</v>
      </c>
      <c r="BY24" s="484">
        <f>BX24/BX34</f>
        <v>0.26756504696290723</v>
      </c>
      <c r="BZ24" s="124"/>
      <c r="CB24" s="323"/>
      <c r="CC24" s="888"/>
      <c r="CD24" s="169"/>
      <c r="CE24" s="1322">
        <f>SUM(CE21:CE23)</f>
        <v>2560</v>
      </c>
      <c r="CF24" s="484">
        <f>CE24/CE34</f>
        <v>0.26756504696290723</v>
      </c>
      <c r="CG24" s="124"/>
      <c r="CI24" s="323"/>
      <c r="CJ24" s="888"/>
      <c r="CK24" s="169"/>
      <c r="CL24" s="1322">
        <f>SUM(CL21:CL23)</f>
        <v>2560</v>
      </c>
      <c r="CM24" s="484">
        <f>CL24/CL34</f>
        <v>0.26756504696290723</v>
      </c>
      <c r="CN24" s="124"/>
      <c r="CP24" s="323"/>
      <c r="CQ24" s="888"/>
      <c r="CR24" s="169"/>
      <c r="CS24" s="1322">
        <f>SUM(CS21:CS23)</f>
        <v>2560</v>
      </c>
      <c r="CT24" s="484">
        <f>CS24/CS34</f>
        <v>0.26756504696290723</v>
      </c>
      <c r="CU24" s="124"/>
      <c r="CW24" s="323"/>
      <c r="CX24" s="888"/>
      <c r="CY24" s="169"/>
      <c r="CZ24" s="1322">
        <f>SUM(CZ21:CZ23)</f>
        <v>2560</v>
      </c>
      <c r="DA24" s="484">
        <f>CZ24/CZ34</f>
        <v>0.26756504696290723</v>
      </c>
      <c r="DB24" s="124"/>
      <c r="DD24" s="323"/>
      <c r="DE24" s="888"/>
      <c r="DF24" s="169"/>
      <c r="DG24" s="1322">
        <f>SUM(DG21:DG23)</f>
        <v>2560</v>
      </c>
      <c r="DH24" s="484">
        <f>DG24/DG34</f>
        <v>0.26756504696290723</v>
      </c>
    </row>
    <row r="25" spans="1:112" s="73" customFormat="1" ht="13.5" thickBot="1" x14ac:dyDescent="0.25">
      <c r="A25" s="124"/>
      <c r="B25" s="378"/>
      <c r="C25" s="323"/>
      <c r="D25" s="888"/>
      <c r="E25" s="169"/>
      <c r="F25" s="483"/>
      <c r="G25" s="484"/>
      <c r="H25" s="124"/>
      <c r="I25" s="378"/>
      <c r="J25" s="807"/>
      <c r="K25" s="324"/>
      <c r="L25" s="324"/>
      <c r="M25" s="656"/>
      <c r="N25" s="484"/>
      <c r="O25" s="124"/>
      <c r="P25" s="64"/>
      <c r="Q25" s="323"/>
      <c r="R25" s="888"/>
      <c r="S25" s="482"/>
      <c r="T25" s="483"/>
      <c r="U25" s="484"/>
      <c r="V25" s="124"/>
      <c r="W25" s="64"/>
      <c r="X25" s="323"/>
      <c r="Y25" s="888"/>
      <c r="Z25" s="482"/>
      <c r="AA25" s="483"/>
      <c r="AB25" s="484"/>
      <c r="AC25" s="124"/>
      <c r="AD25" s="64"/>
      <c r="AE25" s="323"/>
      <c r="AF25" s="888"/>
      <c r="AG25" s="482"/>
      <c r="AH25" s="483"/>
      <c r="AI25" s="484"/>
      <c r="AJ25" s="124"/>
      <c r="AK25" s="64"/>
      <c r="AL25" s="323"/>
      <c r="AM25" s="888"/>
      <c r="AN25" s="482"/>
      <c r="AO25" s="483"/>
      <c r="AP25" s="484"/>
      <c r="AQ25" s="124"/>
      <c r="AR25" s="64"/>
      <c r="AS25" s="323"/>
      <c r="AT25" s="888"/>
      <c r="AU25" s="482"/>
      <c r="AV25" s="483"/>
      <c r="AW25" s="484"/>
      <c r="AX25" s="124"/>
      <c r="AY25" s="64"/>
      <c r="AZ25" s="323"/>
      <c r="BA25" s="888"/>
      <c r="BB25" s="482"/>
      <c r="BC25" s="483"/>
      <c r="BD25" s="484"/>
      <c r="BE25" s="124"/>
      <c r="BF25" s="64"/>
      <c r="BG25" s="323"/>
      <c r="BH25" s="888"/>
      <c r="BI25" s="482"/>
      <c r="BJ25" s="483"/>
      <c r="BK25" s="484"/>
      <c r="BL25" s="124"/>
      <c r="BM25" s="64"/>
      <c r="BN25" s="323"/>
      <c r="BO25" s="888"/>
      <c r="BP25" s="482"/>
      <c r="BQ25" s="483"/>
      <c r="BR25" s="484"/>
      <c r="BS25" s="124"/>
      <c r="BT25" s="64"/>
      <c r="BU25" s="323"/>
      <c r="BV25" s="888"/>
      <c r="BW25" s="482"/>
      <c r="BX25" s="483"/>
      <c r="BY25" s="484"/>
      <c r="BZ25" s="124"/>
      <c r="CA25" s="64"/>
      <c r="CB25" s="323"/>
      <c r="CC25" s="888"/>
      <c r="CD25" s="482"/>
      <c r="CE25" s="483"/>
      <c r="CF25" s="484"/>
      <c r="CG25" s="124"/>
      <c r="CH25" s="64"/>
      <c r="CI25" s="323"/>
      <c r="CJ25" s="888"/>
      <c r="CK25" s="482"/>
      <c r="CL25" s="483"/>
      <c r="CM25" s="484"/>
      <c r="CN25" s="124"/>
      <c r="CO25" s="64"/>
      <c r="CP25" s="323"/>
      <c r="CQ25" s="888"/>
      <c r="CR25" s="482"/>
      <c r="CS25" s="483"/>
      <c r="CT25" s="484"/>
      <c r="CU25" s="124"/>
      <c r="CV25" s="64"/>
      <c r="CW25" s="323"/>
      <c r="CX25" s="888"/>
      <c r="CY25" s="482"/>
      <c r="CZ25" s="483"/>
      <c r="DA25" s="484"/>
      <c r="DB25" s="124"/>
      <c r="DC25" s="64"/>
      <c r="DD25" s="323"/>
      <c r="DE25" s="888"/>
      <c r="DF25" s="482"/>
      <c r="DG25" s="483"/>
      <c r="DH25" s="484"/>
    </row>
    <row r="26" spans="1:112" ht="16.5" customHeight="1" x14ac:dyDescent="0.2">
      <c r="A26" s="73" t="str">
        <f>'Standard Hagel'!$A$76</f>
        <v>Hagelversicherung</v>
      </c>
      <c r="B26" s="528">
        <f>'Standard Vorgaben'!$C$178</f>
        <v>0</v>
      </c>
      <c r="C26" s="1185">
        <f>'Standard Hagel'!$D79</f>
        <v>0.112</v>
      </c>
      <c r="D26" s="323">
        <f>'Standard Hagel'!$C79</f>
        <v>0</v>
      </c>
      <c r="E26" s="1185">
        <f>'Standard Hagel'!$E79</f>
        <v>0.8</v>
      </c>
      <c r="F26" s="162">
        <f>E26*D26*C26*B26</f>
        <v>0</v>
      </c>
      <c r="G26" s="655">
        <f>F26/$F$69</f>
        <v>0</v>
      </c>
      <c r="H26" s="73" t="str">
        <f>'Standard Hagel'!$A$76</f>
        <v>Hagelversicherung</v>
      </c>
      <c r="I26" s="528">
        <f>'Standard Vorgaben'!$C$178</f>
        <v>0</v>
      </c>
      <c r="J26" s="1185">
        <f>'Standard Hagel'!$D80</f>
        <v>0.112</v>
      </c>
      <c r="K26" s="1186">
        <f>'Standard Hagel'!$C80</f>
        <v>6624</v>
      </c>
      <c r="L26" s="1185">
        <f>'Standard Hagel'!$E80</f>
        <v>0.8</v>
      </c>
      <c r="M26" s="162">
        <f>L26*K26*J26*I26</f>
        <v>0</v>
      </c>
      <c r="N26" s="484">
        <f>M26/$M$69</f>
        <v>0</v>
      </c>
      <c r="O26" s="73" t="str">
        <f>'Standard Hagel'!$A$76</f>
        <v>Hagelversicherung</v>
      </c>
      <c r="P26" s="528">
        <f>'Standard Vorgaben'!$C$178</f>
        <v>0</v>
      </c>
      <c r="Q26" s="1185">
        <f>'Standard Hagel'!$D81</f>
        <v>0.112</v>
      </c>
      <c r="R26" s="1186">
        <f>'Standard Hagel'!$C81</f>
        <v>9936</v>
      </c>
      <c r="S26" s="1185">
        <f>'Standard Hagel'!$E80</f>
        <v>0.8</v>
      </c>
      <c r="T26" s="162">
        <f>S26*R26*Q26*P26</f>
        <v>0</v>
      </c>
      <c r="U26" s="655">
        <f>T26/$T$69</f>
        <v>0</v>
      </c>
      <c r="V26" s="73" t="str">
        <f>'Standard Hagel'!$A$76</f>
        <v>Hagelversicherung</v>
      </c>
      <c r="W26" s="528">
        <f>'Standard Vorgaben'!$C$178</f>
        <v>0</v>
      </c>
      <c r="X26" s="1185">
        <f>'Standard Hagel'!$D82</f>
        <v>0.112</v>
      </c>
      <c r="Y26" s="1186">
        <f>'Standard Hagel'!$C82</f>
        <v>16560</v>
      </c>
      <c r="Z26" s="1185">
        <f>'Standard Hagel'!$E82</f>
        <v>0.8</v>
      </c>
      <c r="AA26" s="162">
        <f>Z26*Y26*X26*W26</f>
        <v>0</v>
      </c>
      <c r="AB26" s="655">
        <f>AA26/$AA$69</f>
        <v>0</v>
      </c>
      <c r="AC26" s="73" t="str">
        <f>'Standard Hagel'!$A$76</f>
        <v>Hagelversicherung</v>
      </c>
      <c r="AD26" s="528">
        <f>'Standard Vorgaben'!$C$178</f>
        <v>0</v>
      </c>
      <c r="AE26" s="1185">
        <f>'Standard Hagel'!$D83</f>
        <v>0.112</v>
      </c>
      <c r="AF26" s="1186">
        <f>'Standard Hagel'!$C83</f>
        <v>29808</v>
      </c>
      <c r="AG26" s="1185">
        <f>'Standard Hagel'!$E83</f>
        <v>0.8</v>
      </c>
      <c r="AH26" s="162">
        <f>AG26*AF26*AE26*AD26</f>
        <v>0</v>
      </c>
      <c r="AI26" s="655">
        <f>AH26/$AH$69</f>
        <v>0</v>
      </c>
      <c r="AJ26" s="73" t="str">
        <f>'Standard Hagel'!$A$76</f>
        <v>Hagelversicherung</v>
      </c>
      <c r="AK26" s="528">
        <f>'Standard Vorgaben'!$C$178</f>
        <v>0</v>
      </c>
      <c r="AL26" s="1185">
        <f>'Standard Hagel'!$D84</f>
        <v>0.112</v>
      </c>
      <c r="AM26" s="1186">
        <f>'Standard Hagel'!$C84</f>
        <v>36432</v>
      </c>
      <c r="AN26" s="1185">
        <f>'Standard Hagel'!$E84</f>
        <v>0.8</v>
      </c>
      <c r="AO26" s="162">
        <f>AN26*AM26*AL26*AK26</f>
        <v>0</v>
      </c>
      <c r="AP26" s="655">
        <f>AO26/$AO$69</f>
        <v>0</v>
      </c>
      <c r="AQ26" s="73" t="str">
        <f>'Standard Hagel'!$A$76</f>
        <v>Hagelversicherung</v>
      </c>
      <c r="AR26" s="528">
        <f>'Standard Vorgaben'!$C$178</f>
        <v>0</v>
      </c>
      <c r="AS26" s="1185">
        <f>'Standard Hagel'!$D85</f>
        <v>0.112</v>
      </c>
      <c r="AT26" s="1186">
        <f>'Standard Hagel'!$C85</f>
        <v>43056</v>
      </c>
      <c r="AU26" s="1185">
        <f>'Standard Hagel'!$E85</f>
        <v>0.8</v>
      </c>
      <c r="AV26" s="162">
        <f>AU26*AT26*AS26*AR26</f>
        <v>0</v>
      </c>
      <c r="AW26" s="655">
        <f>AV26/$AV$69</f>
        <v>0</v>
      </c>
      <c r="AX26" s="73" t="str">
        <f>'Standard Hagel'!$A$76</f>
        <v>Hagelversicherung</v>
      </c>
      <c r="AY26" s="528">
        <f>'Standard Vorgaben'!$C$178</f>
        <v>0</v>
      </c>
      <c r="AZ26" s="1185">
        <f>'Standard Hagel'!$D86</f>
        <v>0.112</v>
      </c>
      <c r="BA26" s="1186">
        <f>'Standard Hagel'!$C86</f>
        <v>43056</v>
      </c>
      <c r="BB26" s="1185">
        <f>'Standard Hagel'!$E86</f>
        <v>0.8</v>
      </c>
      <c r="BC26" s="162">
        <f>BB26*BA26*AZ26*AY26</f>
        <v>0</v>
      </c>
      <c r="BD26" s="655">
        <f>BC26/$BC$69</f>
        <v>0</v>
      </c>
      <c r="BE26" s="73" t="str">
        <f>'Standard Hagel'!$A$76</f>
        <v>Hagelversicherung</v>
      </c>
      <c r="BF26" s="528">
        <f>'Standard Vorgaben'!$C$178</f>
        <v>0</v>
      </c>
      <c r="BG26" s="1185">
        <f>'Standard Hagel'!$D87</f>
        <v>0.112</v>
      </c>
      <c r="BH26" s="1186">
        <f>'Standard Hagel'!$C87</f>
        <v>43056</v>
      </c>
      <c r="BI26" s="1185">
        <f>'Standard Hagel'!$E87</f>
        <v>0.8</v>
      </c>
      <c r="BJ26" s="162">
        <f>BI26*BH26*BG26*BF26</f>
        <v>0</v>
      </c>
      <c r="BK26" s="655">
        <f>BJ26/$BJ$69</f>
        <v>0</v>
      </c>
      <c r="BL26" s="73" t="str">
        <f>'Standard Hagel'!$A$76</f>
        <v>Hagelversicherung</v>
      </c>
      <c r="BM26" s="528">
        <f>'Standard Vorgaben'!$C$178</f>
        <v>0</v>
      </c>
      <c r="BN26" s="1185">
        <f>'Standard Hagel'!$D88</f>
        <v>0.112</v>
      </c>
      <c r="BO26" s="1186">
        <f>'Standard Hagel'!$C88</f>
        <v>43056</v>
      </c>
      <c r="BP26" s="1185">
        <f>'Standard Hagel'!$E88</f>
        <v>0.8</v>
      </c>
      <c r="BQ26" s="162">
        <f>BP26*BO26*BN26*BM26</f>
        <v>0</v>
      </c>
      <c r="BR26" s="655">
        <f>BQ26/$BQ$69</f>
        <v>0</v>
      </c>
      <c r="BS26" s="73" t="str">
        <f>'Standard Hagel'!$A$76</f>
        <v>Hagelversicherung</v>
      </c>
      <c r="BT26" s="528">
        <f>'Standard Vorgaben'!$C$178</f>
        <v>0</v>
      </c>
      <c r="BU26" s="1185">
        <f>'Standard Hagel'!$D89</f>
        <v>0.112</v>
      </c>
      <c r="BV26" s="1186">
        <f>'Standard Hagel'!$C89</f>
        <v>43056</v>
      </c>
      <c r="BW26" s="1185">
        <f>'Standard Hagel'!$E89</f>
        <v>0.8</v>
      </c>
      <c r="BX26" s="162">
        <f>BW26*BV26*BU26*BT26</f>
        <v>0</v>
      </c>
      <c r="BY26" s="655">
        <f>BX26/$BX$69</f>
        <v>0</v>
      </c>
      <c r="BZ26" s="73" t="str">
        <f>'Standard Hagel'!$A$76</f>
        <v>Hagelversicherung</v>
      </c>
      <c r="CA26" s="528">
        <f>'Standard Vorgaben'!$C$178</f>
        <v>0</v>
      </c>
      <c r="CB26" s="1185">
        <f>'Standard Hagel'!$D90</f>
        <v>0.112</v>
      </c>
      <c r="CC26" s="1186">
        <f>'Standard Hagel'!$C90</f>
        <v>43056</v>
      </c>
      <c r="CD26" s="1185">
        <f>'Standard Hagel'!$E90</f>
        <v>0.8</v>
      </c>
      <c r="CE26" s="162">
        <f>CD26*CC26*CB26*CA26</f>
        <v>0</v>
      </c>
      <c r="CF26" s="655">
        <f>CE26/$CE$69</f>
        <v>0</v>
      </c>
      <c r="CG26" s="73" t="str">
        <f>'Standard Hagel'!$A$76</f>
        <v>Hagelversicherung</v>
      </c>
      <c r="CH26" s="528">
        <f>'Standard Vorgaben'!$C$178</f>
        <v>0</v>
      </c>
      <c r="CI26" s="1185">
        <f>'Standard Hagel'!$D91</f>
        <v>0.112</v>
      </c>
      <c r="CJ26" s="1186">
        <f>'Standard Hagel'!$C91</f>
        <v>43056</v>
      </c>
      <c r="CK26" s="1185">
        <f>'Standard Hagel'!$E91</f>
        <v>0.8</v>
      </c>
      <c r="CL26" s="162">
        <f>CK26*CJ26*CI26*CH26</f>
        <v>0</v>
      </c>
      <c r="CM26" s="655">
        <f>CL26/$CL$69</f>
        <v>0</v>
      </c>
      <c r="CN26" s="73" t="str">
        <f>'Standard Hagel'!$A$76</f>
        <v>Hagelversicherung</v>
      </c>
      <c r="CO26" s="528">
        <f>'Standard Vorgaben'!$C$178</f>
        <v>0</v>
      </c>
      <c r="CP26" s="1185">
        <f>'Standard Hagel'!$D92</f>
        <v>0.112</v>
      </c>
      <c r="CQ26" s="1186">
        <f>'Standard Hagel'!$C92</f>
        <v>43056</v>
      </c>
      <c r="CR26" s="1185">
        <f>'Standard Hagel'!$E92</f>
        <v>0.8</v>
      </c>
      <c r="CS26" s="162">
        <f>CR26*CQ26*CP26*CO26</f>
        <v>0</v>
      </c>
      <c r="CT26" s="655">
        <f>CS26/$CS$69</f>
        <v>0</v>
      </c>
      <c r="CU26" s="73" t="str">
        <f>'Standard Hagel'!$A$76</f>
        <v>Hagelversicherung</v>
      </c>
      <c r="CV26" s="528">
        <f>'Standard Vorgaben'!$C$178</f>
        <v>0</v>
      </c>
      <c r="CW26" s="1185">
        <f>'Standard Hagel'!$D93</f>
        <v>0.112</v>
      </c>
      <c r="CX26" s="1186">
        <f>'Standard Hagel'!$C93</f>
        <v>43056</v>
      </c>
      <c r="CY26" s="1185">
        <f>'Standard Hagel'!$E93</f>
        <v>0.8</v>
      </c>
      <c r="CZ26" s="162">
        <f>CY26*CX26*CW26*CV26</f>
        <v>0</v>
      </c>
      <c r="DA26" s="655">
        <f>CZ26/$CZ$69</f>
        <v>0</v>
      </c>
      <c r="DB26" s="73" t="str">
        <f>'Standard Hagel'!$A$76</f>
        <v>Hagelversicherung</v>
      </c>
      <c r="DC26" s="528">
        <f>'Standard Vorgaben'!$C$178</f>
        <v>0</v>
      </c>
      <c r="DD26" s="1185">
        <f>'Standard Hagel'!$D94</f>
        <v>0.112</v>
      </c>
      <c r="DE26" s="1186">
        <f>'Standard Hagel'!$C94</f>
        <v>43056</v>
      </c>
      <c r="DF26" s="1185">
        <f>'Standard Hagel'!$E94</f>
        <v>0.8</v>
      </c>
      <c r="DG26" s="162">
        <f>DF26*DE26*DD26*DC26</f>
        <v>0</v>
      </c>
      <c r="DH26" s="655">
        <f>DG26/$DG$69</f>
        <v>0</v>
      </c>
    </row>
    <row r="27" spans="1:112" ht="16.5" customHeight="1" x14ac:dyDescent="0.2">
      <c r="A27" s="171" t="s">
        <v>450</v>
      </c>
      <c r="B27" s="528"/>
      <c r="C27" s="323"/>
      <c r="D27" s="323"/>
      <c r="E27" s="169"/>
      <c r="F27" s="162">
        <f>'Standard Vorgaben'!$C$188</f>
        <v>2107.5169002666662</v>
      </c>
      <c r="G27" s="655"/>
      <c r="H27" s="171" t="s">
        <v>450</v>
      </c>
      <c r="I27" s="528"/>
      <c r="J27" s="323"/>
      <c r="K27" s="323"/>
      <c r="L27" s="169"/>
      <c r="M27" s="162">
        <f>'Standard Vorgaben'!$C$188</f>
        <v>2107.5169002666662</v>
      </c>
      <c r="N27" s="655"/>
      <c r="O27" s="171" t="s">
        <v>450</v>
      </c>
      <c r="P27" s="528"/>
      <c r="Q27" s="323"/>
      <c r="R27" s="323"/>
      <c r="S27" s="169"/>
      <c r="T27" s="162">
        <f>'Standard Vorgaben'!$C$188</f>
        <v>2107.5169002666662</v>
      </c>
      <c r="U27" s="655"/>
      <c r="V27" s="171" t="s">
        <v>450</v>
      </c>
      <c r="W27" s="528"/>
      <c r="X27" s="323"/>
      <c r="Y27" s="323"/>
      <c r="Z27" s="169"/>
      <c r="AA27" s="162">
        <f>'Standard Vorgaben'!$C$188</f>
        <v>2107.5169002666662</v>
      </c>
      <c r="AB27" s="655"/>
      <c r="AC27" s="171" t="s">
        <v>450</v>
      </c>
      <c r="AD27" s="528"/>
      <c r="AE27" s="323"/>
      <c r="AF27" s="323"/>
      <c r="AG27" s="169"/>
      <c r="AH27" s="162">
        <f>'Standard Vorgaben'!$C$188</f>
        <v>2107.5169002666662</v>
      </c>
      <c r="AI27" s="655"/>
      <c r="AJ27" s="171" t="s">
        <v>450</v>
      </c>
      <c r="AK27" s="528"/>
      <c r="AL27" s="323"/>
      <c r="AM27" s="323"/>
      <c r="AN27" s="169"/>
      <c r="AO27" s="162">
        <f>'Standard Vorgaben'!$C$188</f>
        <v>2107.5169002666662</v>
      </c>
      <c r="AP27" s="655"/>
      <c r="AQ27" s="171" t="s">
        <v>450</v>
      </c>
      <c r="AR27" s="528"/>
      <c r="AS27" s="323"/>
      <c r="AT27" s="323"/>
      <c r="AU27" s="169"/>
      <c r="AV27" s="162">
        <f>'Standard Vorgaben'!$C$188</f>
        <v>2107.5169002666662</v>
      </c>
      <c r="AW27" s="655"/>
      <c r="AX27" s="171" t="s">
        <v>450</v>
      </c>
      <c r="AY27" s="528"/>
      <c r="AZ27" s="323"/>
      <c r="BA27" s="323"/>
      <c r="BB27" s="169"/>
      <c r="BC27" s="162">
        <f>'Standard Vorgaben'!$C$188</f>
        <v>2107.5169002666662</v>
      </c>
      <c r="BD27" s="655"/>
      <c r="BE27" s="171" t="s">
        <v>450</v>
      </c>
      <c r="BF27" s="528"/>
      <c r="BG27" s="323"/>
      <c r="BH27" s="323"/>
      <c r="BI27" s="169"/>
      <c r="BJ27" s="162">
        <f>'Standard Vorgaben'!$C$188</f>
        <v>2107.5169002666662</v>
      </c>
      <c r="BK27" s="655"/>
      <c r="BL27" s="171" t="s">
        <v>450</v>
      </c>
      <c r="BM27" s="528"/>
      <c r="BN27" s="323"/>
      <c r="BO27" s="323"/>
      <c r="BP27" s="169"/>
      <c r="BQ27" s="162">
        <f>'Standard Vorgaben'!$C$188</f>
        <v>2107.5169002666662</v>
      </c>
      <c r="BR27" s="655"/>
      <c r="BS27" s="171" t="s">
        <v>450</v>
      </c>
      <c r="BT27" s="528"/>
      <c r="BU27" s="323"/>
      <c r="BV27" s="323"/>
      <c r="BW27" s="169"/>
      <c r="BX27" s="162">
        <f>'Standard Vorgaben'!$C$188</f>
        <v>2107.5169002666662</v>
      </c>
      <c r="BY27" s="655"/>
      <c r="BZ27" s="171" t="s">
        <v>450</v>
      </c>
      <c r="CA27" s="528"/>
      <c r="CB27" s="323"/>
      <c r="CC27" s="323"/>
      <c r="CD27" s="169"/>
      <c r="CE27" s="162">
        <f>'Standard Vorgaben'!$C$188</f>
        <v>2107.5169002666662</v>
      </c>
      <c r="CF27" s="655"/>
      <c r="CG27" s="171" t="s">
        <v>450</v>
      </c>
      <c r="CH27" s="528"/>
      <c r="CI27" s="323"/>
      <c r="CJ27" s="323"/>
      <c r="CK27" s="169"/>
      <c r="CL27" s="162">
        <f>'Standard Vorgaben'!$C$188</f>
        <v>2107.5169002666662</v>
      </c>
      <c r="CM27" s="655"/>
      <c r="CN27" s="171" t="s">
        <v>450</v>
      </c>
      <c r="CO27" s="528"/>
      <c r="CP27" s="323"/>
      <c r="CQ27" s="323"/>
      <c r="CR27" s="169"/>
      <c r="CS27" s="162">
        <f>'Standard Vorgaben'!$C$188</f>
        <v>2107.5169002666662</v>
      </c>
      <c r="CT27" s="655"/>
      <c r="CU27" s="171" t="s">
        <v>450</v>
      </c>
      <c r="CV27" s="528"/>
      <c r="CW27" s="323"/>
      <c r="CX27" s="323"/>
      <c r="CY27" s="169"/>
      <c r="CZ27" s="162">
        <f>'Standard Vorgaben'!$C$188</f>
        <v>2107.5169002666662</v>
      </c>
      <c r="DA27" s="655"/>
      <c r="DB27" s="171" t="s">
        <v>450</v>
      </c>
      <c r="DC27" s="528"/>
      <c r="DD27" s="323"/>
      <c r="DE27" s="323"/>
      <c r="DF27" s="169"/>
      <c r="DG27" s="162">
        <f>'Standard Vorgaben'!$C$188</f>
        <v>2107.5169002666662</v>
      </c>
      <c r="DH27" s="655"/>
    </row>
    <row r="28" spans="1:112" s="73" customFormat="1" ht="18" customHeight="1" x14ac:dyDescent="0.2">
      <c r="A28" s="80" t="s">
        <v>657</v>
      </c>
      <c r="B28" s="73" t="str">
        <f>'Standard Vorgaben'!$F$38</f>
        <v>Zwetschgen</v>
      </c>
      <c r="C28" s="4" t="s">
        <v>670</v>
      </c>
      <c r="D28" s="323"/>
      <c r="E28" s="169">
        <f>'Standard Vorgaben'!$G$38</f>
        <v>470</v>
      </c>
      <c r="F28" s="93">
        <f>E28</f>
        <v>470</v>
      </c>
      <c r="G28" s="484">
        <f>F28/$F$69</f>
        <v>4.9676509197211796E-2</v>
      </c>
      <c r="H28" s="80" t="s">
        <v>657</v>
      </c>
      <c r="I28" s="73" t="str">
        <f>'Standard Vorgaben'!$F$38</f>
        <v>Zwetschgen</v>
      </c>
      <c r="J28" s="73" t="str">
        <f>$C$28</f>
        <v>pro ha</v>
      </c>
      <c r="K28" s="323"/>
      <c r="L28" s="169">
        <f>'Standard Vorgaben'!$G$38</f>
        <v>470</v>
      </c>
      <c r="M28" s="93">
        <f>L28</f>
        <v>470</v>
      </c>
      <c r="N28" s="484">
        <f>M28/$M$69</f>
        <v>3.4180790983183204E-2</v>
      </c>
      <c r="O28" s="80" t="s">
        <v>657</v>
      </c>
      <c r="P28" s="73" t="str">
        <f>'Standard Vorgaben'!$F$38</f>
        <v>Zwetschgen</v>
      </c>
      <c r="Q28" s="73" t="str">
        <f>$C$28</f>
        <v>pro ha</v>
      </c>
      <c r="R28" s="323"/>
      <c r="S28" s="169">
        <f>'Standard Vorgaben'!$G$38</f>
        <v>470</v>
      </c>
      <c r="T28" s="93">
        <f>S28</f>
        <v>470</v>
      </c>
      <c r="U28" s="484">
        <f>T28/$T$69</f>
        <v>2.3131058537355472E-2</v>
      </c>
      <c r="V28" s="80" t="s">
        <v>657</v>
      </c>
      <c r="W28" s="73" t="str">
        <f>'Standard Vorgaben'!$F$38</f>
        <v>Zwetschgen</v>
      </c>
      <c r="X28" s="73" t="str">
        <f>$C$28</f>
        <v>pro ha</v>
      </c>
      <c r="Y28" s="323"/>
      <c r="Z28" s="169">
        <f>'Standard Vorgaben'!$G$38</f>
        <v>470</v>
      </c>
      <c r="AA28" s="93">
        <f>Z28</f>
        <v>470</v>
      </c>
      <c r="AB28" s="484">
        <f>AA28/$AA$69</f>
        <v>1.9441935424847873E-2</v>
      </c>
      <c r="AC28" s="80" t="s">
        <v>657</v>
      </c>
      <c r="AD28" s="73" t="str">
        <f>'Standard Vorgaben'!$F$38</f>
        <v>Zwetschgen</v>
      </c>
      <c r="AE28" s="73" t="str">
        <f>$C$28</f>
        <v>pro ha</v>
      </c>
      <c r="AF28" s="323"/>
      <c r="AG28" s="169">
        <f>'Standard Vorgaben'!$G$38</f>
        <v>470</v>
      </c>
      <c r="AH28" s="93">
        <f>AG28</f>
        <v>470</v>
      </c>
      <c r="AI28" s="484">
        <f>AH28/$AH$69</f>
        <v>1.3469044416678313E-2</v>
      </c>
      <c r="AJ28" s="80" t="s">
        <v>657</v>
      </c>
      <c r="AK28" s="73" t="str">
        <f>'Standard Vorgaben'!$F$38</f>
        <v>Zwetschgen</v>
      </c>
      <c r="AL28" s="73" t="str">
        <f>$C$28</f>
        <v>pro ha</v>
      </c>
      <c r="AM28" s="323"/>
      <c r="AN28" s="169">
        <f>'Standard Vorgaben'!$G$38</f>
        <v>470</v>
      </c>
      <c r="AO28" s="93">
        <f>AN28</f>
        <v>470</v>
      </c>
      <c r="AP28" s="484">
        <f>AO28/$AO$69</f>
        <v>1.2241907276870714E-2</v>
      </c>
      <c r="AQ28" s="80" t="s">
        <v>657</v>
      </c>
      <c r="AR28" s="73" t="str">
        <f>'Standard Vorgaben'!$F$38</f>
        <v>Zwetschgen</v>
      </c>
      <c r="AS28" s="73" t="str">
        <f>$C$28</f>
        <v>pro ha</v>
      </c>
      <c r="AT28" s="323"/>
      <c r="AU28" s="169">
        <f>'Standard Vorgaben'!$G$38</f>
        <v>470</v>
      </c>
      <c r="AV28" s="93">
        <f>AU28</f>
        <v>470</v>
      </c>
      <c r="AW28" s="484">
        <f>AV28/$AV$69</f>
        <v>1.122724361545039E-2</v>
      </c>
      <c r="AX28" s="80" t="s">
        <v>657</v>
      </c>
      <c r="AY28" s="73" t="str">
        <f>'Standard Vorgaben'!$F$38</f>
        <v>Zwetschgen</v>
      </c>
      <c r="AZ28" s="73" t="str">
        <f>$C$28</f>
        <v>pro ha</v>
      </c>
      <c r="BA28" s="323"/>
      <c r="BB28" s="169">
        <f>'Standard Vorgaben'!$G$38</f>
        <v>470</v>
      </c>
      <c r="BC28" s="93">
        <f>BB28</f>
        <v>470</v>
      </c>
      <c r="BD28" s="484">
        <f>BC28/$BC$69</f>
        <v>1.1232782369509262E-2</v>
      </c>
      <c r="BE28" s="80" t="s">
        <v>657</v>
      </c>
      <c r="BF28" s="73" t="str">
        <f>'Standard Vorgaben'!$F$38</f>
        <v>Zwetschgen</v>
      </c>
      <c r="BG28" s="73" t="str">
        <f>$C$28</f>
        <v>pro ha</v>
      </c>
      <c r="BH28" s="323"/>
      <c r="BI28" s="169">
        <f>'Standard Vorgaben'!$G$38</f>
        <v>470</v>
      </c>
      <c r="BJ28" s="93">
        <f>BI28</f>
        <v>470</v>
      </c>
      <c r="BK28" s="484">
        <f>BJ28/$BJ$69</f>
        <v>1.1238376513995217E-2</v>
      </c>
      <c r="BL28" s="80" t="s">
        <v>657</v>
      </c>
      <c r="BM28" s="73" t="str">
        <f>'Standard Vorgaben'!$F$38</f>
        <v>Zwetschgen</v>
      </c>
      <c r="BN28" s="73" t="str">
        <f>$C$28</f>
        <v>pro ha</v>
      </c>
      <c r="BO28" s="323"/>
      <c r="BP28" s="169">
        <f>'Standard Vorgaben'!$G$38</f>
        <v>470</v>
      </c>
      <c r="BQ28" s="93">
        <f>BP28</f>
        <v>470</v>
      </c>
      <c r="BR28" s="484">
        <f>BQ28/$BQ$69</f>
        <v>1.1244026656054196E-2</v>
      </c>
      <c r="BS28" s="80" t="s">
        <v>657</v>
      </c>
      <c r="BT28" s="73" t="str">
        <f>'Standard Vorgaben'!$F$38</f>
        <v>Zwetschgen</v>
      </c>
      <c r="BU28" s="73" t="str">
        <f>$C$28</f>
        <v>pro ha</v>
      </c>
      <c r="BV28" s="323"/>
      <c r="BW28" s="169">
        <f>'Standard Vorgaben'!$G$38</f>
        <v>470</v>
      </c>
      <c r="BX28" s="93">
        <f>BW28</f>
        <v>470</v>
      </c>
      <c r="BY28" s="484">
        <f>BX28/$BX$69</f>
        <v>1.1249733410507761E-2</v>
      </c>
      <c r="BZ28" s="80" t="s">
        <v>657</v>
      </c>
      <c r="CA28" s="73" t="str">
        <f>'Standard Vorgaben'!$F$38</f>
        <v>Zwetschgen</v>
      </c>
      <c r="CB28" s="73" t="str">
        <f>$C$28</f>
        <v>pro ha</v>
      </c>
      <c r="CC28" s="323"/>
      <c r="CD28" s="169">
        <f>'Standard Vorgaben'!$G$38</f>
        <v>470</v>
      </c>
      <c r="CE28" s="93">
        <f>CD28</f>
        <v>470</v>
      </c>
      <c r="CF28" s="484">
        <f>CE28/$CE$69</f>
        <v>1.1255497399969552E-2</v>
      </c>
      <c r="CG28" s="80" t="s">
        <v>657</v>
      </c>
      <c r="CH28" s="73" t="str">
        <f>'Standard Vorgaben'!$F$38</f>
        <v>Zwetschgen</v>
      </c>
      <c r="CI28" s="73" t="str">
        <f>$C$28</f>
        <v>pro ha</v>
      </c>
      <c r="CJ28" s="323"/>
      <c r="CK28" s="169">
        <f>'Standard Vorgaben'!$G$38</f>
        <v>470</v>
      </c>
      <c r="CL28" s="93">
        <f>CK28</f>
        <v>470</v>
      </c>
      <c r="CM28" s="484">
        <f>CL28/$CL$69</f>
        <v>1.1261319254963901E-2</v>
      </c>
      <c r="CN28" s="80" t="s">
        <v>657</v>
      </c>
      <c r="CO28" s="73" t="str">
        <f>'Standard Vorgaben'!$F$38</f>
        <v>Zwetschgen</v>
      </c>
      <c r="CP28" s="73" t="str">
        <f>$C$28</f>
        <v>pro ha</v>
      </c>
      <c r="CQ28" s="323"/>
      <c r="CR28" s="169">
        <f>'Standard Vorgaben'!$G$38</f>
        <v>470</v>
      </c>
      <c r="CS28" s="93">
        <f>CR28</f>
        <v>470</v>
      </c>
      <c r="CT28" s="484">
        <f>CS28/$CS$69</f>
        <v>1.1267199614046626E-2</v>
      </c>
      <c r="CU28" s="80" t="s">
        <v>657</v>
      </c>
      <c r="CV28" s="73" t="str">
        <f>'Standard Vorgaben'!$F$38</f>
        <v>Zwetschgen</v>
      </c>
      <c r="CW28" s="73" t="str">
        <f>$C$28</f>
        <v>pro ha</v>
      </c>
      <c r="CX28" s="323"/>
      <c r="CY28" s="169">
        <f>'Standard Vorgaben'!$G$38</f>
        <v>470</v>
      </c>
      <c r="CZ28" s="93">
        <f>CY28</f>
        <v>470</v>
      </c>
      <c r="DA28" s="484">
        <f>CZ28/$CZ$69</f>
        <v>1.1273139123928036E-2</v>
      </c>
      <c r="DB28" s="80" t="s">
        <v>657</v>
      </c>
      <c r="DC28" s="73" t="str">
        <f>'Standard Vorgaben'!$F$38</f>
        <v>Zwetschgen</v>
      </c>
      <c r="DD28" s="73" t="str">
        <f>$C$28</f>
        <v>pro ha</v>
      </c>
      <c r="DE28" s="323"/>
      <c r="DF28" s="169">
        <f>'Standard Vorgaben'!$G$38</f>
        <v>470</v>
      </c>
      <c r="DG28" s="93">
        <f>DF28</f>
        <v>470</v>
      </c>
      <c r="DH28" s="484">
        <f>DG28/$DG$69</f>
        <v>9.8594815389161233E-3</v>
      </c>
    </row>
    <row r="29" spans="1:112" s="73" customFormat="1" ht="18" customHeight="1" x14ac:dyDescent="0.2">
      <c r="A29" s="80"/>
      <c r="D29" s="323"/>
      <c r="E29" s="169"/>
      <c r="F29" s="93">
        <f>E29*D9/100</f>
        <v>0</v>
      </c>
      <c r="G29" s="484">
        <f>F29/$F$69</f>
        <v>0</v>
      </c>
      <c r="H29" s="80"/>
      <c r="K29" s="323"/>
      <c r="L29" s="169"/>
      <c r="M29" s="93">
        <f>L29*K9/100</f>
        <v>0</v>
      </c>
      <c r="N29" s="484">
        <f>M29/$M$69</f>
        <v>0</v>
      </c>
      <c r="O29" s="80"/>
      <c r="R29" s="323"/>
      <c r="S29" s="169"/>
      <c r="T29" s="93">
        <f>S29*R9/100</f>
        <v>0</v>
      </c>
      <c r="U29" s="484">
        <f>T29/$T$69</f>
        <v>0</v>
      </c>
      <c r="V29" s="80"/>
      <c r="Y29" s="323"/>
      <c r="Z29" s="169"/>
      <c r="AA29" s="93">
        <f>Z29*Y9/100</f>
        <v>0</v>
      </c>
      <c r="AB29" s="484">
        <f>AA29/$AA$69</f>
        <v>0</v>
      </c>
      <c r="AC29" s="80"/>
      <c r="AF29" s="323"/>
      <c r="AG29" s="169"/>
      <c r="AH29" s="93">
        <f>AG29*AF9/100</f>
        <v>0</v>
      </c>
      <c r="AI29" s="484">
        <f>AH29/$AH$69</f>
        <v>0</v>
      </c>
      <c r="AJ29" s="80"/>
      <c r="AM29" s="323"/>
      <c r="AN29" s="169"/>
      <c r="AO29" s="93">
        <f>AN29*AM9/100</f>
        <v>0</v>
      </c>
      <c r="AP29" s="484">
        <f>AO29/$AO$69</f>
        <v>0</v>
      </c>
      <c r="AQ29" s="80"/>
      <c r="AT29" s="323"/>
      <c r="AU29" s="169"/>
      <c r="AV29" s="93">
        <f>AU29*AT9/100</f>
        <v>0</v>
      </c>
      <c r="AW29" s="484">
        <f>AV29/$AV$69</f>
        <v>0</v>
      </c>
      <c r="AX29" s="80"/>
      <c r="BA29" s="323"/>
      <c r="BB29" s="169"/>
      <c r="BC29" s="93">
        <f>BB29*BA9/100</f>
        <v>0</v>
      </c>
      <c r="BD29" s="484">
        <f>BC29/$BC$69</f>
        <v>0</v>
      </c>
      <c r="BE29" s="80"/>
      <c r="BH29" s="323"/>
      <c r="BI29" s="169"/>
      <c r="BJ29" s="93">
        <f>BI29*BH9/100</f>
        <v>0</v>
      </c>
      <c r="BK29" s="484">
        <f>BJ29/$BJ$69</f>
        <v>0</v>
      </c>
      <c r="BL29" s="80"/>
      <c r="BO29" s="323"/>
      <c r="BP29" s="169"/>
      <c r="BQ29" s="93">
        <f>BP29*BO9/100</f>
        <v>0</v>
      </c>
      <c r="BR29" s="484">
        <f>BQ29/$BQ$69</f>
        <v>0</v>
      </c>
      <c r="BS29" s="80"/>
      <c r="BV29" s="323"/>
      <c r="BW29" s="169"/>
      <c r="BX29" s="93">
        <f>BW29*BV9/100</f>
        <v>0</v>
      </c>
      <c r="BY29" s="484">
        <f>BX29/$BX$69</f>
        <v>0</v>
      </c>
      <c r="BZ29" s="80"/>
      <c r="CC29" s="323"/>
      <c r="CD29" s="169"/>
      <c r="CE29" s="93">
        <f>CD29*CC9/100</f>
        <v>0</v>
      </c>
      <c r="CF29" s="484">
        <f>CE29/$CE$69</f>
        <v>0</v>
      </c>
      <c r="CG29" s="80"/>
      <c r="CJ29" s="323"/>
      <c r="CK29" s="169"/>
      <c r="CL29" s="93">
        <f>CK29*CJ9/100</f>
        <v>0</v>
      </c>
      <c r="CM29" s="484">
        <f>CL29/$CL$69</f>
        <v>0</v>
      </c>
      <c r="CN29" s="80"/>
      <c r="CQ29" s="323"/>
      <c r="CR29" s="169"/>
      <c r="CS29" s="93">
        <f>CR29*CQ9/100</f>
        <v>0</v>
      </c>
      <c r="CT29" s="484">
        <f>CS29/$CS$69</f>
        <v>0</v>
      </c>
      <c r="CU29" s="80"/>
      <c r="CX29" s="323"/>
      <c r="CY29" s="169"/>
      <c r="CZ29" s="93">
        <f>CY29*CX9/100</f>
        <v>0</v>
      </c>
      <c r="DA29" s="484">
        <f>CZ29/$CZ$69</f>
        <v>0</v>
      </c>
      <c r="DB29" s="80"/>
      <c r="DE29" s="323"/>
      <c r="DF29" s="169"/>
      <c r="DG29" s="93">
        <f>DF29*DE9/100</f>
        <v>0</v>
      </c>
      <c r="DH29" s="484">
        <f>DG29/$DG$69</f>
        <v>0</v>
      </c>
    </row>
    <row r="30" spans="1:112" ht="13.5" thickBot="1" x14ac:dyDescent="0.25">
      <c r="A30" s="124" t="str">
        <f>'Standard Vorgaben'!$E$40</f>
        <v>Aktion und Gebindekosten</v>
      </c>
      <c r="B30" s="124"/>
      <c r="C30" s="488"/>
      <c r="D30" s="379" t="str">
        <f>'Standard Vorgaben'!$F$40</f>
        <v>Tafelzwetschgen 33 mm</v>
      </c>
      <c r="E30" s="380">
        <f>'Standard Vorgaben'!$G$40</f>
        <v>0.15</v>
      </c>
      <c r="F30" s="658">
        <f>D8*E30</f>
        <v>0</v>
      </c>
      <c r="G30" s="484">
        <f>F30/$F$69</f>
        <v>0</v>
      </c>
      <c r="H30" s="124" t="str">
        <f>'Standard Vorgaben'!$E$40</f>
        <v>Aktion und Gebindekosten</v>
      </c>
      <c r="I30" s="124"/>
      <c r="J30" s="488"/>
      <c r="K30" s="379" t="str">
        <f>'Standard Vorgaben'!$F$40</f>
        <v>Tafelzwetschgen 33 mm</v>
      </c>
      <c r="L30" s="380">
        <f>'Standard Vorgaben'!$G$40</f>
        <v>0.15</v>
      </c>
      <c r="M30" s="658">
        <f>K8*L30</f>
        <v>540</v>
      </c>
      <c r="N30" s="484">
        <f>M30/$M$69</f>
        <v>3.9271547087061556E-2</v>
      </c>
      <c r="O30" s="124" t="str">
        <f>'Standard Vorgaben'!$E$40</f>
        <v>Aktion und Gebindekosten</v>
      </c>
      <c r="P30" s="124"/>
      <c r="Q30" s="488"/>
      <c r="R30" s="379" t="str">
        <f>'Standard Vorgaben'!$F$40</f>
        <v>Tafelzwetschgen 33 mm</v>
      </c>
      <c r="S30" s="380">
        <f>'Standard Vorgaben'!$G$40</f>
        <v>0.15</v>
      </c>
      <c r="T30" s="658">
        <f>R8*S30</f>
        <v>810</v>
      </c>
      <c r="U30" s="484">
        <f>T30/$T$69</f>
        <v>3.9864164713314748E-2</v>
      </c>
      <c r="V30" s="124" t="str">
        <f>'Standard Vorgaben'!$E$40</f>
        <v>Aktion und Gebindekosten</v>
      </c>
      <c r="W30" s="124"/>
      <c r="X30" s="488"/>
      <c r="Y30" s="379" t="str">
        <f>'Standard Vorgaben'!$F$40</f>
        <v>Tafelzwetschgen 33 mm</v>
      </c>
      <c r="Z30" s="380">
        <f>'Standard Vorgaben'!$G$40</f>
        <v>0.15</v>
      </c>
      <c r="AA30" s="658">
        <f>Y8*Z30</f>
        <v>1350</v>
      </c>
      <c r="AB30" s="484">
        <f>AA30/$AA$69</f>
        <v>5.5843857071371551E-2</v>
      </c>
      <c r="AC30" s="124" t="str">
        <f>'Standard Vorgaben'!$E$40</f>
        <v>Aktion und Gebindekosten</v>
      </c>
      <c r="AD30" s="124"/>
      <c r="AE30" s="488"/>
      <c r="AF30" s="379" t="str">
        <f>'Standard Vorgaben'!$F$40</f>
        <v>Tafelzwetschgen 33 mm</v>
      </c>
      <c r="AG30" s="380">
        <f>'Standard Vorgaben'!$G$40</f>
        <v>0.15</v>
      </c>
      <c r="AH30" s="658">
        <f>AF8*AG30</f>
        <v>2430</v>
      </c>
      <c r="AI30" s="484">
        <f>AH30/$AH$69</f>
        <v>6.9637825388358082E-2</v>
      </c>
      <c r="AJ30" s="124" t="str">
        <f>'Standard Vorgaben'!$E$40</f>
        <v>Aktion und Gebindekosten</v>
      </c>
      <c r="AK30" s="124"/>
      <c r="AL30" s="488"/>
      <c r="AM30" s="379" t="str">
        <f>'Standard Vorgaben'!$F$40</f>
        <v>Tafelzwetschgen 33 mm</v>
      </c>
      <c r="AN30" s="380">
        <f>'Standard Vorgaben'!$G$40</f>
        <v>0.15</v>
      </c>
      <c r="AO30" s="658">
        <f>AM8*AN30</f>
        <v>2970</v>
      </c>
      <c r="AP30" s="484">
        <f>AO30/$AO$69</f>
        <v>7.7358435345331947E-2</v>
      </c>
      <c r="AQ30" s="124" t="str">
        <f>'Standard Vorgaben'!$E$40</f>
        <v>Aktion und Gebindekosten</v>
      </c>
      <c r="AR30" s="124"/>
      <c r="AS30" s="488"/>
      <c r="AT30" s="379" t="str">
        <f>'Standard Vorgaben'!$F$40</f>
        <v>Tafelzwetschgen 33 mm</v>
      </c>
      <c r="AU30" s="380">
        <f>'Standard Vorgaben'!$G$40</f>
        <v>0.15</v>
      </c>
      <c r="AV30" s="658">
        <f>AT8*AU30</f>
        <v>3510</v>
      </c>
      <c r="AW30" s="484">
        <f>AV30/$AV$69</f>
        <v>8.3846010830278442E-2</v>
      </c>
      <c r="AX30" s="124" t="str">
        <f>'Standard Vorgaben'!$E$40</f>
        <v>Aktion und Gebindekosten</v>
      </c>
      <c r="AY30" s="124"/>
      <c r="AZ30" s="488"/>
      <c r="BA30" s="379" t="str">
        <f>'Standard Vorgaben'!$F$40</f>
        <v>Tafelzwetschgen 33 mm</v>
      </c>
      <c r="BB30" s="380">
        <f>'Standard Vorgaben'!$G$40</f>
        <v>0.15</v>
      </c>
      <c r="BC30" s="658">
        <f>BA8*BB30</f>
        <v>3510</v>
      </c>
      <c r="BD30" s="484">
        <f>BC30/$BC$69</f>
        <v>8.3887374716973426E-2</v>
      </c>
      <c r="BE30" s="124" t="str">
        <f>'Standard Vorgaben'!$E$40</f>
        <v>Aktion und Gebindekosten</v>
      </c>
      <c r="BF30" s="124"/>
      <c r="BG30" s="488"/>
      <c r="BH30" s="379" t="str">
        <f>'Standard Vorgaben'!$F$40</f>
        <v>Tafelzwetschgen 33 mm</v>
      </c>
      <c r="BI30" s="380">
        <f>'Standard Vorgaben'!$G$40</f>
        <v>0.15</v>
      </c>
      <c r="BJ30" s="658">
        <f>BH8*BI30</f>
        <v>3510</v>
      </c>
      <c r="BK30" s="484">
        <f>BJ30/$BJ$69</f>
        <v>8.3929152264091936E-2</v>
      </c>
      <c r="BL30" s="124" t="str">
        <f>'Standard Vorgaben'!$E$40</f>
        <v>Aktion und Gebindekosten</v>
      </c>
      <c r="BM30" s="124"/>
      <c r="BN30" s="488"/>
      <c r="BO30" s="379" t="str">
        <f>'Standard Vorgaben'!$F$40</f>
        <v>Tafelzwetschgen 33 mm</v>
      </c>
      <c r="BP30" s="380">
        <f>'Standard Vorgaben'!$G$40</f>
        <v>0.15</v>
      </c>
      <c r="BQ30" s="658">
        <f>BO8*BP30</f>
        <v>3510</v>
      </c>
      <c r="BR30" s="484">
        <f>BQ30/$BQ$69</f>
        <v>8.3971348005851543E-2</v>
      </c>
      <c r="BS30" s="124" t="str">
        <f>'Standard Vorgaben'!$E$40</f>
        <v>Aktion und Gebindekosten</v>
      </c>
      <c r="BT30" s="124"/>
      <c r="BU30" s="488"/>
      <c r="BV30" s="379" t="str">
        <f>'Standard Vorgaben'!$F$40</f>
        <v>Tafelzwetschgen 33 mm</v>
      </c>
      <c r="BW30" s="380">
        <f>'Standard Vorgaben'!$G$40</f>
        <v>0.15</v>
      </c>
      <c r="BX30" s="658">
        <f>BV8*BW30</f>
        <v>3510</v>
      </c>
      <c r="BY30" s="484">
        <f>BX30/$BX$69</f>
        <v>8.4013966533791992E-2</v>
      </c>
      <c r="BZ30" s="124" t="str">
        <f>'Standard Vorgaben'!$E$40</f>
        <v>Aktion und Gebindekosten</v>
      </c>
      <c r="CA30" s="124"/>
      <c r="CB30" s="488"/>
      <c r="CC30" s="379" t="str">
        <f>'Standard Vorgaben'!$F$40</f>
        <v>Tafelzwetschgen 33 mm</v>
      </c>
      <c r="CD30" s="380">
        <f>'Standard Vorgaben'!$G$40</f>
        <v>0.15</v>
      </c>
      <c r="CE30" s="658">
        <f>CC8*CD30</f>
        <v>3510</v>
      </c>
      <c r="CF30" s="484">
        <f>CE30/$CE$69</f>
        <v>8.4057012497644953E-2</v>
      </c>
      <c r="CG30" s="124" t="str">
        <f>'Standard Vorgaben'!$E$40</f>
        <v>Aktion und Gebindekosten</v>
      </c>
      <c r="CH30" s="124"/>
      <c r="CI30" s="488"/>
      <c r="CJ30" s="379" t="str">
        <f>'Standard Vorgaben'!$F$40</f>
        <v>Tafelzwetschgen 33 mm</v>
      </c>
      <c r="CK30" s="380">
        <f>'Standard Vorgaben'!$G$40</f>
        <v>0.15</v>
      </c>
      <c r="CL30" s="658">
        <f>CJ8*CK30</f>
        <v>3510</v>
      </c>
      <c r="CM30" s="484">
        <f>CL30/$CL$69</f>
        <v>8.4100490606219783E-2</v>
      </c>
      <c r="CN30" s="124" t="str">
        <f>'Standard Vorgaben'!$E$40</f>
        <v>Aktion und Gebindekosten</v>
      </c>
      <c r="CO30" s="124"/>
      <c r="CP30" s="488"/>
      <c r="CQ30" s="379" t="str">
        <f>'Standard Vorgaben'!$F$40</f>
        <v>Tafelzwetschgen 33 mm</v>
      </c>
      <c r="CR30" s="380">
        <f>'Standard Vorgaben'!$G$40</f>
        <v>0.15</v>
      </c>
      <c r="CS30" s="658">
        <f>CQ8*CR30</f>
        <v>3510</v>
      </c>
      <c r="CT30" s="484">
        <f>CS30/$CS$69</f>
        <v>8.4144405628305663E-2</v>
      </c>
      <c r="CU30" s="124" t="str">
        <f>'Standard Vorgaben'!$E$40</f>
        <v>Aktion und Gebindekosten</v>
      </c>
      <c r="CV30" s="124"/>
      <c r="CW30" s="488"/>
      <c r="CX30" s="379" t="str">
        <f>'Standard Vorgaben'!$F$40</f>
        <v>Tafelzwetschgen 33 mm</v>
      </c>
      <c r="CY30" s="380">
        <f>'Standard Vorgaben'!$G$40</f>
        <v>0.15</v>
      </c>
      <c r="CZ30" s="658">
        <f>CX8*CY30</f>
        <v>3510</v>
      </c>
      <c r="DA30" s="484">
        <f>CZ30/$CZ$69</f>
        <v>8.4188762393590216E-2</v>
      </c>
      <c r="DB30" s="124" t="str">
        <f>'Standard Vorgaben'!$E$40</f>
        <v>Aktion und Gebindekosten</v>
      </c>
      <c r="DC30" s="124"/>
      <c r="DD30" s="488"/>
      <c r="DE30" s="379" t="str">
        <f>'Standard Vorgaben'!$F$40</f>
        <v>Tafelzwetschgen 33 mm</v>
      </c>
      <c r="DF30" s="380">
        <f>'Standard Vorgaben'!$G$40</f>
        <v>0.15</v>
      </c>
      <c r="DG30" s="658">
        <f>DE8*DF30</f>
        <v>3510</v>
      </c>
      <c r="DH30" s="484">
        <f>DG30/$DG$69</f>
        <v>7.3631447237437433E-2</v>
      </c>
    </row>
    <row r="31" spans="1:112" s="73" customFormat="1" x14ac:dyDescent="0.2">
      <c r="A31" s="124"/>
      <c r="B31" s="124"/>
      <c r="C31" s="488"/>
      <c r="D31" s="323"/>
      <c r="E31" s="380"/>
      <c r="F31" s="94">
        <f>SUM(F28:F30)</f>
        <v>470</v>
      </c>
      <c r="G31" s="655">
        <f>F31/$F$69</f>
        <v>4.9676509197211796E-2</v>
      </c>
      <c r="H31" s="124"/>
      <c r="I31" s="124"/>
      <c r="J31" s="488"/>
      <c r="K31" s="323"/>
      <c r="L31" s="380"/>
      <c r="M31" s="94">
        <f>SUM(M28:M30)</f>
        <v>1010</v>
      </c>
      <c r="N31" s="484">
        <f>M31/$M$69</f>
        <v>7.345233807024476E-2</v>
      </c>
      <c r="O31" s="124"/>
      <c r="P31" s="124"/>
      <c r="Q31" s="488"/>
      <c r="R31" s="323"/>
      <c r="S31" s="380"/>
      <c r="T31" s="94">
        <f>SUM(T28:T30)</f>
        <v>1280</v>
      </c>
      <c r="U31" s="655">
        <f>T31/$T$69</f>
        <v>6.2995223250670224E-2</v>
      </c>
      <c r="V31" s="124"/>
      <c r="W31" s="124"/>
      <c r="X31" s="488"/>
      <c r="Y31" s="323"/>
      <c r="Z31" s="380"/>
      <c r="AA31" s="94">
        <f>SUM(AA28:AA30)</f>
        <v>1820</v>
      </c>
      <c r="AB31" s="655">
        <f>AA31/$AA$69</f>
        <v>7.5285792496219417E-2</v>
      </c>
      <c r="AC31" s="124"/>
      <c r="AD31" s="124"/>
      <c r="AE31" s="488"/>
      <c r="AF31" s="323"/>
      <c r="AG31" s="380"/>
      <c r="AH31" s="94">
        <f>SUM(AH28:AH30)</f>
        <v>2900</v>
      </c>
      <c r="AI31" s="655">
        <f>AH31/$AH$69</f>
        <v>8.3106869805036399E-2</v>
      </c>
      <c r="AJ31" s="124"/>
      <c r="AK31" s="124"/>
      <c r="AL31" s="488"/>
      <c r="AM31" s="323"/>
      <c r="AN31" s="380"/>
      <c r="AO31" s="94">
        <f>SUM(AO28:AO30)</f>
        <v>3440</v>
      </c>
      <c r="AP31" s="655">
        <f>AO31/$AO$69</f>
        <v>8.9600342622202664E-2</v>
      </c>
      <c r="AQ31" s="124"/>
      <c r="AR31" s="124"/>
      <c r="AS31" s="488"/>
      <c r="AT31" s="323"/>
      <c r="AU31" s="380"/>
      <c r="AV31" s="94">
        <f>SUM(AV28:AV30)</f>
        <v>3980</v>
      </c>
      <c r="AW31" s="655">
        <f>AV31/$AV$69</f>
        <v>9.5073254445728839E-2</v>
      </c>
      <c r="AX31" s="124"/>
      <c r="AY31" s="124"/>
      <c r="AZ31" s="488"/>
      <c r="BA31" s="323"/>
      <c r="BB31" s="380"/>
      <c r="BC31" s="94">
        <f>SUM(BC28:BC30)</f>
        <v>3980</v>
      </c>
      <c r="BD31" s="655">
        <f>BC31/$BC$69</f>
        <v>9.5120157086482693E-2</v>
      </c>
      <c r="BE31" s="124"/>
      <c r="BF31" s="124"/>
      <c r="BG31" s="488"/>
      <c r="BH31" s="323"/>
      <c r="BI31" s="380"/>
      <c r="BJ31" s="94">
        <f>SUM(BJ28:BJ30)</f>
        <v>3980</v>
      </c>
      <c r="BK31" s="655">
        <f>BJ31/$BJ$69</f>
        <v>9.5167528778087151E-2</v>
      </c>
      <c r="BL31" s="124"/>
      <c r="BM31" s="124"/>
      <c r="BN31" s="488"/>
      <c r="BO31" s="323"/>
      <c r="BP31" s="380"/>
      <c r="BQ31" s="94">
        <f>SUM(BQ28:BQ30)</f>
        <v>3980</v>
      </c>
      <c r="BR31" s="655">
        <f>BQ31/$BQ$69</f>
        <v>9.5215374661905744E-2</v>
      </c>
      <c r="BS31" s="124"/>
      <c r="BT31" s="124"/>
      <c r="BU31" s="488"/>
      <c r="BV31" s="323"/>
      <c r="BW31" s="380"/>
      <c r="BX31" s="94">
        <f>SUM(BX28:BX30)</f>
        <v>3980</v>
      </c>
      <c r="BY31" s="655">
        <f>BX31/$BX$69</f>
        <v>9.5263699944299757E-2</v>
      </c>
      <c r="BZ31" s="124"/>
      <c r="CA31" s="124"/>
      <c r="CB31" s="488"/>
      <c r="CC31" s="323"/>
      <c r="CD31" s="380"/>
      <c r="CE31" s="94">
        <f>SUM(CE28:CE30)</f>
        <v>3980</v>
      </c>
      <c r="CF31" s="655">
        <f>CE31/$CE$69</f>
        <v>9.53125098976145E-2</v>
      </c>
      <c r="CG31" s="124"/>
      <c r="CH31" s="124"/>
      <c r="CI31" s="488"/>
      <c r="CJ31" s="323"/>
      <c r="CK31" s="380"/>
      <c r="CL31" s="94">
        <f>SUM(CL28:CL30)</f>
        <v>3980</v>
      </c>
      <c r="CM31" s="655">
        <f>CL31/$CL$69</f>
        <v>9.5361809861183686E-2</v>
      </c>
      <c r="CN31" s="124"/>
      <c r="CO31" s="124"/>
      <c r="CP31" s="488"/>
      <c r="CQ31" s="323"/>
      <c r="CR31" s="380"/>
      <c r="CS31" s="94">
        <f>SUM(CS28:CS30)</f>
        <v>3980</v>
      </c>
      <c r="CT31" s="655">
        <f>CS31/$CS$69</f>
        <v>9.5411605242352288E-2</v>
      </c>
      <c r="CU31" s="124"/>
      <c r="CV31" s="124"/>
      <c r="CW31" s="488"/>
      <c r="CX31" s="323"/>
      <c r="CY31" s="380"/>
      <c r="CZ31" s="94">
        <f>SUM(CZ28:CZ30)</f>
        <v>3980</v>
      </c>
      <c r="DA31" s="655">
        <f>CZ31/$CZ$69</f>
        <v>9.5461901517518252E-2</v>
      </c>
      <c r="DB31" s="124"/>
      <c r="DC31" s="124"/>
      <c r="DD31" s="488"/>
      <c r="DE31" s="323"/>
      <c r="DF31" s="380"/>
      <c r="DG31" s="94">
        <f>SUM(DG28:DG30)</f>
        <v>3980</v>
      </c>
      <c r="DH31" s="655">
        <f>DG31/$DG$69</f>
        <v>8.3490928776353557E-2</v>
      </c>
    </row>
    <row r="32" spans="1:112" s="73" customFormat="1" x14ac:dyDescent="0.2">
      <c r="A32" s="124"/>
      <c r="B32" s="124"/>
      <c r="C32" s="488"/>
      <c r="D32" s="323"/>
      <c r="E32" s="380"/>
      <c r="F32" s="182"/>
      <c r="G32" s="484"/>
      <c r="H32" s="124"/>
      <c r="I32" s="124"/>
      <c r="J32" s="488"/>
      <c r="K32" s="323"/>
      <c r="L32" s="380"/>
      <c r="M32" s="182"/>
      <c r="N32" s="484"/>
      <c r="O32" s="124"/>
      <c r="P32" s="124"/>
      <c r="Q32" s="488"/>
      <c r="R32" s="323"/>
      <c r="S32" s="380"/>
      <c r="T32" s="182"/>
      <c r="U32" s="484"/>
      <c r="V32" s="124"/>
      <c r="W32" s="124"/>
      <c r="X32" s="488"/>
      <c r="Y32" s="323"/>
      <c r="Z32" s="380"/>
      <c r="AA32" s="182"/>
      <c r="AB32" s="484"/>
      <c r="AC32" s="124"/>
      <c r="AD32" s="124"/>
      <c r="AE32" s="488"/>
      <c r="AF32" s="323"/>
      <c r="AG32" s="380"/>
      <c r="AH32" s="182"/>
      <c r="AI32" s="484"/>
      <c r="AJ32" s="124"/>
      <c r="AK32" s="124"/>
      <c r="AL32" s="488"/>
      <c r="AM32" s="323"/>
      <c r="AN32" s="380"/>
      <c r="AO32" s="182"/>
      <c r="AP32" s="484"/>
      <c r="AQ32" s="124"/>
      <c r="AR32" s="124"/>
      <c r="AS32" s="488"/>
      <c r="AT32" s="323"/>
      <c r="AU32" s="380"/>
      <c r="AV32" s="182"/>
      <c r="AW32" s="484"/>
      <c r="AX32" s="124"/>
      <c r="AY32" s="124"/>
      <c r="AZ32" s="488"/>
      <c r="BA32" s="323"/>
      <c r="BB32" s="380"/>
      <c r="BC32" s="182"/>
      <c r="BD32" s="484"/>
      <c r="BE32" s="124"/>
      <c r="BF32" s="124"/>
      <c r="BG32" s="488"/>
      <c r="BH32" s="323"/>
      <c r="BI32" s="380"/>
      <c r="BJ32" s="182"/>
      <c r="BK32" s="484"/>
      <c r="BL32" s="124"/>
      <c r="BM32" s="124"/>
      <c r="BN32" s="488"/>
      <c r="BO32" s="323"/>
      <c r="BP32" s="380"/>
      <c r="BQ32" s="182"/>
      <c r="BR32" s="484"/>
      <c r="BS32" s="124"/>
      <c r="BT32" s="124"/>
      <c r="BU32" s="488"/>
      <c r="BV32" s="323"/>
      <c r="BW32" s="380"/>
      <c r="BX32" s="182"/>
      <c r="BY32" s="484"/>
      <c r="BZ32" s="124"/>
      <c r="CA32" s="124"/>
      <c r="CB32" s="488"/>
      <c r="CC32" s="323"/>
      <c r="CD32" s="380"/>
      <c r="CE32" s="182"/>
      <c r="CF32" s="484"/>
      <c r="CG32" s="124"/>
      <c r="CH32" s="124"/>
      <c r="CI32" s="488"/>
      <c r="CJ32" s="323"/>
      <c r="CK32" s="380"/>
      <c r="CL32" s="182"/>
      <c r="CM32" s="484"/>
      <c r="CN32" s="124"/>
      <c r="CO32" s="124"/>
      <c r="CP32" s="488"/>
      <c r="CQ32" s="323"/>
      <c r="CR32" s="380"/>
      <c r="CS32" s="182"/>
      <c r="CT32" s="484"/>
      <c r="CU32" s="124"/>
      <c r="CV32" s="124"/>
      <c r="CW32" s="488"/>
      <c r="CX32" s="323"/>
      <c r="CY32" s="380"/>
      <c r="CZ32" s="182"/>
      <c r="DA32" s="484"/>
      <c r="DB32" s="124"/>
      <c r="DC32" s="124"/>
      <c r="DD32" s="488"/>
      <c r="DE32" s="323"/>
      <c r="DF32" s="380"/>
      <c r="DG32" s="182"/>
      <c r="DH32" s="484"/>
    </row>
    <row r="33" spans="1:256" ht="15" customHeight="1" x14ac:dyDescent="0.2">
      <c r="A33" s="80" t="s">
        <v>202</v>
      </c>
      <c r="B33" s="489">
        <f>'Standard Vorgaben'!$E$159+'Standard Vorgaben'!$E$160</f>
        <v>250</v>
      </c>
      <c r="C33" s="385"/>
      <c r="D33" s="124"/>
      <c r="E33" s="386"/>
      <c r="F33" s="162">
        <f>B33+E33</f>
        <v>250</v>
      </c>
      <c r="G33" s="655">
        <f>F33/$F$69</f>
        <v>2.6423675104899891E-2</v>
      </c>
      <c r="H33" s="80" t="s">
        <v>202</v>
      </c>
      <c r="I33" s="489">
        <f>'Standard Vorgaben'!$E$159+'Standard Vorgaben'!$E$160</f>
        <v>250</v>
      </c>
      <c r="J33" s="385"/>
      <c r="K33" s="124"/>
      <c r="L33" s="386"/>
      <c r="M33" s="162">
        <f>I33+L33</f>
        <v>250</v>
      </c>
      <c r="N33" s="655">
        <f>M33/$M$69</f>
        <v>1.8181271799565534E-2</v>
      </c>
      <c r="O33" s="80" t="s">
        <v>202</v>
      </c>
      <c r="P33" s="489">
        <f>'Standard Vorgaben'!$E$159+'Standard Vorgaben'!$E$160</f>
        <v>250</v>
      </c>
      <c r="Q33" s="385"/>
      <c r="R33" s="124"/>
      <c r="S33" s="386"/>
      <c r="T33" s="162">
        <f>P33+S33</f>
        <v>250</v>
      </c>
      <c r="U33" s="655">
        <f>T33/$T$69</f>
        <v>1.2303754541146527E-2</v>
      </c>
      <c r="V33" s="80" t="s">
        <v>202</v>
      </c>
      <c r="W33" s="489">
        <f>'Standard Vorgaben'!$E$159+'Standard Vorgaben'!$E$160</f>
        <v>250</v>
      </c>
      <c r="X33" s="385"/>
      <c r="Y33" s="124"/>
      <c r="Z33" s="386"/>
      <c r="AA33" s="162">
        <f>W33+Z33</f>
        <v>250</v>
      </c>
      <c r="AB33" s="655">
        <f>AA33/$AA$69</f>
        <v>1.0341455013216953E-2</v>
      </c>
      <c r="AC33" s="80" t="s">
        <v>202</v>
      </c>
      <c r="AD33" s="489">
        <f>'Standard Vorgaben'!$E$159+'Standard Vorgaben'!$E$160</f>
        <v>250</v>
      </c>
      <c r="AE33" s="385"/>
      <c r="AF33" s="124"/>
      <c r="AG33" s="386"/>
      <c r="AH33" s="162">
        <f>AD33+AG33</f>
        <v>250</v>
      </c>
      <c r="AI33" s="655">
        <f>AH33/$AH$69</f>
        <v>7.1643853280203796E-3</v>
      </c>
      <c r="AJ33" s="80" t="s">
        <v>202</v>
      </c>
      <c r="AK33" s="489">
        <f>'Standard Vorgaben'!$E$159+'Standard Vorgaben'!$E$160</f>
        <v>250</v>
      </c>
      <c r="AL33" s="385"/>
      <c r="AM33" s="124"/>
      <c r="AN33" s="386"/>
      <c r="AO33" s="162">
        <f>AK33+AN33</f>
        <v>250</v>
      </c>
      <c r="AP33" s="655">
        <f>AO33/$AO$69</f>
        <v>6.5116528068461244E-3</v>
      </c>
      <c r="AQ33" s="80" t="s">
        <v>202</v>
      </c>
      <c r="AR33" s="489">
        <f>'Standard Vorgaben'!$E$159+'Standard Vorgaben'!$E$160</f>
        <v>250</v>
      </c>
      <c r="AS33" s="385"/>
      <c r="AT33" s="124"/>
      <c r="AU33" s="386"/>
      <c r="AV33" s="162">
        <f>AR33+AU33</f>
        <v>250</v>
      </c>
      <c r="AW33" s="655">
        <f>AV33/$AV$69</f>
        <v>5.9719380933246757E-3</v>
      </c>
      <c r="AX33" s="80" t="s">
        <v>202</v>
      </c>
      <c r="AY33" s="489">
        <f>'Standard Vorgaben'!$E$159+'Standard Vorgaben'!$E$160</f>
        <v>250</v>
      </c>
      <c r="AZ33" s="385"/>
      <c r="BA33" s="124"/>
      <c r="BB33" s="386"/>
      <c r="BC33" s="162">
        <f>AY33+BB33</f>
        <v>250</v>
      </c>
      <c r="BD33" s="655">
        <f>BC33/$BC$69</f>
        <v>5.9748842391006713E-3</v>
      </c>
      <c r="BE33" s="80" t="s">
        <v>202</v>
      </c>
      <c r="BF33" s="489">
        <f>'Standard Vorgaben'!$E$159+'Standard Vorgaben'!$E$160</f>
        <v>250</v>
      </c>
      <c r="BG33" s="385"/>
      <c r="BH33" s="124"/>
      <c r="BI33" s="386"/>
      <c r="BJ33" s="162">
        <f>BF33+BI33</f>
        <v>250</v>
      </c>
      <c r="BK33" s="655">
        <f>BJ33/$BJ$69</f>
        <v>5.9778598478697964E-3</v>
      </c>
      <c r="BL33" s="80" t="s">
        <v>202</v>
      </c>
      <c r="BM33" s="489">
        <f>'Standard Vorgaben'!$E$159+'Standard Vorgaben'!$E$160</f>
        <v>250</v>
      </c>
      <c r="BN33" s="385"/>
      <c r="BO33" s="124"/>
      <c r="BP33" s="386"/>
      <c r="BQ33" s="162">
        <f>BM33+BP33</f>
        <v>250</v>
      </c>
      <c r="BR33" s="655">
        <f>BQ33/$BQ$69</f>
        <v>5.9808652425820188E-3</v>
      </c>
      <c r="BS33" s="80" t="s">
        <v>202</v>
      </c>
      <c r="BT33" s="489">
        <f>'Standard Vorgaben'!$E$159+'Standard Vorgaben'!$E$160</f>
        <v>250</v>
      </c>
      <c r="BU33" s="385"/>
      <c r="BV33" s="124"/>
      <c r="BW33" s="386"/>
      <c r="BX33" s="162">
        <f>BT33+BW33</f>
        <v>250</v>
      </c>
      <c r="BY33" s="655">
        <f>BX33/$BX$69</f>
        <v>5.9839007502700851E-3</v>
      </c>
      <c r="BZ33" s="80" t="s">
        <v>202</v>
      </c>
      <c r="CA33" s="489">
        <f>'Standard Vorgaben'!$E$159+'Standard Vorgaben'!$E$160</f>
        <v>250</v>
      </c>
      <c r="CB33" s="385"/>
      <c r="CC33" s="124"/>
      <c r="CD33" s="386"/>
      <c r="CE33" s="162">
        <f>CA33+CD33</f>
        <v>250</v>
      </c>
      <c r="CF33" s="655">
        <f>CE33/$CE$69</f>
        <v>5.9869667021114643E-3</v>
      </c>
      <c r="CG33" s="80" t="s">
        <v>202</v>
      </c>
      <c r="CH33" s="489">
        <f>'Standard Vorgaben'!$E$159+'Standard Vorgaben'!$E$160</f>
        <v>250</v>
      </c>
      <c r="CI33" s="385"/>
      <c r="CJ33" s="124"/>
      <c r="CK33" s="386"/>
      <c r="CL33" s="162">
        <f>CH33+CK33</f>
        <v>250</v>
      </c>
      <c r="CM33" s="655">
        <f>CL33/$CL$69</f>
        <v>5.9900634334914375E-3</v>
      </c>
      <c r="CN33" s="80" t="s">
        <v>202</v>
      </c>
      <c r="CO33" s="489">
        <f>'Standard Vorgaben'!$E$159+'Standard Vorgaben'!$E$160</f>
        <v>250</v>
      </c>
      <c r="CP33" s="385"/>
      <c r="CQ33" s="124"/>
      <c r="CR33" s="386"/>
      <c r="CS33" s="162">
        <f>CO33+CR33</f>
        <v>250</v>
      </c>
      <c r="CT33" s="655">
        <f>CS33/$CS$69</f>
        <v>5.9931912840673549E-3</v>
      </c>
      <c r="CU33" s="80" t="s">
        <v>202</v>
      </c>
      <c r="CV33" s="489">
        <f>'Standard Vorgaben'!$E$159+'Standard Vorgaben'!$E$160</f>
        <v>250</v>
      </c>
      <c r="CW33" s="385"/>
      <c r="CX33" s="124"/>
      <c r="CY33" s="386"/>
      <c r="CZ33" s="162">
        <f>CV33+CY33</f>
        <v>250</v>
      </c>
      <c r="DA33" s="655">
        <f>CZ33/$CZ$69</f>
        <v>5.996350597834061E-3</v>
      </c>
      <c r="DB33" s="80" t="s">
        <v>202</v>
      </c>
      <c r="DC33" s="489">
        <f>'Standard Vorgaben'!$E$159+'Standard Vorgaben'!$E$160</f>
        <v>250</v>
      </c>
      <c r="DD33" s="385"/>
      <c r="DE33" s="124"/>
      <c r="DF33" s="386"/>
      <c r="DG33" s="162">
        <f>DC33+DF33</f>
        <v>250</v>
      </c>
      <c r="DH33" s="655">
        <f>DG33/$DG$69</f>
        <v>5.2444050738915549E-3</v>
      </c>
    </row>
    <row r="34" spans="1:256" s="492" customFormat="1" ht="18.75" customHeight="1" x14ac:dyDescent="0.2">
      <c r="A34" s="395" t="s">
        <v>64</v>
      </c>
      <c r="B34" s="341"/>
      <c r="C34" s="490"/>
      <c r="D34" s="490"/>
      <c r="E34" s="455"/>
      <c r="F34" s="491">
        <f>F33+F24+F31+F18+F26+F27</f>
        <v>3437.5169002666662</v>
      </c>
      <c r="G34" s="484">
        <f>F34/$F$69</f>
        <v>0.36332731896099579</v>
      </c>
      <c r="H34" s="395" t="s">
        <v>64</v>
      </c>
      <c r="I34" s="341"/>
      <c r="J34" s="490"/>
      <c r="K34" s="490"/>
      <c r="L34" s="455"/>
      <c r="M34" s="491">
        <f>M33+M24+M31+M18+M26+M27</f>
        <v>4187.5169002666662</v>
      </c>
      <c r="N34" s="484">
        <f>M34/$M$69</f>
        <v>0.30453753171608972</v>
      </c>
      <c r="O34" s="395" t="s">
        <v>64</v>
      </c>
      <c r="P34" s="341"/>
      <c r="Q34" s="490"/>
      <c r="R34" s="490"/>
      <c r="S34" s="455"/>
      <c r="T34" s="491">
        <f>T33+T24+T31+T16+T26+T27</f>
        <v>6049.5169002666662</v>
      </c>
      <c r="U34" s="484">
        <f>T34/$T$69</f>
        <v>0.29772708413359461</v>
      </c>
      <c r="V34" s="395" t="s">
        <v>64</v>
      </c>
      <c r="W34" s="341"/>
      <c r="X34" s="490"/>
      <c r="Y34" s="490"/>
      <c r="Z34" s="455"/>
      <c r="AA34" s="491">
        <f>AA33+AA24+AA31+AA16+AA26+AA27</f>
        <v>6899.5169002666662</v>
      </c>
      <c r="AB34" s="484">
        <f>AA34/$AA$69</f>
        <v>0.28540417454815126</v>
      </c>
      <c r="AC34" s="395" t="s">
        <v>64</v>
      </c>
      <c r="AD34" s="341"/>
      <c r="AE34" s="490"/>
      <c r="AF34" s="490"/>
      <c r="AG34" s="455"/>
      <c r="AH34" s="491">
        <f>AH33+AH24+AH31+AH18+AH26+AH27</f>
        <v>8487.7669002666662</v>
      </c>
      <c r="AI34" s="484">
        <f>AH34/$AH$69</f>
        <v>0.24323853059171008</v>
      </c>
      <c r="AJ34" s="395" t="s">
        <v>64</v>
      </c>
      <c r="AK34" s="341"/>
      <c r="AL34" s="490"/>
      <c r="AM34" s="490"/>
      <c r="AN34" s="455"/>
      <c r="AO34" s="491">
        <f>AO33+AO24+AO31+AO18+AO26+AO27</f>
        <v>9027.7669002666662</v>
      </c>
      <c r="AP34" s="484">
        <f>AO34/$AO$69</f>
        <v>0.23514273470269587</v>
      </c>
      <c r="AQ34" s="395" t="s">
        <v>64</v>
      </c>
      <c r="AR34" s="341"/>
      <c r="AS34" s="490"/>
      <c r="AT34" s="490"/>
      <c r="AU34" s="455"/>
      <c r="AV34" s="491">
        <f>AV33+AV24+AV31+AV18+AV26+AV27</f>
        <v>9567.7669002666662</v>
      </c>
      <c r="AW34" s="484">
        <f>AV34/$AV$69</f>
        <v>0.22855244647901382</v>
      </c>
      <c r="AX34" s="395" t="s">
        <v>64</v>
      </c>
      <c r="AY34" s="341"/>
      <c r="AZ34" s="490"/>
      <c r="BA34" s="490"/>
      <c r="BB34" s="455"/>
      <c r="BC34" s="491">
        <f>BC33+BC24+BC31+BC18+BC26+BC27</f>
        <v>9567.7669002666662</v>
      </c>
      <c r="BD34" s="484">
        <f>BC34/$BC$69</f>
        <v>0.22866519862316956</v>
      </c>
      <c r="BE34" s="395" t="s">
        <v>64</v>
      </c>
      <c r="BF34" s="341"/>
      <c r="BG34" s="490"/>
      <c r="BH34" s="490"/>
      <c r="BI34" s="455"/>
      <c r="BJ34" s="491">
        <f>BJ33+BJ24+BJ31+BJ18+BJ26+BJ27</f>
        <v>9567.7669002666662</v>
      </c>
      <c r="BK34" s="484">
        <f>BJ34/$BJ$69</f>
        <v>0.22877907834752706</v>
      </c>
      <c r="BL34" s="395" t="s">
        <v>64</v>
      </c>
      <c r="BM34" s="341"/>
      <c r="BN34" s="490"/>
      <c r="BO34" s="490"/>
      <c r="BP34" s="455"/>
      <c r="BQ34" s="491">
        <f>BQ33+BQ24+BQ31+BQ18+BQ26+BQ27</f>
        <v>9567.7669002666662</v>
      </c>
      <c r="BR34" s="484">
        <f>BQ34/$BQ$69</f>
        <v>0.22889409801172642</v>
      </c>
      <c r="BS34" s="395" t="s">
        <v>64</v>
      </c>
      <c r="BT34" s="341"/>
      <c r="BU34" s="490"/>
      <c r="BV34" s="490"/>
      <c r="BW34" s="455"/>
      <c r="BX34" s="491">
        <f>BX33+BX24+BX31+BX18+BX26+BX27</f>
        <v>9567.7669002666662</v>
      </c>
      <c r="BY34" s="484">
        <f>BX34/$BX$69</f>
        <v>0.22901027013165998</v>
      </c>
      <c r="BZ34" s="395" t="s">
        <v>64</v>
      </c>
      <c r="CA34" s="341"/>
      <c r="CB34" s="490"/>
      <c r="CC34" s="490"/>
      <c r="CD34" s="455"/>
      <c r="CE34" s="491">
        <f>CE33+CE24+CE31+CE18+CE26+CE27</f>
        <v>9567.7669002666662</v>
      </c>
      <c r="CF34" s="484">
        <f>CE34/$CE$69</f>
        <v>0.22912760738184298</v>
      </c>
      <c r="CG34" s="395" t="s">
        <v>64</v>
      </c>
      <c r="CH34" s="341"/>
      <c r="CI34" s="490"/>
      <c r="CJ34" s="490"/>
      <c r="CK34" s="455"/>
      <c r="CL34" s="491">
        <f>CL33+CL24+CL31+CL18+CL26+CL27</f>
        <v>9567.7669002666662</v>
      </c>
      <c r="CM34" s="484">
        <f>CL34/$CL$69</f>
        <v>0.22924612259782828</v>
      </c>
      <c r="CN34" s="395" t="s">
        <v>64</v>
      </c>
      <c r="CO34" s="341"/>
      <c r="CP34" s="490"/>
      <c r="CQ34" s="490"/>
      <c r="CR34" s="455"/>
      <c r="CS34" s="491">
        <f>CS33+CS24+CS31+CS18+CS26+CS27</f>
        <v>9567.7669002666662</v>
      </c>
      <c r="CT34" s="484">
        <f>CS34/$CS$69</f>
        <v>0.22936582877866526</v>
      </c>
      <c r="CU34" s="395" t="s">
        <v>64</v>
      </c>
      <c r="CV34" s="341"/>
      <c r="CW34" s="490"/>
      <c r="CX34" s="490"/>
      <c r="CY34" s="455"/>
      <c r="CZ34" s="491">
        <f>CZ33+CZ24+CZ31+CZ18+CZ26+CZ27</f>
        <v>9567.7669002666662</v>
      </c>
      <c r="DA34" s="484">
        <f>CZ34/$CZ$69</f>
        <v>0.22948673908940387</v>
      </c>
      <c r="DB34" s="395" t="s">
        <v>64</v>
      </c>
      <c r="DC34" s="341"/>
      <c r="DD34" s="490"/>
      <c r="DE34" s="490"/>
      <c r="DF34" s="455"/>
      <c r="DG34" s="491">
        <f>DG33+DG24+DG31+DG18+DG26+DG27</f>
        <v>9567.7669002666662</v>
      </c>
      <c r="DH34" s="484">
        <f>DG34/$DG$69</f>
        <v>0.20070898111028071</v>
      </c>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c r="EN34" s="80"/>
      <c r="EO34" s="80"/>
      <c r="EP34" s="80"/>
      <c r="EQ34" s="80"/>
      <c r="ER34" s="80"/>
      <c r="ES34" s="80"/>
      <c r="ET34" s="80"/>
      <c r="EU34" s="80"/>
      <c r="EV34" s="80"/>
      <c r="EW34" s="80"/>
      <c r="EX34" s="80"/>
      <c r="EY34" s="80"/>
      <c r="EZ34" s="80"/>
      <c r="FA34" s="80"/>
      <c r="FB34" s="80"/>
      <c r="FC34" s="80"/>
      <c r="FD34" s="80"/>
      <c r="FE34" s="80"/>
      <c r="FF34" s="80"/>
      <c r="FG34" s="80"/>
      <c r="FH34" s="80"/>
      <c r="FI34" s="80"/>
      <c r="FJ34" s="80"/>
      <c r="FK34" s="80"/>
      <c r="FL34" s="80"/>
      <c r="FM34" s="80"/>
      <c r="FN34" s="80"/>
      <c r="FO34" s="80"/>
      <c r="FP34" s="80"/>
      <c r="FQ34" s="80"/>
      <c r="FR34" s="80"/>
      <c r="FS34" s="80"/>
      <c r="FT34" s="80"/>
      <c r="FU34" s="80"/>
      <c r="FV34" s="80"/>
      <c r="FW34" s="80"/>
      <c r="FX34" s="80"/>
      <c r="FY34" s="80"/>
      <c r="FZ34" s="80"/>
      <c r="GA34" s="80"/>
      <c r="GB34" s="80"/>
      <c r="GC34" s="80"/>
      <c r="GD34" s="80"/>
      <c r="GE34" s="80"/>
      <c r="GF34" s="80"/>
      <c r="GG34" s="80"/>
      <c r="GH34" s="80"/>
      <c r="GI34" s="80"/>
      <c r="GJ34" s="80"/>
      <c r="GK34" s="80"/>
      <c r="GL34" s="80"/>
      <c r="GM34" s="80"/>
      <c r="GN34" s="80"/>
      <c r="GO34" s="80"/>
      <c r="GP34" s="80"/>
      <c r="GQ34" s="80"/>
      <c r="GR34" s="80"/>
      <c r="GS34" s="80"/>
      <c r="GT34" s="80"/>
      <c r="GU34" s="80"/>
      <c r="GV34" s="80"/>
      <c r="GW34" s="80"/>
      <c r="GX34" s="80"/>
      <c r="GY34" s="80"/>
      <c r="GZ34" s="80"/>
      <c r="HA34" s="80"/>
      <c r="HB34" s="80"/>
      <c r="HC34" s="80"/>
      <c r="HD34" s="80"/>
      <c r="HE34" s="80"/>
      <c r="HF34" s="80"/>
      <c r="HG34" s="80"/>
      <c r="HH34" s="80"/>
      <c r="HI34" s="80"/>
      <c r="HJ34" s="80"/>
      <c r="HK34" s="80"/>
      <c r="HL34" s="80"/>
      <c r="HM34" s="80"/>
      <c r="HN34" s="80"/>
      <c r="HO34" s="80"/>
      <c r="HP34" s="80"/>
      <c r="HQ34" s="80"/>
      <c r="HR34" s="80"/>
      <c r="HS34" s="80"/>
      <c r="HT34" s="80"/>
      <c r="HU34" s="80"/>
      <c r="HV34" s="80"/>
      <c r="HW34" s="80"/>
      <c r="HX34" s="80"/>
      <c r="HY34" s="80"/>
      <c r="HZ34" s="80"/>
      <c r="IA34" s="80"/>
      <c r="IB34" s="80"/>
      <c r="IC34" s="80"/>
      <c r="ID34" s="80"/>
      <c r="IE34" s="80"/>
      <c r="IF34" s="80"/>
      <c r="IG34" s="80"/>
      <c r="IH34" s="80"/>
      <c r="II34" s="80"/>
      <c r="IJ34" s="80"/>
      <c r="IK34" s="80"/>
      <c r="IL34" s="80"/>
      <c r="IM34" s="80"/>
      <c r="IN34" s="80"/>
      <c r="IO34" s="80"/>
      <c r="IP34" s="80"/>
      <c r="IQ34" s="80"/>
      <c r="IR34" s="80"/>
      <c r="IS34" s="80"/>
      <c r="IT34" s="80"/>
      <c r="IU34" s="80"/>
      <c r="IV34" s="80"/>
    </row>
    <row r="35" spans="1:256" s="98" customFormat="1" ht="18.75" customHeight="1" x14ac:dyDescent="0.2">
      <c r="A35" s="80" t="s">
        <v>219</v>
      </c>
      <c r="B35" s="73"/>
      <c r="C35" s="379" t="s">
        <v>65</v>
      </c>
      <c r="D35" s="493">
        <f>'Standard Vorgaben'!$C$157</f>
        <v>25</v>
      </c>
      <c r="E35" s="169">
        <f>'Standard Vorgaben'!$D$157</f>
        <v>17.82</v>
      </c>
      <c r="F35" s="162">
        <f>D35*E35</f>
        <v>445.5</v>
      </c>
      <c r="G35" s="660">
        <f>F35/$F$69</f>
        <v>4.7086989036931606E-2</v>
      </c>
      <c r="H35" s="80" t="s">
        <v>219</v>
      </c>
      <c r="I35" s="73"/>
      <c r="J35" s="379" t="s">
        <v>65</v>
      </c>
      <c r="K35" s="493">
        <f>'Standard Vorgaben'!$C$157</f>
        <v>25</v>
      </c>
      <c r="L35" s="169">
        <f>'Standard Vorgaben'!$D$157</f>
        <v>17.82</v>
      </c>
      <c r="M35" s="162">
        <f>K35*L35*0.5</f>
        <v>222.75</v>
      </c>
      <c r="N35" s="660">
        <f>M35/$M$69</f>
        <v>1.619951317341289E-2</v>
      </c>
      <c r="O35" s="80" t="s">
        <v>219</v>
      </c>
      <c r="P35" s="73"/>
      <c r="Q35" s="379" t="s">
        <v>65</v>
      </c>
      <c r="R35" s="493">
        <f>'Standard Vorgaben'!$C$157</f>
        <v>25</v>
      </c>
      <c r="S35" s="169">
        <f>'Standard Vorgaben'!$D$157</f>
        <v>17.82</v>
      </c>
      <c r="T35" s="162">
        <f>R35*S35</f>
        <v>445.5</v>
      </c>
      <c r="U35" s="660">
        <f>T35/$T$69</f>
        <v>2.1925290592323111E-2</v>
      </c>
      <c r="V35" s="80" t="s">
        <v>219</v>
      </c>
      <c r="W35" s="73"/>
      <c r="X35" s="379" t="s">
        <v>65</v>
      </c>
      <c r="Y35" s="493">
        <f>'Standard Vorgaben'!$C$157</f>
        <v>25</v>
      </c>
      <c r="Z35" s="169">
        <f>'Standard Vorgaben'!$D$157</f>
        <v>17.82</v>
      </c>
      <c r="AA35" s="162">
        <f>Y35*Z35</f>
        <v>445.5</v>
      </c>
      <c r="AB35" s="660">
        <f>AA35/$AA$69</f>
        <v>1.842847283355261E-2</v>
      </c>
      <c r="AC35" s="80" t="s">
        <v>219</v>
      </c>
      <c r="AD35" s="73"/>
      <c r="AE35" s="379" t="s">
        <v>65</v>
      </c>
      <c r="AF35" s="493">
        <f>'Standard Vorgaben'!$C$157</f>
        <v>25</v>
      </c>
      <c r="AG35" s="169">
        <f>'Standard Vorgaben'!$D$157</f>
        <v>17.82</v>
      </c>
      <c r="AH35" s="162">
        <f>AF35*AG35</f>
        <v>445.5</v>
      </c>
      <c r="AI35" s="660">
        <f>AH35/$AH$69</f>
        <v>1.2766934654532316E-2</v>
      </c>
      <c r="AJ35" s="80" t="s">
        <v>219</v>
      </c>
      <c r="AK35" s="73"/>
      <c r="AL35" s="379" t="s">
        <v>65</v>
      </c>
      <c r="AM35" s="493">
        <f>'Standard Vorgaben'!$C$157</f>
        <v>25</v>
      </c>
      <c r="AN35" s="169">
        <f>'Standard Vorgaben'!$D$157</f>
        <v>17.82</v>
      </c>
      <c r="AO35" s="162">
        <f>AM35*AN35</f>
        <v>445.5</v>
      </c>
      <c r="AP35" s="660">
        <f>AO35/$AO$69</f>
        <v>1.1603765301799794E-2</v>
      </c>
      <c r="AQ35" s="80" t="s">
        <v>219</v>
      </c>
      <c r="AR35" s="73"/>
      <c r="AS35" s="379" t="s">
        <v>65</v>
      </c>
      <c r="AT35" s="493">
        <f>'Standard Vorgaben'!$C$157</f>
        <v>25</v>
      </c>
      <c r="AU35" s="169">
        <f>'Standard Vorgaben'!$D$157</f>
        <v>17.82</v>
      </c>
      <c r="AV35" s="162">
        <f>AT35*AU35</f>
        <v>445.5</v>
      </c>
      <c r="AW35" s="660">
        <f>AV35/$AV$69</f>
        <v>1.0641993682304571E-2</v>
      </c>
      <c r="AX35" s="80" t="s">
        <v>219</v>
      </c>
      <c r="AY35" s="73"/>
      <c r="AZ35" s="379" t="s">
        <v>65</v>
      </c>
      <c r="BA35" s="493">
        <f>'Standard Vorgaben'!$C$157</f>
        <v>25</v>
      </c>
      <c r="BB35" s="169">
        <f>'Standard Vorgaben'!$D$157</f>
        <v>17.82</v>
      </c>
      <c r="BC35" s="162">
        <f>BA35*BB35</f>
        <v>445.5</v>
      </c>
      <c r="BD35" s="660">
        <f>BC35/$BC$69</f>
        <v>1.0647243714077397E-2</v>
      </c>
      <c r="BE35" s="80" t="s">
        <v>219</v>
      </c>
      <c r="BF35" s="73"/>
      <c r="BG35" s="379" t="s">
        <v>65</v>
      </c>
      <c r="BH35" s="493">
        <f>'Standard Vorgaben'!$C$157</f>
        <v>25</v>
      </c>
      <c r="BI35" s="169">
        <f>'Standard Vorgaben'!$D$157</f>
        <v>17.82</v>
      </c>
      <c r="BJ35" s="162">
        <f>BH35*BI35</f>
        <v>445.5</v>
      </c>
      <c r="BK35" s="660">
        <f>BJ35/$BJ$69</f>
        <v>1.0652546248903976E-2</v>
      </c>
      <c r="BL35" s="80" t="s">
        <v>219</v>
      </c>
      <c r="BM35" s="73"/>
      <c r="BN35" s="379" t="s">
        <v>65</v>
      </c>
      <c r="BO35" s="493">
        <f>'Standard Vorgaben'!$C$157</f>
        <v>25</v>
      </c>
      <c r="BP35" s="169">
        <f>'Standard Vorgaben'!$D$157</f>
        <v>17.82</v>
      </c>
      <c r="BQ35" s="162">
        <f>BO35*BP35</f>
        <v>445.5</v>
      </c>
      <c r="BR35" s="660">
        <f>BQ35/$BQ$69</f>
        <v>1.0657901862281157E-2</v>
      </c>
      <c r="BS35" s="80" t="s">
        <v>219</v>
      </c>
      <c r="BT35" s="73"/>
      <c r="BU35" s="379" t="s">
        <v>65</v>
      </c>
      <c r="BV35" s="493">
        <f>'Standard Vorgaben'!$C$157</f>
        <v>25</v>
      </c>
      <c r="BW35" s="169">
        <f>'Standard Vorgaben'!$D$157</f>
        <v>17.82</v>
      </c>
      <c r="BX35" s="162">
        <f>BV35*BW35</f>
        <v>445.5</v>
      </c>
      <c r="BY35" s="660">
        <f>BX35/$BX$69</f>
        <v>1.0663311136981293E-2</v>
      </c>
      <c r="BZ35" s="80" t="s">
        <v>219</v>
      </c>
      <c r="CA35" s="73"/>
      <c r="CB35" s="379" t="s">
        <v>65</v>
      </c>
      <c r="CC35" s="493">
        <f>'Standard Vorgaben'!$C$157</f>
        <v>25</v>
      </c>
      <c r="CD35" s="169">
        <f>'Standard Vorgaben'!$D$157</f>
        <v>17.82</v>
      </c>
      <c r="CE35" s="162">
        <f>CC35*CD35</f>
        <v>445.5</v>
      </c>
      <c r="CF35" s="660">
        <f>CE35/$CE$69</f>
        <v>1.0668774663162628E-2</v>
      </c>
      <c r="CG35" s="80" t="s">
        <v>219</v>
      </c>
      <c r="CH35" s="73"/>
      <c r="CI35" s="379" t="s">
        <v>65</v>
      </c>
      <c r="CJ35" s="493">
        <f>'Standard Vorgaben'!$C$157</f>
        <v>25</v>
      </c>
      <c r="CK35" s="169">
        <f>'Standard Vorgaben'!$D$157</f>
        <v>17.82</v>
      </c>
      <c r="CL35" s="162">
        <f>CJ35*CK35</f>
        <v>445.5</v>
      </c>
      <c r="CM35" s="660">
        <f>CL35/$CL$69</f>
        <v>1.0674293038481742E-2</v>
      </c>
      <c r="CN35" s="80" t="s">
        <v>219</v>
      </c>
      <c r="CO35" s="73"/>
      <c r="CP35" s="379" t="s">
        <v>65</v>
      </c>
      <c r="CQ35" s="493">
        <f>'Standard Vorgaben'!$C$157</f>
        <v>25</v>
      </c>
      <c r="CR35" s="169">
        <f>'Standard Vorgaben'!$D$157</f>
        <v>17.82</v>
      </c>
      <c r="CS35" s="162">
        <f>CQ35*CR35</f>
        <v>445.5</v>
      </c>
      <c r="CT35" s="660">
        <f>CS35/$CS$69</f>
        <v>1.0679866868208026E-2</v>
      </c>
      <c r="CU35" s="80" t="s">
        <v>219</v>
      </c>
      <c r="CV35" s="73"/>
      <c r="CW35" s="379" t="s">
        <v>65</v>
      </c>
      <c r="CX35" s="493">
        <f>'Standard Vorgaben'!$C$157</f>
        <v>25</v>
      </c>
      <c r="CY35" s="169">
        <f>'Standard Vorgaben'!$D$157</f>
        <v>17.82</v>
      </c>
      <c r="CZ35" s="162">
        <f>CX35*CY35</f>
        <v>445.5</v>
      </c>
      <c r="DA35" s="660">
        <f>CZ35/$CZ$69</f>
        <v>1.0685496765340297E-2</v>
      </c>
      <c r="DB35" s="80" t="s">
        <v>219</v>
      </c>
      <c r="DC35" s="73"/>
      <c r="DD35" s="379" t="s">
        <v>65</v>
      </c>
      <c r="DE35" s="493">
        <f>'Standard Vorgaben'!$C$157</f>
        <v>25</v>
      </c>
      <c r="DF35" s="169">
        <f>'Standard Vorgaben'!$D$157</f>
        <v>17.82</v>
      </c>
      <c r="DG35" s="162">
        <f>DE35*DF35</f>
        <v>445.5</v>
      </c>
      <c r="DH35" s="660">
        <f>DG35/$DG$69</f>
        <v>9.3455298416747507E-3</v>
      </c>
    </row>
    <row r="36" spans="1:256" ht="17.850000000000001" customHeight="1" x14ac:dyDescent="0.2">
      <c r="A36" s="64"/>
      <c r="C36" s="468" t="s">
        <v>11</v>
      </c>
      <c r="D36" s="494" t="s">
        <v>20</v>
      </c>
      <c r="E36" s="495" t="s">
        <v>66</v>
      </c>
      <c r="F36" s="496" t="s">
        <v>22</v>
      </c>
      <c r="G36" s="484"/>
      <c r="H36" s="64"/>
      <c r="I36" s="64"/>
      <c r="J36" s="468" t="s">
        <v>11</v>
      </c>
      <c r="K36" s="494" t="s">
        <v>20</v>
      </c>
      <c r="L36" s="495" t="s">
        <v>66</v>
      </c>
      <c r="M36" s="496" t="s">
        <v>22</v>
      </c>
      <c r="N36" s="484"/>
      <c r="Q36" s="26" t="s">
        <v>11</v>
      </c>
      <c r="R36" s="494" t="s">
        <v>20</v>
      </c>
      <c r="S36" s="495" t="s">
        <v>66</v>
      </c>
      <c r="T36" s="496" t="s">
        <v>22</v>
      </c>
      <c r="U36" s="484"/>
      <c r="X36" s="468" t="s">
        <v>11</v>
      </c>
      <c r="Y36" s="494" t="s">
        <v>20</v>
      </c>
      <c r="Z36" s="495" t="s">
        <v>66</v>
      </c>
      <c r="AA36" s="496" t="s">
        <v>22</v>
      </c>
      <c r="AB36" s="484"/>
      <c r="AE36" s="468" t="s">
        <v>11</v>
      </c>
      <c r="AF36" s="494" t="s">
        <v>20</v>
      </c>
      <c r="AG36" s="495" t="s">
        <v>66</v>
      </c>
      <c r="AH36" s="496" t="s">
        <v>22</v>
      </c>
      <c r="AI36" s="484"/>
      <c r="AL36" s="468" t="s">
        <v>11</v>
      </c>
      <c r="AM36" s="494" t="s">
        <v>20</v>
      </c>
      <c r="AN36" s="495" t="s">
        <v>66</v>
      </c>
      <c r="AO36" s="496" t="s">
        <v>22</v>
      </c>
      <c r="AP36" s="484"/>
      <c r="AS36" s="468" t="s">
        <v>11</v>
      </c>
      <c r="AT36" s="494" t="s">
        <v>20</v>
      </c>
      <c r="AU36" s="495" t="s">
        <v>66</v>
      </c>
      <c r="AV36" s="496" t="s">
        <v>22</v>
      </c>
      <c r="AW36" s="484"/>
      <c r="AZ36" s="468" t="s">
        <v>11</v>
      </c>
      <c r="BA36" s="494" t="s">
        <v>20</v>
      </c>
      <c r="BB36" s="495" t="s">
        <v>66</v>
      </c>
      <c r="BC36" s="496" t="s">
        <v>22</v>
      </c>
      <c r="BD36" s="484"/>
      <c r="BG36" s="468" t="s">
        <v>11</v>
      </c>
      <c r="BH36" s="494" t="s">
        <v>20</v>
      </c>
      <c r="BI36" s="495" t="s">
        <v>66</v>
      </c>
      <c r="BJ36" s="496" t="s">
        <v>22</v>
      </c>
      <c r="BK36" s="484"/>
      <c r="BN36" s="468" t="s">
        <v>11</v>
      </c>
      <c r="BO36" s="494" t="s">
        <v>20</v>
      </c>
      <c r="BP36" s="495" t="s">
        <v>66</v>
      </c>
      <c r="BQ36" s="496" t="s">
        <v>22</v>
      </c>
      <c r="BR36" s="484"/>
      <c r="BU36" s="468" t="s">
        <v>11</v>
      </c>
      <c r="BV36" s="494" t="s">
        <v>20</v>
      </c>
      <c r="BW36" s="495" t="s">
        <v>66</v>
      </c>
      <c r="BX36" s="496" t="s">
        <v>22</v>
      </c>
      <c r="BY36" s="484"/>
      <c r="CB36" s="468" t="s">
        <v>11</v>
      </c>
      <c r="CC36" s="494" t="s">
        <v>20</v>
      </c>
      <c r="CD36" s="495" t="s">
        <v>66</v>
      </c>
      <c r="CE36" s="496" t="s">
        <v>22</v>
      </c>
      <c r="CF36" s="484"/>
      <c r="CI36" s="468" t="s">
        <v>11</v>
      </c>
      <c r="CJ36" s="494" t="s">
        <v>20</v>
      </c>
      <c r="CK36" s="495" t="s">
        <v>66</v>
      </c>
      <c r="CL36" s="496" t="s">
        <v>22</v>
      </c>
      <c r="CM36" s="484"/>
      <c r="CP36" s="468" t="s">
        <v>11</v>
      </c>
      <c r="CQ36" s="494" t="s">
        <v>20</v>
      </c>
      <c r="CR36" s="495" t="s">
        <v>66</v>
      </c>
      <c r="CS36" s="496" t="s">
        <v>22</v>
      </c>
      <c r="CT36" s="484"/>
      <c r="CW36" s="468" t="s">
        <v>11</v>
      </c>
      <c r="CX36" s="494" t="s">
        <v>20</v>
      </c>
      <c r="CY36" s="495" t="s">
        <v>66</v>
      </c>
      <c r="CZ36" s="496" t="s">
        <v>22</v>
      </c>
      <c r="DA36" s="484"/>
      <c r="DD36" s="468" t="s">
        <v>11</v>
      </c>
      <c r="DE36" s="494" t="s">
        <v>20</v>
      </c>
      <c r="DF36" s="495" t="s">
        <v>66</v>
      </c>
      <c r="DG36" s="496" t="s">
        <v>22</v>
      </c>
      <c r="DH36" s="484"/>
    </row>
    <row r="37" spans="1:256" x14ac:dyDescent="0.2">
      <c r="A37" s="49" t="s">
        <v>108</v>
      </c>
      <c r="B37" s="64" t="str">
        <f>'Standard Vorgaben'!$B$131</f>
        <v>Anbaugebläsespritze 500 l</v>
      </c>
      <c r="C37" s="326">
        <f>'Standard Vorgaben'!B120</f>
        <v>6</v>
      </c>
      <c r="D37" s="363">
        <f>'Standard Vorgaben'!$C$131</f>
        <v>1</v>
      </c>
      <c r="E37" s="169">
        <f>'Standard Vorgaben'!$D$131</f>
        <v>37</v>
      </c>
      <c r="F37" s="93">
        <f>C37*D37*E37</f>
        <v>222</v>
      </c>
      <c r="G37" s="484">
        <f>F37/$F$69</f>
        <v>2.3464223493151103E-2</v>
      </c>
      <c r="H37" s="49" t="s">
        <v>108</v>
      </c>
      <c r="I37" s="64" t="str">
        <f>'Standard Vorgaben'!$B$131</f>
        <v>Anbaugebläsespritze 500 l</v>
      </c>
      <c r="J37" s="326">
        <f>'Standard Vorgaben'!C120</f>
        <v>7</v>
      </c>
      <c r="K37" s="363">
        <f>'Standard Vorgaben'!$C$131</f>
        <v>1</v>
      </c>
      <c r="L37" s="169">
        <f>'Standard Vorgaben'!$D$131</f>
        <v>37</v>
      </c>
      <c r="M37" s="93">
        <f>J37*K37*L37</f>
        <v>259</v>
      </c>
      <c r="N37" s="671">
        <f>M37/$M$69</f>
        <v>1.8835797584349896E-2</v>
      </c>
      <c r="O37" s="49" t="s">
        <v>108</v>
      </c>
      <c r="P37" s="64" t="str">
        <f>'Standard Vorgaben'!$B$131</f>
        <v>Anbaugebläsespritze 500 l</v>
      </c>
      <c r="Q37" s="326">
        <f>'Standard Vorgaben'!D120</f>
        <v>13</v>
      </c>
      <c r="R37" s="363">
        <f>'Standard Vorgaben'!$C$131</f>
        <v>1</v>
      </c>
      <c r="S37" s="169">
        <f>'Standard Vorgaben'!$D$131</f>
        <v>37</v>
      </c>
      <c r="T37" s="93">
        <f>Q37*R37*S37</f>
        <v>481</v>
      </c>
      <c r="U37" s="484">
        <f>T37/$T$69</f>
        <v>2.367242373716592E-2</v>
      </c>
      <c r="V37" s="49" t="s">
        <v>108</v>
      </c>
      <c r="W37" s="64" t="str">
        <f>'Standard Vorgaben'!$B$131</f>
        <v>Anbaugebläsespritze 500 l</v>
      </c>
      <c r="X37" s="326">
        <f>'Standard Vorgaben'!$E$120</f>
        <v>13</v>
      </c>
      <c r="Y37" s="363">
        <f>'Standard Vorgaben'!$C$131</f>
        <v>1</v>
      </c>
      <c r="Z37" s="169">
        <f>'Standard Vorgaben'!$D$131</f>
        <v>37</v>
      </c>
      <c r="AA37" s="93">
        <f>X37*Y37*Z37</f>
        <v>481</v>
      </c>
      <c r="AB37" s="484">
        <f>AA37/$AA$69</f>
        <v>1.9896959445429418E-2</v>
      </c>
      <c r="AC37" s="49" t="s">
        <v>108</v>
      </c>
      <c r="AD37" s="64" t="str">
        <f>'Standard Vorgaben'!$B$131</f>
        <v>Anbaugebläsespritze 500 l</v>
      </c>
      <c r="AE37" s="326">
        <f>'Standard Vorgaben'!$E$120</f>
        <v>13</v>
      </c>
      <c r="AF37" s="363">
        <f>'Standard Vorgaben'!$C$131</f>
        <v>1</v>
      </c>
      <c r="AG37" s="169">
        <f>'Standard Vorgaben'!$D$131</f>
        <v>37</v>
      </c>
      <c r="AH37" s="93">
        <f>AE37*AF37*AG37</f>
        <v>481</v>
      </c>
      <c r="AI37" s="484">
        <f>AH37/$AH$69</f>
        <v>1.3784277371111211E-2</v>
      </c>
      <c r="AJ37" s="49" t="s">
        <v>108</v>
      </c>
      <c r="AK37" s="64" t="str">
        <f>'Standard Vorgaben'!$B$131</f>
        <v>Anbaugebläsespritze 500 l</v>
      </c>
      <c r="AL37" s="326">
        <f>'Standard Vorgaben'!$E$120</f>
        <v>13</v>
      </c>
      <c r="AM37" s="363">
        <f>'Standard Vorgaben'!$C$131</f>
        <v>1</v>
      </c>
      <c r="AN37" s="169">
        <f>'Standard Vorgaben'!$D$131</f>
        <v>37</v>
      </c>
      <c r="AO37" s="93">
        <f>AL37*AM37*AN37</f>
        <v>481</v>
      </c>
      <c r="AP37" s="484">
        <f>AO37/$AO$69</f>
        <v>1.2528420000371942E-2</v>
      </c>
      <c r="AQ37" s="49" t="s">
        <v>108</v>
      </c>
      <c r="AR37" s="64" t="str">
        <f>'Standard Vorgaben'!$B$131</f>
        <v>Anbaugebläsespritze 500 l</v>
      </c>
      <c r="AS37" s="326">
        <f>'Standard Vorgaben'!$E$120</f>
        <v>13</v>
      </c>
      <c r="AT37" s="363">
        <f>'Standard Vorgaben'!$C$131</f>
        <v>1</v>
      </c>
      <c r="AU37" s="169">
        <f>'Standard Vorgaben'!$D$131</f>
        <v>37</v>
      </c>
      <c r="AV37" s="93">
        <f>AS37*AT37*AU37</f>
        <v>481</v>
      </c>
      <c r="AW37" s="484">
        <f>AV37/$AV$69</f>
        <v>1.1490008891556675E-2</v>
      </c>
      <c r="AX37" s="49" t="s">
        <v>108</v>
      </c>
      <c r="AY37" s="64" t="str">
        <f>'Standard Vorgaben'!$B$131</f>
        <v>Anbaugebläsespritze 500 l</v>
      </c>
      <c r="AZ37" s="326">
        <f>'Standard Vorgaben'!$E$120</f>
        <v>13</v>
      </c>
      <c r="BA37" s="363">
        <f>'Standard Vorgaben'!$C$131</f>
        <v>1</v>
      </c>
      <c r="BB37" s="169">
        <f>'Standard Vorgaben'!$D$131</f>
        <v>37</v>
      </c>
      <c r="BC37" s="93">
        <f>AZ37*BA37*BB37</f>
        <v>481</v>
      </c>
      <c r="BD37" s="484">
        <f>BC37/$BC$69</f>
        <v>1.1495677276029691E-2</v>
      </c>
      <c r="BE37" s="49" t="s">
        <v>108</v>
      </c>
      <c r="BF37" s="64" t="str">
        <f>'Standard Vorgaben'!$B$131</f>
        <v>Anbaugebläsespritze 500 l</v>
      </c>
      <c r="BG37" s="326">
        <f>'Standard Vorgaben'!$E$120</f>
        <v>13</v>
      </c>
      <c r="BH37" s="363">
        <f>'Standard Vorgaben'!$C$131</f>
        <v>1</v>
      </c>
      <c r="BI37" s="169">
        <f>'Standard Vorgaben'!$D$131</f>
        <v>37</v>
      </c>
      <c r="BJ37" s="93">
        <f>BG37*BH37*BI37</f>
        <v>481</v>
      </c>
      <c r="BK37" s="484">
        <f>BJ37/$BJ$69</f>
        <v>1.1501402347301489E-2</v>
      </c>
      <c r="BL37" s="49" t="s">
        <v>108</v>
      </c>
      <c r="BM37" s="64" t="str">
        <f>'Standard Vorgaben'!$B$131</f>
        <v>Anbaugebläsespritze 500 l</v>
      </c>
      <c r="BN37" s="326">
        <f>'Standard Vorgaben'!$E$120</f>
        <v>13</v>
      </c>
      <c r="BO37" s="363">
        <f>'Standard Vorgaben'!$C$131</f>
        <v>1</v>
      </c>
      <c r="BP37" s="169">
        <f>'Standard Vorgaben'!$D$131</f>
        <v>37</v>
      </c>
      <c r="BQ37" s="93">
        <f>BN37*BO37*BP37</f>
        <v>481</v>
      </c>
      <c r="BR37" s="484">
        <f>BQ37/$BQ$69</f>
        <v>1.1507184726727805E-2</v>
      </c>
      <c r="BS37" s="49" t="s">
        <v>108</v>
      </c>
      <c r="BT37" s="64" t="str">
        <f>'Standard Vorgaben'!$B$131</f>
        <v>Anbaugebläsespritze 500 l</v>
      </c>
      <c r="BU37" s="326">
        <f>'Standard Vorgaben'!$E$120</f>
        <v>13</v>
      </c>
      <c r="BV37" s="363">
        <f>'Standard Vorgaben'!$C$131</f>
        <v>1</v>
      </c>
      <c r="BW37" s="169">
        <f>'Standard Vorgaben'!$D$131</f>
        <v>37</v>
      </c>
      <c r="BX37" s="93">
        <f>BU37*BV37*BW37</f>
        <v>481</v>
      </c>
      <c r="BY37" s="484">
        <f>BX37/$BX$69</f>
        <v>1.1513025043519644E-2</v>
      </c>
      <c r="BZ37" s="49" t="s">
        <v>108</v>
      </c>
      <c r="CA37" s="64" t="str">
        <f>'Standard Vorgaben'!$B$131</f>
        <v>Anbaugebläsespritze 500 l</v>
      </c>
      <c r="CB37" s="326">
        <f>'Standard Vorgaben'!$E$120</f>
        <v>13</v>
      </c>
      <c r="CC37" s="363">
        <f>'Standard Vorgaben'!$C$131</f>
        <v>1</v>
      </c>
      <c r="CD37" s="169">
        <f>'Standard Vorgaben'!$D$131</f>
        <v>37</v>
      </c>
      <c r="CE37" s="93">
        <f>CB37*CC37*CD37</f>
        <v>481</v>
      </c>
      <c r="CF37" s="484">
        <f>CE37/$CE$69</f>
        <v>1.1518923934862457E-2</v>
      </c>
      <c r="CG37" s="49" t="s">
        <v>108</v>
      </c>
      <c r="CH37" s="64" t="str">
        <f>'Standard Vorgaben'!$B$131</f>
        <v>Anbaugebläsespritze 500 l</v>
      </c>
      <c r="CI37" s="326">
        <f>'Standard Vorgaben'!$E$120</f>
        <v>13</v>
      </c>
      <c r="CJ37" s="363">
        <f>'Standard Vorgaben'!$C$131</f>
        <v>1</v>
      </c>
      <c r="CK37" s="169">
        <f>'Standard Vorgaben'!$D$131</f>
        <v>37</v>
      </c>
      <c r="CL37" s="93">
        <f>CI37*CJ37*CK37</f>
        <v>481</v>
      </c>
      <c r="CM37" s="484">
        <f>CL37/$CL$69</f>
        <v>1.1524882046037525E-2</v>
      </c>
      <c r="CN37" s="49" t="s">
        <v>108</v>
      </c>
      <c r="CO37" s="64" t="str">
        <f>'Standard Vorgaben'!$B$131</f>
        <v>Anbaugebläsespritze 500 l</v>
      </c>
      <c r="CP37" s="326">
        <f>'Standard Vorgaben'!$E$120</f>
        <v>13</v>
      </c>
      <c r="CQ37" s="363">
        <f>'Standard Vorgaben'!$C$131</f>
        <v>1</v>
      </c>
      <c r="CR37" s="169">
        <f>'Standard Vorgaben'!$D$131</f>
        <v>37</v>
      </c>
      <c r="CS37" s="93">
        <f>CP37*CQ37*CR37</f>
        <v>481</v>
      </c>
      <c r="CT37" s="484">
        <f>CS37/$CS$69</f>
        <v>1.1530900030545591E-2</v>
      </c>
      <c r="CU37" s="49" t="s">
        <v>108</v>
      </c>
      <c r="CV37" s="64" t="str">
        <f>'Standard Vorgaben'!$B$131</f>
        <v>Anbaugebläsespritze 500 l</v>
      </c>
      <c r="CW37" s="326">
        <f>'Standard Vorgaben'!$E$120</f>
        <v>13</v>
      </c>
      <c r="CX37" s="363">
        <f>'Standard Vorgaben'!$C$131</f>
        <v>1</v>
      </c>
      <c r="CY37" s="169">
        <f>'Standard Vorgaben'!$D$131</f>
        <v>37</v>
      </c>
      <c r="CZ37" s="93">
        <f>CW37*CX37*CY37</f>
        <v>481</v>
      </c>
      <c r="DA37" s="484">
        <f>CZ37/$CZ$69</f>
        <v>1.1536978550232734E-2</v>
      </c>
      <c r="DB37" s="49" t="s">
        <v>108</v>
      </c>
      <c r="DC37" s="64" t="str">
        <f>'Standard Vorgaben'!$B$131</f>
        <v>Anbaugebläsespritze 500 l</v>
      </c>
      <c r="DD37" s="326">
        <f>'Standard Vorgaben'!$E$120</f>
        <v>13</v>
      </c>
      <c r="DE37" s="363">
        <f>'Standard Vorgaben'!$C$131</f>
        <v>1</v>
      </c>
      <c r="DF37" s="169">
        <f>'Standard Vorgaben'!$D$131</f>
        <v>37</v>
      </c>
      <c r="DG37" s="93">
        <f>DD37*DE37*DF37</f>
        <v>481</v>
      </c>
      <c r="DH37" s="484">
        <f>DG37/$DG$69</f>
        <v>1.0090235362167351E-2</v>
      </c>
    </row>
    <row r="38" spans="1:256" x14ac:dyDescent="0.2">
      <c r="B38" s="64" t="str">
        <f>'Standard Vorgaben'!$B$132</f>
        <v>Anbaufeldspritze, 12 m Balken, 600 l Fass Zweireihig</v>
      </c>
      <c r="C38" s="323">
        <f>'Standard Vorgaben'!B121</f>
        <v>2</v>
      </c>
      <c r="D38" s="363">
        <f>'Standard Vorgaben'!$C$132</f>
        <v>1</v>
      </c>
      <c r="E38" s="169">
        <f>'Standard Vorgaben'!$D$132</f>
        <v>69</v>
      </c>
      <c r="F38" s="93">
        <f>C38*D38*E38</f>
        <v>138</v>
      </c>
      <c r="G38" s="484">
        <f>F38/$F$69</f>
        <v>1.4585868657904739E-2</v>
      </c>
      <c r="H38" s="49"/>
      <c r="I38" s="64" t="str">
        <f>'Standard Vorgaben'!$B$132</f>
        <v>Anbaufeldspritze, 12 m Balken, 600 l Fass Zweireihig</v>
      </c>
      <c r="J38" s="326">
        <f>'Standard Vorgaben'!C121</f>
        <v>2</v>
      </c>
      <c r="K38" s="363">
        <f>'Standard Vorgaben'!$C$132</f>
        <v>1</v>
      </c>
      <c r="L38" s="169">
        <f>'Standard Vorgaben'!$D$132</f>
        <v>69</v>
      </c>
      <c r="M38" s="93">
        <f>J38*K38*L38</f>
        <v>138</v>
      </c>
      <c r="N38" s="671">
        <f>M38/$M$69</f>
        <v>1.0036062033360176E-2</v>
      </c>
      <c r="O38" s="49"/>
      <c r="P38" s="64" t="str">
        <f>'Standard Vorgaben'!$B$132</f>
        <v>Anbaufeldspritze, 12 m Balken, 600 l Fass Zweireihig</v>
      </c>
      <c r="Q38" s="326">
        <f>'Standard Vorgaben'!D121</f>
        <v>4</v>
      </c>
      <c r="R38" s="363">
        <f>'Standard Vorgaben'!$C$132</f>
        <v>1</v>
      </c>
      <c r="S38" s="169">
        <f>'Standard Vorgaben'!$D$132</f>
        <v>69</v>
      </c>
      <c r="T38" s="93">
        <f>Q38*R38*S38</f>
        <v>276</v>
      </c>
      <c r="U38" s="484">
        <f>T38/$T$69</f>
        <v>1.3583345013425766E-2</v>
      </c>
      <c r="V38" s="49"/>
      <c r="W38" s="64" t="str">
        <f>'Standard Vorgaben'!$B$132</f>
        <v>Anbaufeldspritze, 12 m Balken, 600 l Fass Zweireihig</v>
      </c>
      <c r="X38" s="326">
        <f>'Standard Vorgaben'!$E$121</f>
        <v>4</v>
      </c>
      <c r="Y38" s="363">
        <f>'Standard Vorgaben'!$C$132</f>
        <v>1</v>
      </c>
      <c r="Z38" s="169">
        <f>'Standard Vorgaben'!$D$132</f>
        <v>69</v>
      </c>
      <c r="AA38" s="93">
        <f>X38*Y38*Z38</f>
        <v>276</v>
      </c>
      <c r="AB38" s="484">
        <f>AA38/$AA$69</f>
        <v>1.1416966334591517E-2</v>
      </c>
      <c r="AC38" s="49"/>
      <c r="AD38" s="64" t="str">
        <f>'Standard Vorgaben'!$B$132</f>
        <v>Anbaufeldspritze, 12 m Balken, 600 l Fass Zweireihig</v>
      </c>
      <c r="AE38" s="326">
        <f>'Standard Vorgaben'!$E$121</f>
        <v>4</v>
      </c>
      <c r="AF38" s="363">
        <f>'Standard Vorgaben'!$C$132</f>
        <v>1</v>
      </c>
      <c r="AG38" s="169">
        <f>'Standard Vorgaben'!$D$132</f>
        <v>69</v>
      </c>
      <c r="AH38" s="93">
        <f>AE38*AF38*AG38</f>
        <v>276</v>
      </c>
      <c r="AI38" s="484">
        <f>AH38/$AH$69</f>
        <v>7.9094814021344988E-3</v>
      </c>
      <c r="AJ38" s="49"/>
      <c r="AK38" s="64" t="str">
        <f>'Standard Vorgaben'!$B$132</f>
        <v>Anbaufeldspritze, 12 m Balken, 600 l Fass Zweireihig</v>
      </c>
      <c r="AL38" s="326">
        <f>'Standard Vorgaben'!$E$121</f>
        <v>4</v>
      </c>
      <c r="AM38" s="363">
        <f>'Standard Vorgaben'!$C$132</f>
        <v>1</v>
      </c>
      <c r="AN38" s="169">
        <f>'Standard Vorgaben'!$D$132</f>
        <v>69</v>
      </c>
      <c r="AO38" s="93">
        <f>AL38*AM38*AN38</f>
        <v>276</v>
      </c>
      <c r="AP38" s="484">
        <f>AO38/$AO$69</f>
        <v>7.1888646987581205E-3</v>
      </c>
      <c r="AQ38" s="49"/>
      <c r="AR38" s="64" t="str">
        <f>'Standard Vorgaben'!$B$132</f>
        <v>Anbaufeldspritze, 12 m Balken, 600 l Fass Zweireihig</v>
      </c>
      <c r="AS38" s="326">
        <f>'Standard Vorgaben'!$E$121</f>
        <v>4</v>
      </c>
      <c r="AT38" s="363">
        <f>'Standard Vorgaben'!$C$132</f>
        <v>1</v>
      </c>
      <c r="AU38" s="169">
        <f>'Standard Vorgaben'!$D$132</f>
        <v>69</v>
      </c>
      <c r="AV38" s="93">
        <f>AS38*AT38*AU38</f>
        <v>276</v>
      </c>
      <c r="AW38" s="484">
        <f>AV38/$AV$69</f>
        <v>6.5930196550304417E-3</v>
      </c>
      <c r="AX38" s="49"/>
      <c r="AY38" s="64" t="str">
        <f>'Standard Vorgaben'!$B$132</f>
        <v>Anbaufeldspritze, 12 m Balken, 600 l Fass Zweireihig</v>
      </c>
      <c r="AZ38" s="326">
        <f>'Standard Vorgaben'!$E$121</f>
        <v>4</v>
      </c>
      <c r="BA38" s="363">
        <f>'Standard Vorgaben'!$C$132</f>
        <v>1</v>
      </c>
      <c r="BB38" s="169">
        <f>'Standard Vorgaben'!$D$132</f>
        <v>69</v>
      </c>
      <c r="BC38" s="93">
        <f>AZ38*BA38*BB38</f>
        <v>276</v>
      </c>
      <c r="BD38" s="484">
        <f>BC38/$BC$69</f>
        <v>6.5962721999671412E-3</v>
      </c>
      <c r="BE38" s="49"/>
      <c r="BF38" s="64" t="str">
        <f>'Standard Vorgaben'!$B$132</f>
        <v>Anbaufeldspritze, 12 m Balken, 600 l Fass Zweireihig</v>
      </c>
      <c r="BG38" s="326">
        <f>'Standard Vorgaben'!$E$121</f>
        <v>4</v>
      </c>
      <c r="BH38" s="363">
        <f>'Standard Vorgaben'!$C$132</f>
        <v>1</v>
      </c>
      <c r="BI38" s="169">
        <f>'Standard Vorgaben'!$D$132</f>
        <v>69</v>
      </c>
      <c r="BJ38" s="93">
        <f>BG38*BH38*BI38</f>
        <v>276</v>
      </c>
      <c r="BK38" s="484">
        <f>BJ38/$BJ$69</f>
        <v>6.5995572720482553E-3</v>
      </c>
      <c r="BL38" s="49"/>
      <c r="BM38" s="64" t="str">
        <f>'Standard Vorgaben'!$B$132</f>
        <v>Anbaufeldspritze, 12 m Balken, 600 l Fass Zweireihig</v>
      </c>
      <c r="BN38" s="326">
        <f>'Standard Vorgaben'!$E$121</f>
        <v>4</v>
      </c>
      <c r="BO38" s="363">
        <f>'Standard Vorgaben'!$C$132</f>
        <v>1</v>
      </c>
      <c r="BP38" s="169">
        <f>'Standard Vorgaben'!$D$132</f>
        <v>69</v>
      </c>
      <c r="BQ38" s="93">
        <f>BN38*BO38*BP38</f>
        <v>276</v>
      </c>
      <c r="BR38" s="484">
        <f>BQ38/$BQ$69</f>
        <v>6.6028752278105484E-3</v>
      </c>
      <c r="BS38" s="49"/>
      <c r="BT38" s="64" t="str">
        <f>'Standard Vorgaben'!$B$132</f>
        <v>Anbaufeldspritze, 12 m Balken, 600 l Fass Zweireihig</v>
      </c>
      <c r="BU38" s="326">
        <f>'Standard Vorgaben'!$E$121</f>
        <v>4</v>
      </c>
      <c r="BV38" s="363">
        <f>'Standard Vorgaben'!$C$132</f>
        <v>1</v>
      </c>
      <c r="BW38" s="169">
        <f>'Standard Vorgaben'!$D$132</f>
        <v>69</v>
      </c>
      <c r="BX38" s="93">
        <f>BU38*BV38*BW38</f>
        <v>276</v>
      </c>
      <c r="BY38" s="484">
        <f>BX38/$BX$69</f>
        <v>6.6062264282981745E-3</v>
      </c>
      <c r="BZ38" s="49"/>
      <c r="CA38" s="64" t="str">
        <f>'Standard Vorgaben'!$B$132</f>
        <v>Anbaufeldspritze, 12 m Balken, 600 l Fass Zweireihig</v>
      </c>
      <c r="CB38" s="326">
        <f>'Standard Vorgaben'!$E$121</f>
        <v>4</v>
      </c>
      <c r="CC38" s="363">
        <f>'Standard Vorgaben'!$C$132</f>
        <v>1</v>
      </c>
      <c r="CD38" s="169">
        <f>'Standard Vorgaben'!$D$132</f>
        <v>69</v>
      </c>
      <c r="CE38" s="93">
        <f>CB38*CC38*CD38</f>
        <v>276</v>
      </c>
      <c r="CF38" s="484">
        <f>CE38/$CE$69</f>
        <v>6.6096112391310566E-3</v>
      </c>
      <c r="CG38" s="49"/>
      <c r="CH38" s="64" t="str">
        <f>'Standard Vorgaben'!$B$132</f>
        <v>Anbaufeldspritze, 12 m Balken, 600 l Fass Zweireihig</v>
      </c>
      <c r="CI38" s="326">
        <f>'Standard Vorgaben'!$E$121</f>
        <v>4</v>
      </c>
      <c r="CJ38" s="363">
        <f>'Standard Vorgaben'!$C$132</f>
        <v>1</v>
      </c>
      <c r="CK38" s="169">
        <f>'Standard Vorgaben'!$D$132</f>
        <v>69</v>
      </c>
      <c r="CL38" s="93">
        <f>CI38*CJ38*CK38</f>
        <v>276</v>
      </c>
      <c r="CM38" s="484">
        <f>CL38/$CL$69</f>
        <v>6.613030030574547E-3</v>
      </c>
      <c r="CN38" s="49"/>
      <c r="CO38" s="64" t="str">
        <f>'Standard Vorgaben'!$B$132</f>
        <v>Anbaufeldspritze, 12 m Balken, 600 l Fass Zweireihig</v>
      </c>
      <c r="CP38" s="326">
        <f>'Standard Vorgaben'!$E$121</f>
        <v>4</v>
      </c>
      <c r="CQ38" s="363">
        <f>'Standard Vorgaben'!$C$132</f>
        <v>1</v>
      </c>
      <c r="CR38" s="169">
        <f>'Standard Vorgaben'!$D$132</f>
        <v>69</v>
      </c>
      <c r="CS38" s="93">
        <f>CP38*CQ38*CR38</f>
        <v>276</v>
      </c>
      <c r="CT38" s="484">
        <f>CS38/$CS$69</f>
        <v>6.6164831776103598E-3</v>
      </c>
      <c r="CU38" s="49"/>
      <c r="CV38" s="64" t="str">
        <f>'Standard Vorgaben'!$B$132</f>
        <v>Anbaufeldspritze, 12 m Balken, 600 l Fass Zweireihig</v>
      </c>
      <c r="CW38" s="326">
        <f>'Standard Vorgaben'!$E$121</f>
        <v>4</v>
      </c>
      <c r="CX38" s="363">
        <f>'Standard Vorgaben'!$C$132</f>
        <v>1</v>
      </c>
      <c r="CY38" s="169">
        <f>'Standard Vorgaben'!$D$132</f>
        <v>69</v>
      </c>
      <c r="CZ38" s="93">
        <f>CW38*CX38*CY38</f>
        <v>276</v>
      </c>
      <c r="DA38" s="484">
        <f>CZ38/$CZ$69</f>
        <v>6.619971060008804E-3</v>
      </c>
      <c r="DB38" s="49"/>
      <c r="DC38" s="64" t="str">
        <f>'Standard Vorgaben'!$B$132</f>
        <v>Anbaufeldspritze, 12 m Balken, 600 l Fass Zweireihig</v>
      </c>
      <c r="DD38" s="326">
        <f>'Standard Vorgaben'!$E$121</f>
        <v>4</v>
      </c>
      <c r="DE38" s="363">
        <f>'Standard Vorgaben'!$C$132</f>
        <v>1</v>
      </c>
      <c r="DF38" s="169">
        <f>'Standard Vorgaben'!$D$132</f>
        <v>69</v>
      </c>
      <c r="DG38" s="93">
        <f>DD38*DE38*DF38</f>
        <v>276</v>
      </c>
      <c r="DH38" s="484">
        <f>DG38/$DG$69</f>
        <v>5.789823201576276E-3</v>
      </c>
    </row>
    <row r="39" spans="1:256" x14ac:dyDescent="0.2">
      <c r="B39" s="64" t="str">
        <f>'Standard Vorgaben'!$B$133</f>
        <v>Schleudestreuer 500-1'000 l</v>
      </c>
      <c r="C39" s="323">
        <f>C18</f>
        <v>2</v>
      </c>
      <c r="D39" s="363">
        <f>'Standard Vorgaben'!$C$133</f>
        <v>1</v>
      </c>
      <c r="E39" s="169">
        <f>'Standard Vorgaben'!$D$133</f>
        <v>18</v>
      </c>
      <c r="F39" s="93">
        <f>C39*D39*E39</f>
        <v>36</v>
      </c>
      <c r="G39" s="484">
        <f>F39/$F$69</f>
        <v>3.8050092151055842E-3</v>
      </c>
      <c r="H39" s="49"/>
      <c r="I39" s="64" t="str">
        <f>'Standard Vorgaben'!$B$133</f>
        <v>Schleudestreuer 500-1'000 l</v>
      </c>
      <c r="J39" s="323">
        <f>J18</f>
        <v>2</v>
      </c>
      <c r="K39" s="363">
        <f>'Standard Vorgaben'!$C$133</f>
        <v>1</v>
      </c>
      <c r="L39" s="169">
        <f>'Standard Vorgaben'!$D$133</f>
        <v>18</v>
      </c>
      <c r="M39" s="93">
        <f>J39*K39*L39</f>
        <v>36</v>
      </c>
      <c r="N39" s="671">
        <f>M39/$M$69</f>
        <v>2.6181031391374369E-3</v>
      </c>
      <c r="O39" s="49"/>
      <c r="P39" s="64" t="str">
        <f>'Standard Vorgaben'!$B$133</f>
        <v>Schleudestreuer 500-1'000 l</v>
      </c>
      <c r="Q39" s="323">
        <f>Q16</f>
        <v>2</v>
      </c>
      <c r="R39" s="363">
        <f>'Standard Vorgaben'!$C$133</f>
        <v>1</v>
      </c>
      <c r="S39" s="169">
        <f>'Standard Vorgaben'!$D$133</f>
        <v>18</v>
      </c>
      <c r="T39" s="93">
        <f>Q39*R39*S39</f>
        <v>36</v>
      </c>
      <c r="U39" s="484">
        <f>T39/$T$69</f>
        <v>1.7717406539251E-3</v>
      </c>
      <c r="V39" s="49"/>
      <c r="W39" s="64" t="str">
        <f>'Standard Vorgaben'!$B$133</f>
        <v>Schleudestreuer 500-1'000 l</v>
      </c>
      <c r="X39" s="323">
        <f>X18</f>
        <v>2</v>
      </c>
      <c r="Y39" s="363">
        <f>'Standard Vorgaben'!$C$133</f>
        <v>1</v>
      </c>
      <c r="Z39" s="169">
        <f>'Standard Vorgaben'!$D$133</f>
        <v>18</v>
      </c>
      <c r="AA39" s="93">
        <f>X39*Y39*Z39</f>
        <v>36</v>
      </c>
      <c r="AB39" s="484">
        <f>AA39/$AA$69</f>
        <v>1.4891695219032414E-3</v>
      </c>
      <c r="AC39" s="49"/>
      <c r="AD39" s="64" t="str">
        <f>'Standard Vorgaben'!$B$133</f>
        <v>Schleudestreuer 500-1'000 l</v>
      </c>
      <c r="AE39" s="323">
        <f>AE18</f>
        <v>4</v>
      </c>
      <c r="AF39" s="363">
        <f>'Standard Vorgaben'!$C$133</f>
        <v>1</v>
      </c>
      <c r="AG39" s="169">
        <f>'Standard Vorgaben'!$D$133</f>
        <v>18</v>
      </c>
      <c r="AH39" s="93">
        <f>AE39*AF39*AG39</f>
        <v>72</v>
      </c>
      <c r="AI39" s="484">
        <f>AH39/$AH$69</f>
        <v>2.0633429744698695E-3</v>
      </c>
      <c r="AJ39" s="49"/>
      <c r="AK39" s="64" t="str">
        <f>'Standard Vorgaben'!$B$133</f>
        <v>Schleudestreuer 500-1'000 l</v>
      </c>
      <c r="AL39" s="323">
        <f>AL18</f>
        <v>4</v>
      </c>
      <c r="AM39" s="363">
        <f>'Standard Vorgaben'!$C$133</f>
        <v>1</v>
      </c>
      <c r="AN39" s="169">
        <f>'Standard Vorgaben'!$D$133</f>
        <v>18</v>
      </c>
      <c r="AO39" s="93">
        <f>AL39*AM39*AN39</f>
        <v>72</v>
      </c>
      <c r="AP39" s="484">
        <f>AO39/$AO$69</f>
        <v>1.8753560083716837E-3</v>
      </c>
      <c r="AQ39" s="49"/>
      <c r="AR39" s="64" t="str">
        <f>'Standard Vorgaben'!$B$133</f>
        <v>Schleudestreuer 500-1'000 l</v>
      </c>
      <c r="AS39" s="323">
        <f>AS18</f>
        <v>4</v>
      </c>
      <c r="AT39" s="363">
        <f>'Standard Vorgaben'!$C$133</f>
        <v>1</v>
      </c>
      <c r="AU39" s="169">
        <f>'Standard Vorgaben'!$D$133</f>
        <v>18</v>
      </c>
      <c r="AV39" s="93">
        <f>AS39*AT39*AU39</f>
        <v>72</v>
      </c>
      <c r="AW39" s="484">
        <f>AV39/$AV$69</f>
        <v>1.7199181708775066E-3</v>
      </c>
      <c r="AX39" s="49"/>
      <c r="AY39" s="64" t="str">
        <f>'Standard Vorgaben'!$B$133</f>
        <v>Schleudestreuer 500-1'000 l</v>
      </c>
      <c r="AZ39" s="323">
        <f>AZ18</f>
        <v>4</v>
      </c>
      <c r="BA39" s="363">
        <f>'Standard Vorgaben'!$C$133</f>
        <v>1</v>
      </c>
      <c r="BB39" s="169">
        <f>'Standard Vorgaben'!$D$133</f>
        <v>18</v>
      </c>
      <c r="BC39" s="93">
        <f>AZ39*BA39*BB39</f>
        <v>72</v>
      </c>
      <c r="BD39" s="484">
        <f>BC39/$BC$69</f>
        <v>1.7207666608609934E-3</v>
      </c>
      <c r="BE39" s="49"/>
      <c r="BF39" s="64" t="str">
        <f>'Standard Vorgaben'!$B$133</f>
        <v>Schleudestreuer 500-1'000 l</v>
      </c>
      <c r="BG39" s="323">
        <f>BG18</f>
        <v>4</v>
      </c>
      <c r="BH39" s="363">
        <f>'Standard Vorgaben'!$C$133</f>
        <v>1</v>
      </c>
      <c r="BI39" s="169">
        <f>'Standard Vorgaben'!$D$133</f>
        <v>18</v>
      </c>
      <c r="BJ39" s="93">
        <f>BG39*BH39*BI39</f>
        <v>72</v>
      </c>
      <c r="BK39" s="484">
        <f>BJ39/$BJ$69</f>
        <v>1.7216236361865013E-3</v>
      </c>
      <c r="BL39" s="49"/>
      <c r="BM39" s="64" t="str">
        <f>'Standard Vorgaben'!$B$133</f>
        <v>Schleudestreuer 500-1'000 l</v>
      </c>
      <c r="BN39" s="323">
        <f>BN18</f>
        <v>4</v>
      </c>
      <c r="BO39" s="363">
        <f>'Standard Vorgaben'!$C$133</f>
        <v>1</v>
      </c>
      <c r="BP39" s="169">
        <f>'Standard Vorgaben'!$D$133</f>
        <v>18</v>
      </c>
      <c r="BQ39" s="93">
        <f>BN39*BO39*BP39</f>
        <v>72</v>
      </c>
      <c r="BR39" s="484">
        <f>BQ39/$BQ$69</f>
        <v>1.7224891898636214E-3</v>
      </c>
      <c r="BS39" s="49"/>
      <c r="BT39" s="64" t="str">
        <f>'Standard Vorgaben'!$B$133</f>
        <v>Schleudestreuer 500-1'000 l</v>
      </c>
      <c r="BU39" s="323">
        <f>BU18</f>
        <v>4</v>
      </c>
      <c r="BV39" s="363">
        <f>'Standard Vorgaben'!$C$133</f>
        <v>1</v>
      </c>
      <c r="BW39" s="169">
        <f>'Standard Vorgaben'!$D$133</f>
        <v>18</v>
      </c>
      <c r="BX39" s="93">
        <f>BU39*BV39*BW39</f>
        <v>72</v>
      </c>
      <c r="BY39" s="484">
        <f>BX39/$BX$69</f>
        <v>1.7233634160777845E-3</v>
      </c>
      <c r="BZ39" s="49"/>
      <c r="CA39" s="64" t="str">
        <f>'Standard Vorgaben'!$B$133</f>
        <v>Schleudestreuer 500-1'000 l</v>
      </c>
      <c r="CB39" s="323">
        <f>CB18</f>
        <v>4</v>
      </c>
      <c r="CC39" s="363">
        <f>'Standard Vorgaben'!$C$133</f>
        <v>1</v>
      </c>
      <c r="CD39" s="169">
        <f>'Standard Vorgaben'!$D$133</f>
        <v>18</v>
      </c>
      <c r="CE39" s="93">
        <f>CB39*CC39*CD39</f>
        <v>72</v>
      </c>
      <c r="CF39" s="484">
        <f>CE39/$CE$69</f>
        <v>1.7242464102081017E-3</v>
      </c>
      <c r="CG39" s="49"/>
      <c r="CH39" s="64" t="str">
        <f>'Standard Vorgaben'!$B$133</f>
        <v>Schleudestreuer 500-1'000 l</v>
      </c>
      <c r="CI39" s="323">
        <f>CI18</f>
        <v>4</v>
      </c>
      <c r="CJ39" s="363">
        <f>'Standard Vorgaben'!$C$133</f>
        <v>1</v>
      </c>
      <c r="CK39" s="169">
        <f>'Standard Vorgaben'!$D$133</f>
        <v>18</v>
      </c>
      <c r="CL39" s="93">
        <f>CI39*CJ39*CK39</f>
        <v>72</v>
      </c>
      <c r="CM39" s="484">
        <f>CL39/$CL$69</f>
        <v>1.7251382688455339E-3</v>
      </c>
      <c r="CN39" s="49"/>
      <c r="CO39" s="64" t="str">
        <f>'Standard Vorgaben'!$B$133</f>
        <v>Schleudestreuer 500-1'000 l</v>
      </c>
      <c r="CP39" s="323">
        <f>CP18</f>
        <v>4</v>
      </c>
      <c r="CQ39" s="363">
        <f>'Standard Vorgaben'!$C$133</f>
        <v>1</v>
      </c>
      <c r="CR39" s="169">
        <f>'Standard Vorgaben'!$D$133</f>
        <v>18</v>
      </c>
      <c r="CS39" s="93">
        <f>CP39*CQ39*CR39</f>
        <v>72</v>
      </c>
      <c r="CT39" s="484">
        <f>CS39/$CS$69</f>
        <v>1.7260390898113981E-3</v>
      </c>
      <c r="CU39" s="49"/>
      <c r="CV39" s="64" t="str">
        <f>'Standard Vorgaben'!$B$133</f>
        <v>Schleudestreuer 500-1'000 l</v>
      </c>
      <c r="CW39" s="323">
        <f>CW18</f>
        <v>4</v>
      </c>
      <c r="CX39" s="363">
        <f>'Standard Vorgaben'!$C$133</f>
        <v>1</v>
      </c>
      <c r="CY39" s="169">
        <f>'Standard Vorgaben'!$D$133</f>
        <v>18</v>
      </c>
      <c r="CZ39" s="93">
        <f>CW39*CX39*CY39</f>
        <v>72</v>
      </c>
      <c r="DA39" s="484">
        <f>CZ39/$CZ$69</f>
        <v>1.7269489721762096E-3</v>
      </c>
      <c r="DB39" s="49"/>
      <c r="DC39" s="64" t="str">
        <f>'Standard Vorgaben'!$B$133</f>
        <v>Schleudestreuer 500-1'000 l</v>
      </c>
      <c r="DD39" s="323">
        <f>DD18</f>
        <v>4</v>
      </c>
      <c r="DE39" s="363">
        <f>'Standard Vorgaben'!$C$133</f>
        <v>1</v>
      </c>
      <c r="DF39" s="169">
        <f>'Standard Vorgaben'!$D$133</f>
        <v>18</v>
      </c>
      <c r="DG39" s="93">
        <f>DD39*DE39*DF39</f>
        <v>72</v>
      </c>
      <c r="DH39" s="484">
        <f>DG39/$DG$69</f>
        <v>1.5103886612807677E-3</v>
      </c>
    </row>
    <row r="40" spans="1:256" x14ac:dyDescent="0.2">
      <c r="A40" s="64"/>
      <c r="B40" s="64" t="str">
        <f>'Standard Vorgaben'!$B$134</f>
        <v>Pneuwagen 2achsig (Ernte)</v>
      </c>
      <c r="C40" s="497">
        <f>'Standard Vorgaben'!$C$134</f>
        <v>0.1</v>
      </c>
      <c r="D40" s="363">
        <f>C40*C41</f>
        <v>0</v>
      </c>
      <c r="E40" s="169">
        <f>'Standard Vorgaben'!$D$134</f>
        <v>25</v>
      </c>
      <c r="F40" s="93">
        <f>D40*E40</f>
        <v>0</v>
      </c>
      <c r="G40" s="484">
        <f>F40/$F$69</f>
        <v>0</v>
      </c>
      <c r="H40" s="64"/>
      <c r="I40" s="64" t="str">
        <f>'Standard Vorgaben'!$B$134</f>
        <v>Pneuwagen 2achsig (Ernte)</v>
      </c>
      <c r="J40" s="497">
        <f>'Standard Vorgaben'!$C$134</f>
        <v>0.1</v>
      </c>
      <c r="K40" s="363">
        <f>J40*J41</f>
        <v>10</v>
      </c>
      <c r="L40" s="169">
        <f>'Standard Vorgaben'!$D$134</f>
        <v>25</v>
      </c>
      <c r="M40" s="93">
        <f>K40*L40</f>
        <v>250</v>
      </c>
      <c r="N40" s="671">
        <f>M40/$M$69</f>
        <v>1.8181271799565534E-2</v>
      </c>
      <c r="P40" s="64" t="str">
        <f>'Standard Vorgaben'!$B$134</f>
        <v>Pneuwagen 2achsig (Ernte)</v>
      </c>
      <c r="Q40" s="497">
        <f>'Standard Vorgaben'!$C$134</f>
        <v>0.1</v>
      </c>
      <c r="R40" s="363">
        <f>Q40*Q41</f>
        <v>15</v>
      </c>
      <c r="S40" s="169">
        <f>'Standard Vorgaben'!$D$134</f>
        <v>25</v>
      </c>
      <c r="T40" s="93">
        <f>R40*S40</f>
        <v>375</v>
      </c>
      <c r="U40" s="484">
        <f>T40/$T$69</f>
        <v>1.8455631811719792E-2</v>
      </c>
      <c r="W40" s="64" t="str">
        <f>'Standard Vorgaben'!$B$134</f>
        <v>Pneuwagen 2achsig (Ernte)</v>
      </c>
      <c r="X40" s="497">
        <f>'Standard Vorgaben'!$C$134</f>
        <v>0.1</v>
      </c>
      <c r="Y40" s="363">
        <f>X40*X41</f>
        <v>25</v>
      </c>
      <c r="Z40" s="169">
        <f>'Standard Vorgaben'!$D$134</f>
        <v>25</v>
      </c>
      <c r="AA40" s="93">
        <f>Y40*Z40</f>
        <v>625</v>
      </c>
      <c r="AB40" s="484">
        <f>AA40/$AA$69</f>
        <v>2.5853637533042383E-2</v>
      </c>
      <c r="AD40" s="64" t="str">
        <f>'Standard Vorgaben'!$B$134</f>
        <v>Pneuwagen 2achsig (Ernte)</v>
      </c>
      <c r="AE40" s="497">
        <f>'Standard Vorgaben'!$C$134</f>
        <v>0.1</v>
      </c>
      <c r="AF40" s="363">
        <f>AE40*AE41</f>
        <v>45</v>
      </c>
      <c r="AG40" s="169">
        <f>'Standard Vorgaben'!$D$134</f>
        <v>25</v>
      </c>
      <c r="AH40" s="93">
        <f>AF40*AG40</f>
        <v>1125</v>
      </c>
      <c r="AI40" s="484">
        <f>AH40/$AH$69</f>
        <v>3.2239733976091707E-2</v>
      </c>
      <c r="AK40" s="64" t="str">
        <f>'Standard Vorgaben'!$B$134</f>
        <v>Pneuwagen 2achsig (Ernte)</v>
      </c>
      <c r="AL40" s="497">
        <f>'Standard Vorgaben'!$C$134</f>
        <v>0.1</v>
      </c>
      <c r="AM40" s="363">
        <f>AL40*AL41</f>
        <v>55</v>
      </c>
      <c r="AN40" s="169">
        <f>'Standard Vorgaben'!$D$134</f>
        <v>25</v>
      </c>
      <c r="AO40" s="93">
        <f>AM40*AN40</f>
        <v>1375</v>
      </c>
      <c r="AP40" s="484">
        <f>AO40/$AO$69</f>
        <v>3.5814090437653684E-2</v>
      </c>
      <c r="AR40" s="64" t="str">
        <f>'Standard Vorgaben'!$B$134</f>
        <v>Pneuwagen 2achsig (Ernte)</v>
      </c>
      <c r="AS40" s="497">
        <f>'Standard Vorgaben'!$C$134</f>
        <v>0.1</v>
      </c>
      <c r="AT40" s="363">
        <f>AS40*AS41</f>
        <v>65</v>
      </c>
      <c r="AU40" s="169">
        <f>'Standard Vorgaben'!$D$134</f>
        <v>25</v>
      </c>
      <c r="AV40" s="93">
        <f>AT40*AU40</f>
        <v>1625</v>
      </c>
      <c r="AW40" s="484">
        <f>AV40/$AV$69</f>
        <v>3.8817597606610389E-2</v>
      </c>
      <c r="AY40" s="64" t="str">
        <f>'Standard Vorgaben'!$B$134</f>
        <v>Pneuwagen 2achsig (Ernte)</v>
      </c>
      <c r="AZ40" s="497">
        <f>'Standard Vorgaben'!$C$134</f>
        <v>0.1</v>
      </c>
      <c r="BA40" s="363">
        <f>AZ40*AZ41</f>
        <v>65</v>
      </c>
      <c r="BB40" s="169">
        <f>'Standard Vorgaben'!$D$134</f>
        <v>25</v>
      </c>
      <c r="BC40" s="93">
        <f>BA40*BB40</f>
        <v>1625</v>
      </c>
      <c r="BD40" s="484">
        <f>BC40/$BC$69</f>
        <v>3.8836747554154366E-2</v>
      </c>
      <c r="BF40" s="64" t="str">
        <f>'Standard Vorgaben'!$B$134</f>
        <v>Pneuwagen 2achsig (Ernte)</v>
      </c>
      <c r="BG40" s="497">
        <f>'Standard Vorgaben'!$C$134</f>
        <v>0.1</v>
      </c>
      <c r="BH40" s="363">
        <f>BG40*BG41</f>
        <v>65</v>
      </c>
      <c r="BI40" s="169">
        <f>'Standard Vorgaben'!$D$134</f>
        <v>25</v>
      </c>
      <c r="BJ40" s="93">
        <f>BH40*BI40</f>
        <v>1625</v>
      </c>
      <c r="BK40" s="484">
        <f>BJ40/$BJ$69</f>
        <v>3.8856089011153679E-2</v>
      </c>
      <c r="BM40" s="64" t="str">
        <f>'Standard Vorgaben'!$B$134</f>
        <v>Pneuwagen 2achsig (Ernte)</v>
      </c>
      <c r="BN40" s="497">
        <f>'Standard Vorgaben'!$C$134</f>
        <v>0.1</v>
      </c>
      <c r="BO40" s="363">
        <f>BN40*BN41</f>
        <v>65</v>
      </c>
      <c r="BP40" s="169">
        <f>'Standard Vorgaben'!$D$134</f>
        <v>25</v>
      </c>
      <c r="BQ40" s="93">
        <f>BO40*BP40</f>
        <v>1625</v>
      </c>
      <c r="BR40" s="484">
        <f>BQ40/$BQ$69</f>
        <v>3.8875624076783126E-2</v>
      </c>
      <c r="BT40" s="64" t="str">
        <f>'Standard Vorgaben'!$B$134</f>
        <v>Pneuwagen 2achsig (Ernte)</v>
      </c>
      <c r="BU40" s="497">
        <f>'Standard Vorgaben'!$C$134</f>
        <v>0.1</v>
      </c>
      <c r="BV40" s="363">
        <f>BU40*BU41</f>
        <v>65</v>
      </c>
      <c r="BW40" s="169">
        <f>'Standard Vorgaben'!$D$134</f>
        <v>25</v>
      </c>
      <c r="BX40" s="93">
        <f>BV40*BW40</f>
        <v>1625</v>
      </c>
      <c r="BY40" s="484">
        <f>BX40/$BX$69</f>
        <v>3.8895354876755557E-2</v>
      </c>
      <c r="CA40" s="64" t="str">
        <f>'Standard Vorgaben'!$B$134</f>
        <v>Pneuwagen 2achsig (Ernte)</v>
      </c>
      <c r="CB40" s="497">
        <f>'Standard Vorgaben'!$C$134</f>
        <v>0.1</v>
      </c>
      <c r="CC40" s="363">
        <f>CB40*CB41</f>
        <v>65</v>
      </c>
      <c r="CD40" s="169">
        <f>'Standard Vorgaben'!$D$134</f>
        <v>25</v>
      </c>
      <c r="CE40" s="93">
        <f>CC40*CD40</f>
        <v>1625</v>
      </c>
      <c r="CF40" s="484">
        <f>CE40/$CE$69</f>
        <v>3.8915283563724513E-2</v>
      </c>
      <c r="CH40" s="64" t="str">
        <f>'Standard Vorgaben'!$B$134</f>
        <v>Pneuwagen 2achsig (Ernte)</v>
      </c>
      <c r="CI40" s="497">
        <f>'Standard Vorgaben'!$C$134</f>
        <v>0.1</v>
      </c>
      <c r="CJ40" s="363">
        <f>CI40*CI41</f>
        <v>65</v>
      </c>
      <c r="CK40" s="169">
        <f>'Standard Vorgaben'!$D$134</f>
        <v>25</v>
      </c>
      <c r="CL40" s="93">
        <f>CJ40*CK40</f>
        <v>1625</v>
      </c>
      <c r="CM40" s="484">
        <f>CL40/$CL$69</f>
        <v>3.8935412317694346E-2</v>
      </c>
      <c r="CO40" s="64" t="str">
        <f>'Standard Vorgaben'!$B$134</f>
        <v>Pneuwagen 2achsig (Ernte)</v>
      </c>
      <c r="CP40" s="497">
        <f>'Standard Vorgaben'!$C$134</f>
        <v>0.1</v>
      </c>
      <c r="CQ40" s="363">
        <f>CP40*CP41</f>
        <v>65</v>
      </c>
      <c r="CR40" s="169">
        <f>'Standard Vorgaben'!$D$134</f>
        <v>25</v>
      </c>
      <c r="CS40" s="93">
        <f>CQ40*CR40</f>
        <v>1625</v>
      </c>
      <c r="CT40" s="484">
        <f>CS40/$CS$69</f>
        <v>3.8955743346437803E-2</v>
      </c>
      <c r="CV40" s="64" t="str">
        <f>'Standard Vorgaben'!$B$134</f>
        <v>Pneuwagen 2achsig (Ernte)</v>
      </c>
      <c r="CW40" s="497">
        <f>'Standard Vorgaben'!$C$134</f>
        <v>0.1</v>
      </c>
      <c r="CX40" s="363">
        <f>CW40*CW41</f>
        <v>65</v>
      </c>
      <c r="CY40" s="169">
        <f>'Standard Vorgaben'!$D$134</f>
        <v>25</v>
      </c>
      <c r="CZ40" s="93">
        <f>CX40*CY40</f>
        <v>1625</v>
      </c>
      <c r="DA40" s="484">
        <f>CZ40/$CZ$69</f>
        <v>3.8976278885921395E-2</v>
      </c>
      <c r="DC40" s="64" t="str">
        <f>'Standard Vorgaben'!$B$134</f>
        <v>Pneuwagen 2achsig (Ernte)</v>
      </c>
      <c r="DD40" s="497">
        <f>'Standard Vorgaben'!$C$134</f>
        <v>0.1</v>
      </c>
      <c r="DE40" s="363">
        <f>DD40*DD41</f>
        <v>65</v>
      </c>
      <c r="DF40" s="169">
        <f>'Standard Vorgaben'!$D$134</f>
        <v>25</v>
      </c>
      <c r="DG40" s="93">
        <f>DE40*DF40</f>
        <v>1625</v>
      </c>
      <c r="DH40" s="484">
        <f>DG40/$DG$69</f>
        <v>3.4088632980295103E-2</v>
      </c>
    </row>
    <row r="41" spans="1:256" x14ac:dyDescent="0.2">
      <c r="B41" s="498" t="s">
        <v>158</v>
      </c>
      <c r="C41" s="326">
        <f>D62</f>
        <v>0</v>
      </c>
      <c r="D41" s="73"/>
      <c r="E41" s="499"/>
      <c r="F41" s="93"/>
      <c r="G41" s="484"/>
      <c r="H41" s="49"/>
      <c r="I41" s="498" t="s">
        <v>158</v>
      </c>
      <c r="J41" s="326">
        <f>K62</f>
        <v>100</v>
      </c>
      <c r="K41" s="73"/>
      <c r="L41" s="499"/>
      <c r="M41" s="93"/>
      <c r="N41" s="484"/>
      <c r="O41" s="49"/>
      <c r="P41" s="498" t="s">
        <v>158</v>
      </c>
      <c r="Q41" s="326">
        <f>R62</f>
        <v>150</v>
      </c>
      <c r="R41" s="73"/>
      <c r="S41" s="499"/>
      <c r="T41" s="93"/>
      <c r="U41" s="484"/>
      <c r="V41" s="49"/>
      <c r="W41" s="498" t="s">
        <v>158</v>
      </c>
      <c r="X41" s="326">
        <f>Y62</f>
        <v>250</v>
      </c>
      <c r="Y41" s="73"/>
      <c r="Z41" s="499"/>
      <c r="AA41" s="93"/>
      <c r="AB41" s="484"/>
      <c r="AC41" s="49"/>
      <c r="AD41" s="498" t="s">
        <v>158</v>
      </c>
      <c r="AE41" s="326">
        <f>AF62</f>
        <v>450</v>
      </c>
      <c r="AF41" s="73"/>
      <c r="AG41" s="499"/>
      <c r="AH41" s="93"/>
      <c r="AI41" s="484"/>
      <c r="AJ41" s="49"/>
      <c r="AK41" s="498" t="s">
        <v>158</v>
      </c>
      <c r="AL41" s="326">
        <f>AM62</f>
        <v>550</v>
      </c>
      <c r="AM41" s="73"/>
      <c r="AN41" s="499"/>
      <c r="AO41" s="93"/>
      <c r="AP41" s="484"/>
      <c r="AQ41" s="49"/>
      <c r="AR41" s="498" t="s">
        <v>158</v>
      </c>
      <c r="AS41" s="326">
        <f>AT62</f>
        <v>650</v>
      </c>
      <c r="AT41" s="73"/>
      <c r="AU41" s="499"/>
      <c r="AV41" s="93"/>
      <c r="AW41" s="484"/>
      <c r="AX41" s="49"/>
      <c r="AY41" s="498" t="s">
        <v>158</v>
      </c>
      <c r="AZ41" s="326">
        <f>BA62</f>
        <v>650</v>
      </c>
      <c r="BA41" s="73"/>
      <c r="BB41" s="499"/>
      <c r="BC41" s="93"/>
      <c r="BD41" s="484"/>
      <c r="BE41" s="49"/>
      <c r="BF41" s="498" t="s">
        <v>158</v>
      </c>
      <c r="BG41" s="326">
        <f>BH62</f>
        <v>650</v>
      </c>
      <c r="BH41" s="73"/>
      <c r="BI41" s="499"/>
      <c r="BJ41" s="93"/>
      <c r="BK41" s="484"/>
      <c r="BL41" s="49"/>
      <c r="BM41" s="498" t="s">
        <v>158</v>
      </c>
      <c r="BN41" s="326">
        <f>BO62</f>
        <v>650</v>
      </c>
      <c r="BO41" s="73"/>
      <c r="BP41" s="499"/>
      <c r="BQ41" s="93"/>
      <c r="BR41" s="484"/>
      <c r="BS41" s="49"/>
      <c r="BT41" s="498" t="s">
        <v>158</v>
      </c>
      <c r="BU41" s="326">
        <f>BV62</f>
        <v>650</v>
      </c>
      <c r="BV41" s="73"/>
      <c r="BW41" s="499"/>
      <c r="BX41" s="93"/>
      <c r="BY41" s="484"/>
      <c r="BZ41" s="49"/>
      <c r="CA41" s="498" t="s">
        <v>158</v>
      </c>
      <c r="CB41" s="326">
        <f>CC62</f>
        <v>650</v>
      </c>
      <c r="CC41" s="73"/>
      <c r="CD41" s="499"/>
      <c r="CE41" s="93"/>
      <c r="CF41" s="484"/>
      <c r="CG41" s="49"/>
      <c r="CH41" s="498" t="s">
        <v>158</v>
      </c>
      <c r="CI41" s="326">
        <f>CJ62</f>
        <v>650</v>
      </c>
      <c r="CJ41" s="73"/>
      <c r="CK41" s="499"/>
      <c r="CL41" s="93"/>
      <c r="CM41" s="484"/>
      <c r="CN41" s="49"/>
      <c r="CO41" s="498" t="s">
        <v>158</v>
      </c>
      <c r="CP41" s="326">
        <f>CQ62</f>
        <v>650</v>
      </c>
      <c r="CQ41" s="73"/>
      <c r="CR41" s="499"/>
      <c r="CS41" s="93"/>
      <c r="CT41" s="484"/>
      <c r="CU41" s="49"/>
      <c r="CV41" s="498" t="s">
        <v>158</v>
      </c>
      <c r="CW41" s="326">
        <f>CX62</f>
        <v>650</v>
      </c>
      <c r="CX41" s="73"/>
      <c r="CY41" s="499"/>
      <c r="CZ41" s="93"/>
      <c r="DA41" s="484"/>
      <c r="DB41" s="49"/>
      <c r="DC41" s="498" t="s">
        <v>158</v>
      </c>
      <c r="DD41" s="326">
        <f>DE62</f>
        <v>650</v>
      </c>
      <c r="DE41" s="73"/>
      <c r="DF41" s="499"/>
      <c r="DG41" s="93"/>
      <c r="DH41" s="484"/>
    </row>
    <row r="42" spans="1:256" x14ac:dyDescent="0.2">
      <c r="B42" s="64" t="str">
        <f>'Standard Vorgaben'!$B$135</f>
        <v>Mulchgerät  ohne Schwenkarm</v>
      </c>
      <c r="C42" s="323">
        <f>'Standard Vorgaben'!$E$135</f>
        <v>0</v>
      </c>
      <c r="D42" s="500">
        <f>'Standard Vorgaben'!$C$135</f>
        <v>0.5</v>
      </c>
      <c r="E42" s="169">
        <f>'Standard Vorgaben'!$D$135</f>
        <v>42</v>
      </c>
      <c r="F42" s="93">
        <f>C42*D42*E42</f>
        <v>0</v>
      </c>
      <c r="G42" s="484">
        <f t="shared" ref="G42:G49" si="0">F42/$F$69</f>
        <v>0</v>
      </c>
      <c r="H42" s="49"/>
      <c r="I42" s="64" t="str">
        <f>'Standard Vorgaben'!$B$135</f>
        <v>Mulchgerät  ohne Schwenkarm</v>
      </c>
      <c r="J42" s="323">
        <f>'Standard Vorgaben'!$E$135</f>
        <v>0</v>
      </c>
      <c r="K42" s="500">
        <f>'Standard Vorgaben'!$C$135</f>
        <v>0.5</v>
      </c>
      <c r="L42" s="169">
        <f>'Standard Vorgaben'!$D$135</f>
        <v>42</v>
      </c>
      <c r="M42" s="93">
        <f>J42*K42*L42</f>
        <v>0</v>
      </c>
      <c r="N42" s="671">
        <f t="shared" ref="N42:N49" si="1">M42/$M$69</f>
        <v>0</v>
      </c>
      <c r="O42" s="49"/>
      <c r="P42" s="64" t="str">
        <f>'Standard Vorgaben'!$B$135</f>
        <v>Mulchgerät  ohne Schwenkarm</v>
      </c>
      <c r="Q42" s="323">
        <f>'Standard Vorgaben'!$E$135</f>
        <v>0</v>
      </c>
      <c r="R42" s="500">
        <f>'Standard Vorgaben'!$C$135</f>
        <v>0.5</v>
      </c>
      <c r="S42" s="169">
        <f>'Standard Vorgaben'!$D$135</f>
        <v>42</v>
      </c>
      <c r="T42" s="93">
        <f>Q42*R42*S42</f>
        <v>0</v>
      </c>
      <c r="U42" s="484">
        <f t="shared" ref="U42:U48" si="2">T42/$T$69</f>
        <v>0</v>
      </c>
      <c r="V42" s="49"/>
      <c r="W42" s="64" t="str">
        <f>'Standard Vorgaben'!$B$135</f>
        <v>Mulchgerät  ohne Schwenkarm</v>
      </c>
      <c r="X42" s="323">
        <f>'Standard Vorgaben'!$E$135</f>
        <v>0</v>
      </c>
      <c r="Y42" s="500">
        <f>'Standard Vorgaben'!$C$135</f>
        <v>0.5</v>
      </c>
      <c r="Z42" s="169">
        <f>'Standard Vorgaben'!$D$135</f>
        <v>42</v>
      </c>
      <c r="AA42" s="93">
        <f>X42*Y42*Z42</f>
        <v>0</v>
      </c>
      <c r="AB42" s="484">
        <f t="shared" ref="AB42:AB48" si="3">AA42/$AA$69</f>
        <v>0</v>
      </c>
      <c r="AC42" s="49"/>
      <c r="AD42" s="64" t="str">
        <f>'Standard Vorgaben'!$B$135</f>
        <v>Mulchgerät  ohne Schwenkarm</v>
      </c>
      <c r="AE42" s="323">
        <f>'Standard Vorgaben'!$E$135</f>
        <v>0</v>
      </c>
      <c r="AF42" s="500">
        <f>'Standard Vorgaben'!$C$135</f>
        <v>0.5</v>
      </c>
      <c r="AG42" s="169">
        <f>'Standard Vorgaben'!$D$135</f>
        <v>42</v>
      </c>
      <c r="AH42" s="93">
        <f>AE42*AF42*AG42</f>
        <v>0</v>
      </c>
      <c r="AI42" s="484">
        <f t="shared" ref="AI42:AI49" si="4">AH42/$AH$69</f>
        <v>0</v>
      </c>
      <c r="AJ42" s="49"/>
      <c r="AK42" s="64" t="str">
        <f>'Standard Vorgaben'!$B$135</f>
        <v>Mulchgerät  ohne Schwenkarm</v>
      </c>
      <c r="AL42" s="323">
        <f>'Standard Vorgaben'!$E$135</f>
        <v>0</v>
      </c>
      <c r="AM42" s="500">
        <f>'Standard Vorgaben'!$C$135</f>
        <v>0.5</v>
      </c>
      <c r="AN42" s="169">
        <f>'Standard Vorgaben'!$D$135</f>
        <v>42</v>
      </c>
      <c r="AO42" s="93">
        <f>AL42*AM42*AN42</f>
        <v>0</v>
      </c>
      <c r="AP42" s="484">
        <f t="shared" ref="AP42:AP49" si="5">AO42/$AO$69</f>
        <v>0</v>
      </c>
      <c r="AQ42" s="49"/>
      <c r="AR42" s="64" t="str">
        <f>'Standard Vorgaben'!$B$135</f>
        <v>Mulchgerät  ohne Schwenkarm</v>
      </c>
      <c r="AS42" s="323">
        <f>'Standard Vorgaben'!$E$135</f>
        <v>0</v>
      </c>
      <c r="AT42" s="500">
        <f>'Standard Vorgaben'!$C$135</f>
        <v>0.5</v>
      </c>
      <c r="AU42" s="169">
        <f>'Standard Vorgaben'!$D$135</f>
        <v>42</v>
      </c>
      <c r="AV42" s="93">
        <f>AS42*AT42*AU42</f>
        <v>0</v>
      </c>
      <c r="AW42" s="484">
        <f t="shared" ref="AW42:AW49" si="6">AV42/$AV$69</f>
        <v>0</v>
      </c>
      <c r="AX42" s="49"/>
      <c r="AY42" s="64" t="str">
        <f>'Standard Vorgaben'!$B$135</f>
        <v>Mulchgerät  ohne Schwenkarm</v>
      </c>
      <c r="AZ42" s="323">
        <f>'Standard Vorgaben'!$E$135</f>
        <v>0</v>
      </c>
      <c r="BA42" s="500">
        <f>'Standard Vorgaben'!$C$135</f>
        <v>0.5</v>
      </c>
      <c r="BB42" s="169">
        <f>'Standard Vorgaben'!$D$135</f>
        <v>42</v>
      </c>
      <c r="BC42" s="93">
        <f>AZ42*BA42*BB42</f>
        <v>0</v>
      </c>
      <c r="BD42" s="484">
        <f t="shared" ref="BD42:BD49" si="7">BC42/$BC$69</f>
        <v>0</v>
      </c>
      <c r="BE42" s="49"/>
      <c r="BF42" s="64" t="str">
        <f>'Standard Vorgaben'!$B$135</f>
        <v>Mulchgerät  ohne Schwenkarm</v>
      </c>
      <c r="BG42" s="323">
        <f>'Standard Vorgaben'!$E$135</f>
        <v>0</v>
      </c>
      <c r="BH42" s="500">
        <f>'Standard Vorgaben'!$C$135</f>
        <v>0.5</v>
      </c>
      <c r="BI42" s="169">
        <f>'Standard Vorgaben'!$D$135</f>
        <v>42</v>
      </c>
      <c r="BJ42" s="93">
        <f>BG42*BH42*BI42</f>
        <v>0</v>
      </c>
      <c r="BK42" s="484">
        <f t="shared" ref="BK42:BK49" si="8">BJ42/$BJ$69</f>
        <v>0</v>
      </c>
      <c r="BL42" s="49"/>
      <c r="BM42" s="64" t="str">
        <f>'Standard Vorgaben'!$B$135</f>
        <v>Mulchgerät  ohne Schwenkarm</v>
      </c>
      <c r="BN42" s="323">
        <f>'Standard Vorgaben'!$E$135</f>
        <v>0</v>
      </c>
      <c r="BO42" s="500">
        <f>'Standard Vorgaben'!$C$135</f>
        <v>0.5</v>
      </c>
      <c r="BP42" s="169">
        <f>'Standard Vorgaben'!$D$135</f>
        <v>42</v>
      </c>
      <c r="BQ42" s="93">
        <f>BN42*BO42*BP42</f>
        <v>0</v>
      </c>
      <c r="BR42" s="484">
        <f t="shared" ref="BR42:BR49" si="9">BQ42/$BQ$69</f>
        <v>0</v>
      </c>
      <c r="BS42" s="49"/>
      <c r="BT42" s="64" t="str">
        <f>'Standard Vorgaben'!$B$135</f>
        <v>Mulchgerät  ohne Schwenkarm</v>
      </c>
      <c r="BU42" s="323">
        <f>'Standard Vorgaben'!$E$135</f>
        <v>0</v>
      </c>
      <c r="BV42" s="500">
        <f>'Standard Vorgaben'!$C$135</f>
        <v>0.5</v>
      </c>
      <c r="BW42" s="169">
        <f>'Standard Vorgaben'!$D$135</f>
        <v>42</v>
      </c>
      <c r="BX42" s="93">
        <f>BU42*BV42*BW42</f>
        <v>0</v>
      </c>
      <c r="BY42" s="484">
        <f t="shared" ref="BY42:BY49" si="10">BX42/$BX$69</f>
        <v>0</v>
      </c>
      <c r="BZ42" s="49"/>
      <c r="CA42" s="64" t="str">
        <f>'Standard Vorgaben'!$B$135</f>
        <v>Mulchgerät  ohne Schwenkarm</v>
      </c>
      <c r="CB42" s="323">
        <f>'Standard Vorgaben'!$E$135</f>
        <v>0</v>
      </c>
      <c r="CC42" s="500">
        <f>'Standard Vorgaben'!$C$135</f>
        <v>0.5</v>
      </c>
      <c r="CD42" s="169">
        <f>'Standard Vorgaben'!$D$135</f>
        <v>42</v>
      </c>
      <c r="CE42" s="93">
        <f>CB42*CC42*CD42</f>
        <v>0</v>
      </c>
      <c r="CF42" s="484">
        <f t="shared" ref="CF42:CF49" si="11">CE42/$CE$69</f>
        <v>0</v>
      </c>
      <c r="CG42" s="49"/>
      <c r="CH42" s="64" t="str">
        <f>'Standard Vorgaben'!$B$135</f>
        <v>Mulchgerät  ohne Schwenkarm</v>
      </c>
      <c r="CI42" s="323">
        <f>'Standard Vorgaben'!$E$135</f>
        <v>0</v>
      </c>
      <c r="CJ42" s="500">
        <f>'Standard Vorgaben'!$C$135</f>
        <v>0.5</v>
      </c>
      <c r="CK42" s="169">
        <f>'Standard Vorgaben'!$D$135</f>
        <v>42</v>
      </c>
      <c r="CL42" s="93">
        <f>CI42*CJ42*CK42</f>
        <v>0</v>
      </c>
      <c r="CM42" s="484">
        <f t="shared" ref="CM42:CM49" si="12">CL42/$CL$69</f>
        <v>0</v>
      </c>
      <c r="CN42" s="49"/>
      <c r="CO42" s="64" t="str">
        <f>'Standard Vorgaben'!$B$135</f>
        <v>Mulchgerät  ohne Schwenkarm</v>
      </c>
      <c r="CP42" s="323">
        <f>'Standard Vorgaben'!$E$135</f>
        <v>0</v>
      </c>
      <c r="CQ42" s="500">
        <f>'Standard Vorgaben'!$C$135</f>
        <v>0.5</v>
      </c>
      <c r="CR42" s="169">
        <f>'Standard Vorgaben'!$D$135</f>
        <v>42</v>
      </c>
      <c r="CS42" s="93">
        <f>CP42*CQ42*CR42</f>
        <v>0</v>
      </c>
      <c r="CT42" s="484">
        <f t="shared" ref="CT42:CT49" si="13">CS42/$CS$69</f>
        <v>0</v>
      </c>
      <c r="CU42" s="49"/>
      <c r="CV42" s="64" t="str">
        <f>'Standard Vorgaben'!$B$135</f>
        <v>Mulchgerät  ohne Schwenkarm</v>
      </c>
      <c r="CW42" s="323">
        <f>'Standard Vorgaben'!$E$135</f>
        <v>0</v>
      </c>
      <c r="CX42" s="500">
        <f>'Standard Vorgaben'!$C$135</f>
        <v>0.5</v>
      </c>
      <c r="CY42" s="169">
        <f>'Standard Vorgaben'!$D$135</f>
        <v>42</v>
      </c>
      <c r="CZ42" s="93">
        <f>CW42*CX42*CY42</f>
        <v>0</v>
      </c>
      <c r="DA42" s="484">
        <f t="shared" ref="DA42:DA49" si="14">CZ42/$CZ$69</f>
        <v>0</v>
      </c>
      <c r="DB42" s="49"/>
      <c r="DC42" s="64" t="str">
        <f>'Standard Vorgaben'!$B$135</f>
        <v>Mulchgerät  ohne Schwenkarm</v>
      </c>
      <c r="DD42" s="323">
        <f>'Standard Vorgaben'!$E$135</f>
        <v>0</v>
      </c>
      <c r="DE42" s="500">
        <f>'Standard Vorgaben'!$C$135</f>
        <v>0.5</v>
      </c>
      <c r="DF42" s="169">
        <f>'Standard Vorgaben'!$D$135</f>
        <v>42</v>
      </c>
      <c r="DG42" s="93">
        <f>DD42*DE42*DF42</f>
        <v>0</v>
      </c>
      <c r="DH42" s="484">
        <f t="shared" ref="DH42:DH49" si="15">DG42/$DG$69</f>
        <v>0</v>
      </c>
    </row>
    <row r="43" spans="1:256" ht="13.5" thickBot="1" x14ac:dyDescent="0.25">
      <c r="B43" s="64" t="str">
        <f>'Standard Vorgaben'!$B$136</f>
        <v>Schnittholzhacker</v>
      </c>
      <c r="C43" s="190">
        <v>0.2</v>
      </c>
      <c r="D43" s="659">
        <f>'Standard Vorgaben'!$C$136</f>
        <v>2</v>
      </c>
      <c r="E43" s="169">
        <f>'Standard Vorgaben'!$D$136</f>
        <v>68.3</v>
      </c>
      <c r="F43" s="658">
        <f>E43*D43*C43</f>
        <v>27.32</v>
      </c>
      <c r="G43" s="484">
        <f t="shared" si="0"/>
        <v>2.8875792154634599E-3</v>
      </c>
      <c r="H43" s="49"/>
      <c r="I43" s="64" t="str">
        <f>'Standard Vorgaben'!$B$136</f>
        <v>Schnittholzhacker</v>
      </c>
      <c r="J43" s="190">
        <v>0.2</v>
      </c>
      <c r="K43" s="659">
        <f>'Standard Vorgaben'!$C$136</f>
        <v>2</v>
      </c>
      <c r="L43" s="169">
        <f>'Standard Vorgaben'!$D$136</f>
        <v>68.3</v>
      </c>
      <c r="M43" s="658">
        <f>L43*K43*J43</f>
        <v>27.32</v>
      </c>
      <c r="N43" s="671">
        <f t="shared" si="1"/>
        <v>1.9868493822565217E-3</v>
      </c>
      <c r="O43" s="49"/>
      <c r="P43" s="64" t="str">
        <f>'Standard Vorgaben'!$B$136</f>
        <v>Schnittholzhacker</v>
      </c>
      <c r="Q43" s="190">
        <v>0.2</v>
      </c>
      <c r="R43" s="659">
        <f>'Standard Vorgaben'!$C$136</f>
        <v>2</v>
      </c>
      <c r="S43" s="169">
        <f>'Standard Vorgaben'!$D$136</f>
        <v>68.3</v>
      </c>
      <c r="T43" s="658">
        <f>S43*R43*Q43</f>
        <v>27.32</v>
      </c>
      <c r="U43" s="484">
        <f t="shared" si="2"/>
        <v>1.3445542962564926E-3</v>
      </c>
      <c r="V43" s="49"/>
      <c r="W43" s="64" t="str">
        <f>'Standard Vorgaben'!$B$136</f>
        <v>Schnittholzhacker</v>
      </c>
      <c r="X43" s="190">
        <v>0.2</v>
      </c>
      <c r="Y43" s="659">
        <f>'Standard Vorgaben'!$C$136</f>
        <v>2</v>
      </c>
      <c r="Z43" s="169">
        <f>'Standard Vorgaben'!$D$136</f>
        <v>68.3</v>
      </c>
      <c r="AA43" s="658">
        <f>Z43*Y43*X43</f>
        <v>27.32</v>
      </c>
      <c r="AB43" s="484">
        <f t="shared" si="3"/>
        <v>1.1301142038443487E-3</v>
      </c>
      <c r="AC43" s="49"/>
      <c r="AD43" s="64" t="str">
        <f>'Standard Vorgaben'!$B$136</f>
        <v>Schnittholzhacker</v>
      </c>
      <c r="AE43" s="190">
        <v>0.2</v>
      </c>
      <c r="AF43" s="659">
        <f>'Standard Vorgaben'!$C$136</f>
        <v>2</v>
      </c>
      <c r="AG43" s="169">
        <f>'Standard Vorgaben'!$D$136</f>
        <v>68.3</v>
      </c>
      <c r="AH43" s="658">
        <f>AG43*AF43*AE43</f>
        <v>27.32</v>
      </c>
      <c r="AI43" s="484">
        <f t="shared" si="4"/>
        <v>7.8292402864606713E-4</v>
      </c>
      <c r="AJ43" s="49"/>
      <c r="AK43" s="64" t="str">
        <f>'Standard Vorgaben'!$B$136</f>
        <v>Schnittholzhacker</v>
      </c>
      <c r="AL43" s="190">
        <v>0.2</v>
      </c>
      <c r="AM43" s="659">
        <f>'Standard Vorgaben'!$C$136</f>
        <v>2</v>
      </c>
      <c r="AN43" s="169">
        <f>'Standard Vorgaben'!$D$136</f>
        <v>68.3</v>
      </c>
      <c r="AO43" s="658">
        <f>AN43*AM43*AL43</f>
        <v>27.32</v>
      </c>
      <c r="AP43" s="484">
        <f t="shared" si="5"/>
        <v>7.1159341873214439E-4</v>
      </c>
      <c r="AQ43" s="49"/>
      <c r="AR43" s="64" t="str">
        <f>'Standard Vorgaben'!$B$136</f>
        <v>Schnittholzhacker</v>
      </c>
      <c r="AS43" s="190">
        <v>0.2</v>
      </c>
      <c r="AT43" s="659">
        <f>'Standard Vorgaben'!$C$136</f>
        <v>2</v>
      </c>
      <c r="AU43" s="169">
        <f>'Standard Vorgaben'!$D$136</f>
        <v>68.3</v>
      </c>
      <c r="AV43" s="658">
        <f>AU43*AT43*AS43</f>
        <v>27.32</v>
      </c>
      <c r="AW43" s="484">
        <f t="shared" si="6"/>
        <v>6.5261339483852052E-4</v>
      </c>
      <c r="AX43" s="49"/>
      <c r="AY43" s="64" t="str">
        <f>'Standard Vorgaben'!$B$136</f>
        <v>Schnittholzhacker</v>
      </c>
      <c r="AZ43" s="190">
        <v>0.2</v>
      </c>
      <c r="BA43" s="659">
        <f>'Standard Vorgaben'!$C$136</f>
        <v>2</v>
      </c>
      <c r="BB43" s="169">
        <f>'Standard Vorgaben'!$D$136</f>
        <v>68.3</v>
      </c>
      <c r="BC43" s="658">
        <f>BB43*BA43*AZ43</f>
        <v>27.32</v>
      </c>
      <c r="BD43" s="484">
        <f t="shared" si="7"/>
        <v>6.5293534964892136E-4</v>
      </c>
      <c r="BE43" s="49"/>
      <c r="BF43" s="64" t="str">
        <f>'Standard Vorgaben'!$B$136</f>
        <v>Schnittholzhacker</v>
      </c>
      <c r="BG43" s="190">
        <v>0.2</v>
      </c>
      <c r="BH43" s="659">
        <f>'Standard Vorgaben'!$C$136</f>
        <v>2</v>
      </c>
      <c r="BI43" s="169">
        <f>'Standard Vorgaben'!$D$136</f>
        <v>68.3</v>
      </c>
      <c r="BJ43" s="658">
        <f>BI43*BH43*BG43</f>
        <v>27.32</v>
      </c>
      <c r="BK43" s="484">
        <f t="shared" si="8"/>
        <v>6.5326052417521139E-4</v>
      </c>
      <c r="BL43" s="49"/>
      <c r="BM43" s="64" t="str">
        <f>'Standard Vorgaben'!$B$136</f>
        <v>Schnittholzhacker</v>
      </c>
      <c r="BN43" s="190">
        <v>0.2</v>
      </c>
      <c r="BO43" s="659">
        <f>'Standard Vorgaben'!$C$136</f>
        <v>2</v>
      </c>
      <c r="BP43" s="169">
        <f>'Standard Vorgaben'!$D$136</f>
        <v>68.3</v>
      </c>
      <c r="BQ43" s="658">
        <f>BP43*BO43*BN43</f>
        <v>27.32</v>
      </c>
      <c r="BR43" s="484">
        <f t="shared" si="9"/>
        <v>6.5358895370936298E-4</v>
      </c>
      <c r="BS43" s="49"/>
      <c r="BT43" s="64" t="str">
        <f>'Standard Vorgaben'!$B$136</f>
        <v>Schnittholzhacker</v>
      </c>
      <c r="BU43" s="190">
        <v>0.2</v>
      </c>
      <c r="BV43" s="659">
        <f>'Standard Vorgaben'!$C$136</f>
        <v>2</v>
      </c>
      <c r="BW43" s="169">
        <f>'Standard Vorgaben'!$D$136</f>
        <v>68.3</v>
      </c>
      <c r="BX43" s="658">
        <f>BW43*BV43*BU43</f>
        <v>27.32</v>
      </c>
      <c r="BY43" s="484">
        <f t="shared" si="10"/>
        <v>6.5392067398951492E-4</v>
      </c>
      <c r="BZ43" s="49"/>
      <c r="CA43" s="64" t="str">
        <f>'Standard Vorgaben'!$B$136</f>
        <v>Schnittholzhacker</v>
      </c>
      <c r="CB43" s="190">
        <v>0.2</v>
      </c>
      <c r="CC43" s="659">
        <f>'Standard Vorgaben'!$C$136</f>
        <v>2</v>
      </c>
      <c r="CD43" s="169">
        <f>'Standard Vorgaben'!$D$136</f>
        <v>68.3</v>
      </c>
      <c r="CE43" s="658">
        <f>CD43*CC43*CB43</f>
        <v>27.32</v>
      </c>
      <c r="CF43" s="484">
        <f t="shared" si="11"/>
        <v>6.5425572120674077E-4</v>
      </c>
      <c r="CG43" s="49"/>
      <c r="CH43" s="64" t="str">
        <f>'Standard Vorgaben'!$B$136</f>
        <v>Schnittholzhacker</v>
      </c>
      <c r="CI43" s="190">
        <v>0.2</v>
      </c>
      <c r="CJ43" s="659">
        <f>'Standard Vorgaben'!$C$136</f>
        <v>2</v>
      </c>
      <c r="CK43" s="169">
        <f>'Standard Vorgaben'!$D$136</f>
        <v>68.3</v>
      </c>
      <c r="CL43" s="658">
        <f>CK43*CJ43*CI43</f>
        <v>27.32</v>
      </c>
      <c r="CM43" s="484">
        <f t="shared" si="12"/>
        <v>6.5459413201194422E-4</v>
      </c>
      <c r="CN43" s="49"/>
      <c r="CO43" s="64" t="str">
        <f>'Standard Vorgaben'!$B$136</f>
        <v>Schnittholzhacker</v>
      </c>
      <c r="CP43" s="190">
        <v>0.2</v>
      </c>
      <c r="CQ43" s="659">
        <f>'Standard Vorgaben'!$C$136</f>
        <v>2</v>
      </c>
      <c r="CR43" s="169">
        <f>'Standard Vorgaben'!$D$136</f>
        <v>68.3</v>
      </c>
      <c r="CS43" s="658">
        <f>CR43*CQ43*CP43</f>
        <v>27.32</v>
      </c>
      <c r="CT43" s="484">
        <f t="shared" si="13"/>
        <v>6.5493594352288053E-4</v>
      </c>
      <c r="CU43" s="49"/>
      <c r="CV43" s="64" t="str">
        <f>'Standard Vorgaben'!$B$136</f>
        <v>Schnittholzhacker</v>
      </c>
      <c r="CW43" s="190">
        <v>0.2</v>
      </c>
      <c r="CX43" s="659">
        <f>'Standard Vorgaben'!$C$136</f>
        <v>2</v>
      </c>
      <c r="CY43" s="169">
        <f>'Standard Vorgaben'!$D$136</f>
        <v>68.3</v>
      </c>
      <c r="CZ43" s="658">
        <f>CY43*CX43*CW43</f>
        <v>27.32</v>
      </c>
      <c r="DA43" s="484">
        <f t="shared" si="14"/>
        <v>6.5528119333130622E-4</v>
      </c>
      <c r="DB43" s="49"/>
      <c r="DC43" s="64" t="str">
        <f>'Standard Vorgaben'!$B$136</f>
        <v>Schnittholzhacker</v>
      </c>
      <c r="DD43" s="190">
        <v>0.2</v>
      </c>
      <c r="DE43" s="659">
        <f>'Standard Vorgaben'!$C$136</f>
        <v>2</v>
      </c>
      <c r="DF43" s="169">
        <f>'Standard Vorgaben'!$D$136</f>
        <v>68.3</v>
      </c>
      <c r="DG43" s="658">
        <f>DF43*DE43*DD43</f>
        <v>27.32</v>
      </c>
      <c r="DH43" s="484">
        <f t="shared" si="15"/>
        <v>5.7310858647486912E-4</v>
      </c>
    </row>
    <row r="44" spans="1:256" ht="16.5" customHeight="1" x14ac:dyDescent="0.2">
      <c r="B44" s="64" t="s">
        <v>117</v>
      </c>
      <c r="C44" s="323"/>
      <c r="D44" s="362">
        <f>(C37*D37)+(C38*D38)+(C39*D39)+(D40)+(C42*D42)+(C43*D43)</f>
        <v>10.4</v>
      </c>
      <c r="E44" s="169"/>
      <c r="F44" s="93">
        <f>SUM(F37:F43)</f>
        <v>423.32</v>
      </c>
      <c r="G44" s="484">
        <f t="shared" si="0"/>
        <v>4.4742680581624887E-2</v>
      </c>
      <c r="H44" s="49"/>
      <c r="I44" s="64" t="s">
        <v>117</v>
      </c>
      <c r="J44" s="323"/>
      <c r="K44" s="362">
        <f>(J37*K37)+(J38*K38)+(J39*K39)+(K40)+(J42*K42)+(J43*K43)</f>
        <v>21.4</v>
      </c>
      <c r="L44" s="169"/>
      <c r="M44" s="93">
        <f>SUM(M37:M43)</f>
        <v>710.32</v>
      </c>
      <c r="N44" s="671">
        <f t="shared" si="1"/>
        <v>5.1658083938669566E-2</v>
      </c>
      <c r="O44" s="49"/>
      <c r="P44" s="64" t="s">
        <v>117</v>
      </c>
      <c r="Q44" s="323"/>
      <c r="R44" s="362">
        <f>(Q37*R37)+(Q38*R38)+(Q39*R39)+(R40)+(Q42*R42)+(Q43*R43)</f>
        <v>34.4</v>
      </c>
      <c r="S44" s="169"/>
      <c r="T44" s="93">
        <f>SUM(T37:T43)</f>
        <v>1195.32</v>
      </c>
      <c r="U44" s="484">
        <f t="shared" si="2"/>
        <v>5.8827695512493068E-2</v>
      </c>
      <c r="V44" s="49"/>
      <c r="W44" s="64" t="s">
        <v>117</v>
      </c>
      <c r="X44" s="323"/>
      <c r="Y44" s="362">
        <f>(X37*Y37)+(X38*Y38)+(X39*Y39)+(Y40)+(X42*Y42)+(X43*Y43)</f>
        <v>44.4</v>
      </c>
      <c r="Z44" s="169"/>
      <c r="AA44" s="93">
        <f>SUM(AA37:AA43)</f>
        <v>1445.32</v>
      </c>
      <c r="AB44" s="484">
        <f t="shared" si="3"/>
        <v>5.9786847038810903E-2</v>
      </c>
      <c r="AC44" s="49"/>
      <c r="AD44" s="64" t="s">
        <v>117</v>
      </c>
      <c r="AE44" s="323"/>
      <c r="AF44" s="362">
        <f>(AE37*AF37)+(AE38*AF38)+(AE39*AF39)+(AF40)+(AE42*AF42)+(AE43*AF43)</f>
        <v>66.400000000000006</v>
      </c>
      <c r="AG44" s="169"/>
      <c r="AH44" s="93">
        <f>SUM(AH37:AH43)</f>
        <v>1981.32</v>
      </c>
      <c r="AI44" s="484">
        <f t="shared" si="4"/>
        <v>5.6779759752453349E-2</v>
      </c>
      <c r="AJ44" s="49"/>
      <c r="AK44" s="64" t="s">
        <v>117</v>
      </c>
      <c r="AL44" s="323"/>
      <c r="AM44" s="362">
        <f>(AL37*AM37)+(AL38*AM38)+(AL39*AM39)+(AM40)+(AL42*AM42)+(AL43*AM43)</f>
        <v>76.400000000000006</v>
      </c>
      <c r="AN44" s="169"/>
      <c r="AO44" s="93">
        <f>SUM(AO37:AO43)</f>
        <v>2231.3200000000002</v>
      </c>
      <c r="AP44" s="484">
        <f t="shared" si="5"/>
        <v>5.8118324563887575E-2</v>
      </c>
      <c r="AQ44" s="49"/>
      <c r="AR44" s="64" t="s">
        <v>117</v>
      </c>
      <c r="AS44" s="323"/>
      <c r="AT44" s="362">
        <f>(AS37*AT37)+(AS38*AT38)+(AS39*AT39)+(AT40)+(AS42*AT42)+(AS43*AT43)</f>
        <v>86.4</v>
      </c>
      <c r="AU44" s="169"/>
      <c r="AV44" s="93">
        <f>SUM(AV37:AV43)</f>
        <v>2481.3200000000002</v>
      </c>
      <c r="AW44" s="484">
        <f t="shared" si="6"/>
        <v>5.927315771891354E-2</v>
      </c>
      <c r="AX44" s="49"/>
      <c r="AY44" s="64" t="s">
        <v>117</v>
      </c>
      <c r="AZ44" s="323"/>
      <c r="BA44" s="362">
        <f>(AZ37*BA37)+(AZ38*BA38)+(AZ39*BA39)+(BA40)+(AZ42*BA42)+(AZ43*BA43)</f>
        <v>86.4</v>
      </c>
      <c r="BB44" s="169"/>
      <c r="BC44" s="93">
        <f>SUM(BC37:BC43)</f>
        <v>2481.3200000000002</v>
      </c>
      <c r="BD44" s="484">
        <f t="shared" si="7"/>
        <v>5.9302399040661119E-2</v>
      </c>
      <c r="BE44" s="49"/>
      <c r="BF44" s="64" t="s">
        <v>117</v>
      </c>
      <c r="BG44" s="323"/>
      <c r="BH44" s="362">
        <f>(BG37*BH37)+(BG38*BH38)+(BG39*BH39)+(BH40)+(BG42*BH42)+(BG43*BH43)</f>
        <v>86.4</v>
      </c>
      <c r="BI44" s="169"/>
      <c r="BJ44" s="93">
        <f>SUM(BJ37:BJ43)</f>
        <v>2481.3200000000002</v>
      </c>
      <c r="BK44" s="484">
        <f t="shared" si="8"/>
        <v>5.9331932790865134E-2</v>
      </c>
      <c r="BL44" s="49"/>
      <c r="BM44" s="64" t="s">
        <v>117</v>
      </c>
      <c r="BN44" s="323"/>
      <c r="BO44" s="362">
        <f>(BN37*BO37)+(BN38*BO38)+(BN39*BO39)+(BO40)+(BN42*BO42)+(BN43*BO43)</f>
        <v>86.4</v>
      </c>
      <c r="BP44" s="169"/>
      <c r="BQ44" s="93">
        <f>SUM(BQ37:BQ43)</f>
        <v>2481.3200000000002</v>
      </c>
      <c r="BR44" s="484">
        <f t="shared" si="9"/>
        <v>5.9361762174894465E-2</v>
      </c>
      <c r="BS44" s="49"/>
      <c r="BT44" s="64" t="s">
        <v>117</v>
      </c>
      <c r="BU44" s="323"/>
      <c r="BV44" s="362">
        <f>(BU37*BV37)+(BU38*BV38)+(BU39*BV39)+(BV40)+(BU42*BV42)+(BU43*BV43)</f>
        <v>86.4</v>
      </c>
      <c r="BW44" s="169"/>
      <c r="BX44" s="93">
        <f>SUM(BX37:BX43)</f>
        <v>2481.3200000000002</v>
      </c>
      <c r="BY44" s="484">
        <f t="shared" si="10"/>
        <v>5.9391890438640675E-2</v>
      </c>
      <c r="BZ44" s="49"/>
      <c r="CA44" s="64" t="s">
        <v>117</v>
      </c>
      <c r="CB44" s="323"/>
      <c r="CC44" s="362">
        <f>(CB37*CC37)+(CB38*CC38)+(CB39*CC39)+(CC40)+(CB42*CC42)+(CB43*CC43)</f>
        <v>86.4</v>
      </c>
      <c r="CD44" s="169"/>
      <c r="CE44" s="93">
        <f>SUM(CE37:CE43)</f>
        <v>2481.3200000000002</v>
      </c>
      <c r="CF44" s="484">
        <f t="shared" si="11"/>
        <v>5.9422320869132877E-2</v>
      </c>
      <c r="CG44" s="49"/>
      <c r="CH44" s="64" t="s">
        <v>117</v>
      </c>
      <c r="CI44" s="323"/>
      <c r="CJ44" s="362">
        <f>(CI37*CJ37)+(CI38*CJ38)+(CI39*CJ39)+(CJ40)+(CI42*CJ42)+(CI43*CJ43)</f>
        <v>86.4</v>
      </c>
      <c r="CK44" s="169"/>
      <c r="CL44" s="93">
        <f>SUM(CL37:CL43)</f>
        <v>2481.3200000000002</v>
      </c>
      <c r="CM44" s="484">
        <f t="shared" si="12"/>
        <v>5.9453056795163897E-2</v>
      </c>
      <c r="CN44" s="49"/>
      <c r="CO44" s="64" t="s">
        <v>117</v>
      </c>
      <c r="CP44" s="323"/>
      <c r="CQ44" s="362">
        <f>(CP37*CQ37)+(CP38*CQ38)+(CP39*CQ39)+(CQ40)+(CP42*CQ42)+(CP43*CQ43)</f>
        <v>86.4</v>
      </c>
      <c r="CR44" s="169"/>
      <c r="CS44" s="93">
        <f>SUM(CS37:CS43)</f>
        <v>2481.3200000000002</v>
      </c>
      <c r="CT44" s="484">
        <f t="shared" si="13"/>
        <v>5.9484101587928037E-2</v>
      </c>
      <c r="CU44" s="49"/>
      <c r="CV44" s="64" t="s">
        <v>117</v>
      </c>
      <c r="CW44" s="323"/>
      <c r="CX44" s="362">
        <f>(CW37*CX37)+(CW38*CX38)+(CW39*CX39)+(CX40)+(CW42*CX42)+(CW43*CX43)</f>
        <v>86.4</v>
      </c>
      <c r="CY44" s="169"/>
      <c r="CZ44" s="93">
        <f>SUM(CZ37:CZ43)</f>
        <v>2481.3200000000002</v>
      </c>
      <c r="DA44" s="484">
        <f t="shared" si="14"/>
        <v>5.9515458661670455E-2</v>
      </c>
      <c r="DB44" s="49"/>
      <c r="DC44" s="64" t="s">
        <v>117</v>
      </c>
      <c r="DD44" s="323"/>
      <c r="DE44" s="362">
        <f>(DD37*DE37)+(DD38*DE38)+(DD39*DE39)+(DE40)+(DD42*DE42)+(DD43*DE43)</f>
        <v>86.4</v>
      </c>
      <c r="DF44" s="169"/>
      <c r="DG44" s="93">
        <f>SUM(DG37:DG43)</f>
        <v>2481.3200000000002</v>
      </c>
      <c r="DH44" s="484">
        <f t="shared" si="15"/>
        <v>5.2052188791794372E-2</v>
      </c>
    </row>
    <row r="45" spans="1:256" x14ac:dyDescent="0.2">
      <c r="A45" s="180"/>
      <c r="B45" s="49" t="str">
        <f>'Standard Vorgaben'!$B$129</f>
        <v>Obstbautraktor 4-Rad</v>
      </c>
      <c r="C45" s="323"/>
      <c r="D45" s="362">
        <f>D44</f>
        <v>10.4</v>
      </c>
      <c r="E45" s="169">
        <f>'Standard Vorgaben'!$D$129</f>
        <v>41</v>
      </c>
      <c r="F45" s="93">
        <f>D45*E45</f>
        <v>426.40000000000003</v>
      </c>
      <c r="G45" s="484">
        <f t="shared" si="0"/>
        <v>4.5068220258917255E-2</v>
      </c>
      <c r="H45" s="180"/>
      <c r="I45" s="49" t="str">
        <f>'Standard Vorgaben'!$B$129</f>
        <v>Obstbautraktor 4-Rad</v>
      </c>
      <c r="J45" s="323"/>
      <c r="K45" s="362">
        <f>K44</f>
        <v>21.4</v>
      </c>
      <c r="L45" s="169">
        <f>'Standard Vorgaben'!$D$129</f>
        <v>41</v>
      </c>
      <c r="M45" s="93">
        <f>K45*L45</f>
        <v>877.4</v>
      </c>
      <c r="N45" s="671">
        <f t="shared" si="1"/>
        <v>6.3808991507755208E-2</v>
      </c>
      <c r="O45" s="180"/>
      <c r="P45" s="49" t="str">
        <f>'Standard Vorgaben'!$B$129</f>
        <v>Obstbautraktor 4-Rad</v>
      </c>
      <c r="Q45" s="323"/>
      <c r="R45" s="362">
        <f>R44</f>
        <v>34.4</v>
      </c>
      <c r="S45" s="169">
        <f>'Standard Vorgaben'!$D$129</f>
        <v>41</v>
      </c>
      <c r="T45" s="93">
        <f>R45*S45</f>
        <v>1410.3999999999999</v>
      </c>
      <c r="U45" s="484">
        <f t="shared" si="2"/>
        <v>6.9412861619332245E-2</v>
      </c>
      <c r="V45" s="180"/>
      <c r="W45" s="49" t="str">
        <f>'Standard Vorgaben'!$B$129</f>
        <v>Obstbautraktor 4-Rad</v>
      </c>
      <c r="X45" s="323"/>
      <c r="Y45" s="362">
        <f>Y44</f>
        <v>44.4</v>
      </c>
      <c r="Z45" s="169">
        <f>'Standard Vorgaben'!$D$129</f>
        <v>41</v>
      </c>
      <c r="AA45" s="93">
        <f>Y45*Z45</f>
        <v>1820.3999999999999</v>
      </c>
      <c r="AB45" s="484">
        <f t="shared" si="3"/>
        <v>7.5302338824240561E-2</v>
      </c>
      <c r="AC45" s="180"/>
      <c r="AD45" s="49" t="str">
        <f>'Standard Vorgaben'!$B$129</f>
        <v>Obstbautraktor 4-Rad</v>
      </c>
      <c r="AE45" s="323"/>
      <c r="AF45" s="362">
        <f>AF44</f>
        <v>66.400000000000006</v>
      </c>
      <c r="AG45" s="169">
        <f>'Standard Vorgaben'!$D$129</f>
        <v>41</v>
      </c>
      <c r="AH45" s="93">
        <f>AF45*AG45</f>
        <v>2722.4</v>
      </c>
      <c r="AI45" s="484">
        <f t="shared" si="4"/>
        <v>7.801729046801073E-2</v>
      </c>
      <c r="AJ45" s="180"/>
      <c r="AK45" s="49" t="str">
        <f>'Standard Vorgaben'!$B$129</f>
        <v>Obstbautraktor 4-Rad</v>
      </c>
      <c r="AL45" s="323"/>
      <c r="AM45" s="362">
        <f>AM44</f>
        <v>76.400000000000006</v>
      </c>
      <c r="AN45" s="169">
        <f>'Standard Vorgaben'!$D$129</f>
        <v>41</v>
      </c>
      <c r="AO45" s="93">
        <f>AM45*AN45</f>
        <v>3132.4</v>
      </c>
      <c r="AP45" s="484">
        <f t="shared" si="5"/>
        <v>8.1588405008659201E-2</v>
      </c>
      <c r="AQ45" s="180"/>
      <c r="AR45" s="49" t="str">
        <f>'Standard Vorgaben'!$B$129</f>
        <v>Obstbautraktor 4-Rad</v>
      </c>
      <c r="AS45" s="323"/>
      <c r="AT45" s="362">
        <f>AT44</f>
        <v>86.4</v>
      </c>
      <c r="AU45" s="169">
        <f>'Standard Vorgaben'!$D$129</f>
        <v>41</v>
      </c>
      <c r="AV45" s="93">
        <f>AT45*AU45</f>
        <v>3542.4</v>
      </c>
      <c r="AW45" s="484">
        <f t="shared" si="6"/>
        <v>8.4619974007173318E-2</v>
      </c>
      <c r="AX45" s="180"/>
      <c r="AY45" s="49" t="str">
        <f>'Standard Vorgaben'!$B$129</f>
        <v>Obstbautraktor 4-Rad</v>
      </c>
      <c r="AZ45" s="323"/>
      <c r="BA45" s="362">
        <f>BA44</f>
        <v>86.4</v>
      </c>
      <c r="BB45" s="169">
        <f>'Standard Vorgaben'!$D$129</f>
        <v>41</v>
      </c>
      <c r="BC45" s="93">
        <f>BA45*BB45</f>
        <v>3542.4</v>
      </c>
      <c r="BD45" s="484">
        <f t="shared" si="7"/>
        <v>8.4661719714360872E-2</v>
      </c>
      <c r="BE45" s="180"/>
      <c r="BF45" s="49" t="str">
        <f>'Standard Vorgaben'!$B$129</f>
        <v>Obstbautraktor 4-Rad</v>
      </c>
      <c r="BG45" s="323"/>
      <c r="BH45" s="362">
        <f>BH44</f>
        <v>86.4</v>
      </c>
      <c r="BI45" s="169">
        <f>'Standard Vorgaben'!$D$129</f>
        <v>41</v>
      </c>
      <c r="BJ45" s="93">
        <f>BH45*BI45</f>
        <v>3542.4</v>
      </c>
      <c r="BK45" s="484">
        <f t="shared" si="8"/>
        <v>8.4703882900375865E-2</v>
      </c>
      <c r="BL45" s="180"/>
      <c r="BM45" s="49" t="str">
        <f>'Standard Vorgaben'!$B$129</f>
        <v>Obstbautraktor 4-Rad</v>
      </c>
      <c r="BN45" s="323"/>
      <c r="BO45" s="362">
        <f>BO44</f>
        <v>86.4</v>
      </c>
      <c r="BP45" s="169">
        <f>'Standard Vorgaben'!$D$129</f>
        <v>41</v>
      </c>
      <c r="BQ45" s="93">
        <f>BO45*BP45</f>
        <v>3542.4</v>
      </c>
      <c r="BR45" s="484">
        <f t="shared" si="9"/>
        <v>8.4746468141290179E-2</v>
      </c>
      <c r="BS45" s="180"/>
      <c r="BT45" s="49" t="str">
        <f>'Standard Vorgaben'!$B$129</f>
        <v>Obstbautraktor 4-Rad</v>
      </c>
      <c r="BU45" s="323"/>
      <c r="BV45" s="362">
        <f>BV44</f>
        <v>86.4</v>
      </c>
      <c r="BW45" s="169">
        <f>'Standard Vorgaben'!$D$129</f>
        <v>41</v>
      </c>
      <c r="BX45" s="93">
        <f>BV45*BW45</f>
        <v>3542.4</v>
      </c>
      <c r="BY45" s="484">
        <f t="shared" si="10"/>
        <v>8.4789480071027004E-2</v>
      </c>
      <c r="BZ45" s="180"/>
      <c r="CA45" s="49" t="str">
        <f>'Standard Vorgaben'!$B$129</f>
        <v>Obstbautraktor 4-Rad</v>
      </c>
      <c r="CB45" s="323"/>
      <c r="CC45" s="362">
        <f>CC44</f>
        <v>86.4</v>
      </c>
      <c r="CD45" s="169">
        <f>'Standard Vorgaben'!$D$129</f>
        <v>41</v>
      </c>
      <c r="CE45" s="93">
        <f>CC45*CD45</f>
        <v>3542.4</v>
      </c>
      <c r="CF45" s="484">
        <f t="shared" si="11"/>
        <v>8.4832923382238606E-2</v>
      </c>
      <c r="CG45" s="180"/>
      <c r="CH45" s="49" t="str">
        <f>'Standard Vorgaben'!$B$129</f>
        <v>Obstbautraktor 4-Rad</v>
      </c>
      <c r="CI45" s="323"/>
      <c r="CJ45" s="362">
        <f>CJ44</f>
        <v>86.4</v>
      </c>
      <c r="CK45" s="169">
        <f>'Standard Vorgaben'!$D$129</f>
        <v>41</v>
      </c>
      <c r="CL45" s="93">
        <f>CJ45*CK45</f>
        <v>3542.4</v>
      </c>
      <c r="CM45" s="484">
        <f t="shared" si="12"/>
        <v>8.4876802827200268E-2</v>
      </c>
      <c r="CN45" s="180"/>
      <c r="CO45" s="49" t="str">
        <f>'Standard Vorgaben'!$B$129</f>
        <v>Obstbautraktor 4-Rad</v>
      </c>
      <c r="CP45" s="323"/>
      <c r="CQ45" s="362">
        <f>CQ44</f>
        <v>86.4</v>
      </c>
      <c r="CR45" s="169">
        <f>'Standard Vorgaben'!$D$129</f>
        <v>41</v>
      </c>
      <c r="CS45" s="93">
        <f>CQ45*CR45</f>
        <v>3542.4</v>
      </c>
      <c r="CT45" s="484">
        <f t="shared" si="13"/>
        <v>8.4921123218720793E-2</v>
      </c>
      <c r="CU45" s="180"/>
      <c r="CV45" s="49" t="str">
        <f>'Standard Vorgaben'!$B$129</f>
        <v>Obstbautraktor 4-Rad</v>
      </c>
      <c r="CW45" s="323"/>
      <c r="CX45" s="362">
        <f>CX44</f>
        <v>86.4</v>
      </c>
      <c r="CY45" s="169">
        <f>'Standard Vorgaben'!$D$129</f>
        <v>41</v>
      </c>
      <c r="CZ45" s="93">
        <f>CX45*CY45</f>
        <v>3542.4</v>
      </c>
      <c r="DA45" s="484">
        <f t="shared" si="14"/>
        <v>8.4965889431069516E-2</v>
      </c>
      <c r="DB45" s="180"/>
      <c r="DC45" s="49" t="str">
        <f>'Standard Vorgaben'!$B$129</f>
        <v>Obstbautraktor 4-Rad</v>
      </c>
      <c r="DD45" s="323"/>
      <c r="DE45" s="362">
        <f>DE44</f>
        <v>86.4</v>
      </c>
      <c r="DF45" s="169">
        <f>'Standard Vorgaben'!$D$129</f>
        <v>41</v>
      </c>
      <c r="DG45" s="93">
        <f>DE45*DF45</f>
        <v>3542.4</v>
      </c>
      <c r="DH45" s="484">
        <f t="shared" si="15"/>
        <v>7.4311122135013771E-2</v>
      </c>
    </row>
    <row r="46" spans="1:256" s="73" customFormat="1" ht="12.75" customHeight="1" x14ac:dyDescent="0.2">
      <c r="A46" s="1371" t="s">
        <v>636</v>
      </c>
      <c r="B46" s="64" t="str">
        <f>'Standard Vorgaben'!$B$129</f>
        <v>Obstbautraktor 4-Rad</v>
      </c>
      <c r="C46" s="326">
        <f>IF('Standard Vorgaben'!$C$181=1,2,'Standard Vorgaben'!$C$177)</f>
        <v>0</v>
      </c>
      <c r="D46" s="1189">
        <v>10</v>
      </c>
      <c r="E46" s="169">
        <f>'Standard Vorgaben'!$D$129</f>
        <v>41</v>
      </c>
      <c r="F46" s="93">
        <f>D46*E46*C46</f>
        <v>0</v>
      </c>
      <c r="G46" s="484">
        <f t="shared" si="0"/>
        <v>0</v>
      </c>
      <c r="H46" s="1371" t="s">
        <v>636</v>
      </c>
      <c r="I46" s="64" t="str">
        <f>'Standard Vorgaben'!$B$129</f>
        <v>Obstbautraktor 4-Rad</v>
      </c>
      <c r="J46" s="326">
        <f>IF('Standard Vorgaben'!$C$181=1,2,'Standard Vorgaben'!$C$177)</f>
        <v>0</v>
      </c>
      <c r="K46" s="1189">
        <v>10</v>
      </c>
      <c r="L46" s="169">
        <f>'Standard Vorgaben'!$D$129</f>
        <v>41</v>
      </c>
      <c r="M46" s="93">
        <f>K46*L46*J46</f>
        <v>0</v>
      </c>
      <c r="N46" s="671">
        <f t="shared" si="1"/>
        <v>0</v>
      </c>
      <c r="O46" s="1371" t="s">
        <v>636</v>
      </c>
      <c r="P46" s="64" t="str">
        <f>'Standard Vorgaben'!$B$129</f>
        <v>Obstbautraktor 4-Rad</v>
      </c>
      <c r="Q46" s="326">
        <f>IF('Standard Vorgaben'!$C$181=1,2,'Standard Vorgaben'!$C$177)</f>
        <v>0</v>
      </c>
      <c r="R46" s="1189">
        <v>10</v>
      </c>
      <c r="S46" s="169">
        <f>'Standard Vorgaben'!$D$129</f>
        <v>41</v>
      </c>
      <c r="T46" s="93">
        <f>R46*S46*Q46</f>
        <v>0</v>
      </c>
      <c r="U46" s="484">
        <f t="shared" si="2"/>
        <v>0</v>
      </c>
      <c r="V46" s="1371" t="s">
        <v>636</v>
      </c>
      <c r="W46" s="64" t="str">
        <f>'Standard Vorgaben'!$B$129</f>
        <v>Obstbautraktor 4-Rad</v>
      </c>
      <c r="X46" s="326">
        <f>IF('Standard Vorgaben'!$C$181=1,2,'Standard Vorgaben'!$C$177)</f>
        <v>0</v>
      </c>
      <c r="Y46" s="1189">
        <v>10</v>
      </c>
      <c r="Z46" s="169">
        <f>'Standard Vorgaben'!$D$129</f>
        <v>41</v>
      </c>
      <c r="AA46" s="93">
        <f>Y46*Z46*X46</f>
        <v>0</v>
      </c>
      <c r="AB46" s="484">
        <f t="shared" si="3"/>
        <v>0</v>
      </c>
      <c r="AC46" s="1371" t="s">
        <v>636</v>
      </c>
      <c r="AD46" s="64" t="str">
        <f>'Standard Vorgaben'!$B$129</f>
        <v>Obstbautraktor 4-Rad</v>
      </c>
      <c r="AE46" s="326">
        <f>IF('Standard Vorgaben'!$C$181=1,2,'Standard Vorgaben'!$C$177)</f>
        <v>0</v>
      </c>
      <c r="AF46" s="1189">
        <v>10</v>
      </c>
      <c r="AG46" s="169">
        <f>'Standard Vorgaben'!$D$129</f>
        <v>41</v>
      </c>
      <c r="AH46" s="93">
        <f>AF46*AG46*AE46</f>
        <v>0</v>
      </c>
      <c r="AI46" s="484">
        <f t="shared" si="4"/>
        <v>0</v>
      </c>
      <c r="AJ46" s="1371" t="s">
        <v>636</v>
      </c>
      <c r="AK46" s="64" t="str">
        <f>'Standard Vorgaben'!$B$129</f>
        <v>Obstbautraktor 4-Rad</v>
      </c>
      <c r="AL46" s="326">
        <f>IF('Standard Vorgaben'!$C$181=1,2,'Standard Vorgaben'!$C$177)</f>
        <v>0</v>
      </c>
      <c r="AM46" s="1189">
        <v>10</v>
      </c>
      <c r="AN46" s="169">
        <f>'Standard Vorgaben'!$D$129</f>
        <v>41</v>
      </c>
      <c r="AO46" s="93">
        <f>AM46*AN46*AL46</f>
        <v>0</v>
      </c>
      <c r="AP46" s="484">
        <f t="shared" si="5"/>
        <v>0</v>
      </c>
      <c r="AQ46" s="1371" t="s">
        <v>636</v>
      </c>
      <c r="AR46" s="64" t="str">
        <f>'Standard Vorgaben'!$B$129</f>
        <v>Obstbautraktor 4-Rad</v>
      </c>
      <c r="AS46" s="326">
        <f>IF('Standard Vorgaben'!$C$181=1,2,'Standard Vorgaben'!$C$177)</f>
        <v>0</v>
      </c>
      <c r="AT46" s="1189">
        <v>10</v>
      </c>
      <c r="AU46" s="169">
        <f>'Standard Vorgaben'!$D$129</f>
        <v>41</v>
      </c>
      <c r="AV46" s="93">
        <f>AT46*AU46*AS46</f>
        <v>0</v>
      </c>
      <c r="AW46" s="484">
        <f t="shared" si="6"/>
        <v>0</v>
      </c>
      <c r="AX46" s="1371" t="s">
        <v>636</v>
      </c>
      <c r="AY46" s="64" t="str">
        <f>'Standard Vorgaben'!$B$129</f>
        <v>Obstbautraktor 4-Rad</v>
      </c>
      <c r="AZ46" s="326">
        <f>IF('Standard Vorgaben'!$C$181=1,2,'Standard Vorgaben'!$C$177)</f>
        <v>0</v>
      </c>
      <c r="BA46" s="1189">
        <v>10</v>
      </c>
      <c r="BB46" s="169">
        <f>'Standard Vorgaben'!$D$129</f>
        <v>41</v>
      </c>
      <c r="BC46" s="93">
        <f>BA46*BB46*AZ46</f>
        <v>0</v>
      </c>
      <c r="BD46" s="484">
        <f t="shared" si="7"/>
        <v>0</v>
      </c>
      <c r="BE46" s="1371" t="s">
        <v>636</v>
      </c>
      <c r="BF46" s="64" t="str">
        <f>'Standard Vorgaben'!$B$129</f>
        <v>Obstbautraktor 4-Rad</v>
      </c>
      <c r="BG46" s="326">
        <f>IF('Standard Vorgaben'!$C$181=1,2,'Standard Vorgaben'!$C$177)</f>
        <v>0</v>
      </c>
      <c r="BH46" s="1189">
        <v>10</v>
      </c>
      <c r="BI46" s="169">
        <f>'Standard Vorgaben'!$D$129</f>
        <v>41</v>
      </c>
      <c r="BJ46" s="93">
        <f>BH46*BI46*BG46</f>
        <v>0</v>
      </c>
      <c r="BK46" s="484">
        <f t="shared" si="8"/>
        <v>0</v>
      </c>
      <c r="BL46" s="1371" t="s">
        <v>636</v>
      </c>
      <c r="BM46" s="64" t="str">
        <f>'Standard Vorgaben'!$B$129</f>
        <v>Obstbautraktor 4-Rad</v>
      </c>
      <c r="BN46" s="326">
        <f>IF('Standard Vorgaben'!$C$181=1,2,'Standard Vorgaben'!$C$177)</f>
        <v>0</v>
      </c>
      <c r="BO46" s="1189">
        <v>10</v>
      </c>
      <c r="BP46" s="169">
        <f>'Standard Vorgaben'!$D$129</f>
        <v>41</v>
      </c>
      <c r="BQ46" s="93">
        <f>BO46*BP46*BN46</f>
        <v>0</v>
      </c>
      <c r="BR46" s="484">
        <f t="shared" si="9"/>
        <v>0</v>
      </c>
      <c r="BS46" s="1371" t="s">
        <v>636</v>
      </c>
      <c r="BT46" s="64" t="str">
        <f>'Standard Vorgaben'!$B$129</f>
        <v>Obstbautraktor 4-Rad</v>
      </c>
      <c r="BU46" s="326">
        <f>IF('Standard Vorgaben'!$C$181=1,2,'Standard Vorgaben'!$C$177)</f>
        <v>0</v>
      </c>
      <c r="BV46" s="1189">
        <v>10</v>
      </c>
      <c r="BW46" s="169">
        <f>'Standard Vorgaben'!$D$129</f>
        <v>41</v>
      </c>
      <c r="BX46" s="93">
        <f>BV46*BW46*BU46</f>
        <v>0</v>
      </c>
      <c r="BY46" s="484">
        <f t="shared" si="10"/>
        <v>0</v>
      </c>
      <c r="BZ46" s="1371" t="s">
        <v>636</v>
      </c>
      <c r="CA46" s="64" t="str">
        <f>'Standard Vorgaben'!$B$129</f>
        <v>Obstbautraktor 4-Rad</v>
      </c>
      <c r="CB46" s="326">
        <f>IF('Standard Vorgaben'!$C$181=1,2,'Standard Vorgaben'!$C$177)</f>
        <v>0</v>
      </c>
      <c r="CC46" s="1189">
        <v>10</v>
      </c>
      <c r="CD46" s="169">
        <f>'Standard Vorgaben'!$D$129</f>
        <v>41</v>
      </c>
      <c r="CE46" s="93">
        <f>CC46*CD46*CB46</f>
        <v>0</v>
      </c>
      <c r="CF46" s="484">
        <f t="shared" si="11"/>
        <v>0</v>
      </c>
      <c r="CG46" s="1371" t="s">
        <v>636</v>
      </c>
      <c r="CH46" s="64" t="str">
        <f>'Standard Vorgaben'!$B$129</f>
        <v>Obstbautraktor 4-Rad</v>
      </c>
      <c r="CI46" s="326">
        <f>IF('Standard Vorgaben'!$C$181=1,2,'Standard Vorgaben'!$C$177)</f>
        <v>0</v>
      </c>
      <c r="CJ46" s="1189">
        <v>10</v>
      </c>
      <c r="CK46" s="169">
        <f>'Standard Vorgaben'!$D$129</f>
        <v>41</v>
      </c>
      <c r="CL46" s="93">
        <f>CJ46*CK46*CI46</f>
        <v>0</v>
      </c>
      <c r="CM46" s="484">
        <f t="shared" si="12"/>
        <v>0</v>
      </c>
      <c r="CN46" s="1371" t="s">
        <v>636</v>
      </c>
      <c r="CO46" s="64" t="str">
        <f>'Standard Vorgaben'!$B$129</f>
        <v>Obstbautraktor 4-Rad</v>
      </c>
      <c r="CP46" s="326">
        <f>IF('Standard Vorgaben'!$C$181=1,2,'Standard Vorgaben'!$C$177)</f>
        <v>0</v>
      </c>
      <c r="CQ46" s="1189">
        <v>10</v>
      </c>
      <c r="CR46" s="169">
        <f>'Standard Vorgaben'!$D$129</f>
        <v>41</v>
      </c>
      <c r="CS46" s="93">
        <f>CQ46*CR46*CP46</f>
        <v>0</v>
      </c>
      <c r="CT46" s="484">
        <f t="shared" si="13"/>
        <v>0</v>
      </c>
      <c r="CU46" s="1371" t="s">
        <v>636</v>
      </c>
      <c r="CV46" s="64" t="str">
        <f>'Standard Vorgaben'!$B$129</f>
        <v>Obstbautraktor 4-Rad</v>
      </c>
      <c r="CW46" s="326">
        <f>IF('Standard Vorgaben'!$C$181=1,2,'Standard Vorgaben'!$C$177)</f>
        <v>0</v>
      </c>
      <c r="CX46" s="1189">
        <v>10</v>
      </c>
      <c r="CY46" s="169">
        <f>'Standard Vorgaben'!$D$129</f>
        <v>41</v>
      </c>
      <c r="CZ46" s="93">
        <f>CX46*CY46*CW46</f>
        <v>0</v>
      </c>
      <c r="DA46" s="484">
        <f t="shared" si="14"/>
        <v>0</v>
      </c>
      <c r="DB46" s="1371" t="s">
        <v>636</v>
      </c>
      <c r="DC46" s="64" t="str">
        <f>'Standard Vorgaben'!$B$129</f>
        <v>Obstbautraktor 4-Rad</v>
      </c>
      <c r="DD46" s="326">
        <f>IF('Standard Vorgaben'!$C$181=1,2,'Standard Vorgaben'!$C$177)</f>
        <v>0</v>
      </c>
      <c r="DE46" s="1189">
        <v>10</v>
      </c>
      <c r="DF46" s="169">
        <f>'Standard Vorgaben'!$D$129</f>
        <v>41</v>
      </c>
      <c r="DG46" s="93">
        <f>DE46*DF46*DD46</f>
        <v>0</v>
      </c>
      <c r="DH46" s="484">
        <f t="shared" si="15"/>
        <v>0</v>
      </c>
    </row>
    <row r="47" spans="1:256" s="73" customFormat="1" ht="38.25" x14ac:dyDescent="0.2">
      <c r="A47" s="1371"/>
      <c r="B47" s="887" t="str">
        <f>'Standard Vorgaben'!$B$151</f>
        <v>Hubstapler, Heckanbau, Kippgabel, Seitenschieber, 3 m Hubhöhe</v>
      </c>
      <c r="C47" s="326">
        <f>'Standard Vorgaben'!$C$177+'Standard Vorgaben'!$C$181</f>
        <v>0</v>
      </c>
      <c r="D47" s="1189">
        <v>10</v>
      </c>
      <c r="E47" s="169">
        <f>'Standard Vorgaben'!$D$151</f>
        <v>17.5</v>
      </c>
      <c r="F47" s="93">
        <f>D47*E47*C47</f>
        <v>0</v>
      </c>
      <c r="G47" s="484">
        <f t="shared" si="0"/>
        <v>0</v>
      </c>
      <c r="H47" s="1371"/>
      <c r="I47" s="887" t="str">
        <f>'Standard Vorgaben'!$B$151</f>
        <v>Hubstapler, Heckanbau, Kippgabel, Seitenschieber, 3 m Hubhöhe</v>
      </c>
      <c r="J47" s="326">
        <f>'Standard Vorgaben'!$C$177+'Standard Vorgaben'!$C$181</f>
        <v>0</v>
      </c>
      <c r="K47" s="1189">
        <v>10</v>
      </c>
      <c r="L47" s="169">
        <f>'Standard Vorgaben'!$D$151</f>
        <v>17.5</v>
      </c>
      <c r="M47" s="93">
        <f>K47*L47*J47</f>
        <v>0</v>
      </c>
      <c r="N47" s="484">
        <f t="shared" si="1"/>
        <v>0</v>
      </c>
      <c r="O47" s="1371"/>
      <c r="P47" s="887" t="str">
        <f>'Standard Vorgaben'!$B$151</f>
        <v>Hubstapler, Heckanbau, Kippgabel, Seitenschieber, 3 m Hubhöhe</v>
      </c>
      <c r="Q47" s="326">
        <f>'Standard Vorgaben'!$C$177+'Standard Vorgaben'!$C$181</f>
        <v>0</v>
      </c>
      <c r="R47" s="1189">
        <v>10</v>
      </c>
      <c r="S47" s="169">
        <f>'Standard Vorgaben'!$D$151</f>
        <v>17.5</v>
      </c>
      <c r="T47" s="93">
        <f>R47*S47*Q47</f>
        <v>0</v>
      </c>
      <c r="U47" s="484">
        <f t="shared" si="2"/>
        <v>0</v>
      </c>
      <c r="V47" s="1371"/>
      <c r="W47" s="887" t="str">
        <f>'Standard Vorgaben'!$B$151</f>
        <v>Hubstapler, Heckanbau, Kippgabel, Seitenschieber, 3 m Hubhöhe</v>
      </c>
      <c r="X47" s="326">
        <f>'Standard Vorgaben'!$C$177+'Standard Vorgaben'!$C$181</f>
        <v>0</v>
      </c>
      <c r="Y47" s="1189">
        <v>10</v>
      </c>
      <c r="Z47" s="169">
        <f>'Standard Vorgaben'!$D$151</f>
        <v>17.5</v>
      </c>
      <c r="AA47" s="93">
        <f>Y47*Z47*X47</f>
        <v>0</v>
      </c>
      <c r="AB47" s="484">
        <f t="shared" si="3"/>
        <v>0</v>
      </c>
      <c r="AC47" s="1371"/>
      <c r="AD47" s="887" t="str">
        <f>'Standard Vorgaben'!$B$151</f>
        <v>Hubstapler, Heckanbau, Kippgabel, Seitenschieber, 3 m Hubhöhe</v>
      </c>
      <c r="AE47" s="326">
        <f>'Standard Vorgaben'!$C$177+'Standard Vorgaben'!$C$181</f>
        <v>0</v>
      </c>
      <c r="AF47" s="1189">
        <v>10</v>
      </c>
      <c r="AG47" s="169">
        <f>'Standard Vorgaben'!$D$151</f>
        <v>17.5</v>
      </c>
      <c r="AH47" s="93">
        <f>AF47*AG47*AE47</f>
        <v>0</v>
      </c>
      <c r="AI47" s="484">
        <f t="shared" si="4"/>
        <v>0</v>
      </c>
      <c r="AJ47" s="1371"/>
      <c r="AK47" s="887" t="str">
        <f>'Standard Vorgaben'!$B$151</f>
        <v>Hubstapler, Heckanbau, Kippgabel, Seitenschieber, 3 m Hubhöhe</v>
      </c>
      <c r="AL47" s="326">
        <f>'Standard Vorgaben'!$C$177+'Standard Vorgaben'!$C$181</f>
        <v>0</v>
      </c>
      <c r="AM47" s="1189">
        <v>10</v>
      </c>
      <c r="AN47" s="169">
        <f>'Standard Vorgaben'!$D$151</f>
        <v>17.5</v>
      </c>
      <c r="AO47" s="93">
        <f>AM47*AN47*AL47</f>
        <v>0</v>
      </c>
      <c r="AP47" s="484">
        <f t="shared" si="5"/>
        <v>0</v>
      </c>
      <c r="AQ47" s="1371"/>
      <c r="AR47" s="887" t="str">
        <f>'Standard Vorgaben'!$B$151</f>
        <v>Hubstapler, Heckanbau, Kippgabel, Seitenschieber, 3 m Hubhöhe</v>
      </c>
      <c r="AS47" s="326">
        <f>'Standard Vorgaben'!$C$177+'Standard Vorgaben'!$C$181</f>
        <v>0</v>
      </c>
      <c r="AT47" s="1189">
        <v>10</v>
      </c>
      <c r="AU47" s="169">
        <f>'Standard Vorgaben'!$D$151</f>
        <v>17.5</v>
      </c>
      <c r="AV47" s="93">
        <f>AT47*AU47*AS47</f>
        <v>0</v>
      </c>
      <c r="AW47" s="484">
        <f t="shared" si="6"/>
        <v>0</v>
      </c>
      <c r="AX47" s="1371"/>
      <c r="AY47" s="887" t="str">
        <f>'Standard Vorgaben'!$B$151</f>
        <v>Hubstapler, Heckanbau, Kippgabel, Seitenschieber, 3 m Hubhöhe</v>
      </c>
      <c r="AZ47" s="326">
        <f>'Standard Vorgaben'!$C$177+'Standard Vorgaben'!$C$181</f>
        <v>0</v>
      </c>
      <c r="BA47" s="1189">
        <v>10</v>
      </c>
      <c r="BB47" s="169">
        <f>'Standard Vorgaben'!$D$151</f>
        <v>17.5</v>
      </c>
      <c r="BC47" s="93">
        <f>BA47*BB47*AZ47</f>
        <v>0</v>
      </c>
      <c r="BD47" s="484">
        <f t="shared" si="7"/>
        <v>0</v>
      </c>
      <c r="BE47" s="1371"/>
      <c r="BF47" s="887" t="str">
        <f>'Standard Vorgaben'!$B$151</f>
        <v>Hubstapler, Heckanbau, Kippgabel, Seitenschieber, 3 m Hubhöhe</v>
      </c>
      <c r="BG47" s="326">
        <f>'Standard Vorgaben'!$C$177+'Standard Vorgaben'!$C$181</f>
        <v>0</v>
      </c>
      <c r="BH47" s="1189">
        <v>10</v>
      </c>
      <c r="BI47" s="169">
        <f>'Standard Vorgaben'!$D$151</f>
        <v>17.5</v>
      </c>
      <c r="BJ47" s="93">
        <f>BH47*BI47*BG47</f>
        <v>0</v>
      </c>
      <c r="BK47" s="484">
        <f t="shared" si="8"/>
        <v>0</v>
      </c>
      <c r="BL47" s="1371"/>
      <c r="BM47" s="887" t="str">
        <f>'Standard Vorgaben'!$B$151</f>
        <v>Hubstapler, Heckanbau, Kippgabel, Seitenschieber, 3 m Hubhöhe</v>
      </c>
      <c r="BN47" s="326">
        <f>'Standard Vorgaben'!$C$177+'Standard Vorgaben'!$C$181</f>
        <v>0</v>
      </c>
      <c r="BO47" s="1189">
        <v>10</v>
      </c>
      <c r="BP47" s="169">
        <f>'Standard Vorgaben'!$D$151</f>
        <v>17.5</v>
      </c>
      <c r="BQ47" s="93">
        <f>BO47*BP47*BN47</f>
        <v>0</v>
      </c>
      <c r="BR47" s="484">
        <f t="shared" si="9"/>
        <v>0</v>
      </c>
      <c r="BS47" s="1371"/>
      <c r="BT47" s="887" t="str">
        <f>'Standard Vorgaben'!$B$151</f>
        <v>Hubstapler, Heckanbau, Kippgabel, Seitenschieber, 3 m Hubhöhe</v>
      </c>
      <c r="BU47" s="326">
        <f>'Standard Vorgaben'!$C$177+'Standard Vorgaben'!$C$181</f>
        <v>0</v>
      </c>
      <c r="BV47" s="1189">
        <v>10</v>
      </c>
      <c r="BW47" s="169">
        <f>'Standard Vorgaben'!$D$151</f>
        <v>17.5</v>
      </c>
      <c r="BX47" s="93">
        <f>BV47*BW47*BU47</f>
        <v>0</v>
      </c>
      <c r="BY47" s="484">
        <f t="shared" si="10"/>
        <v>0</v>
      </c>
      <c r="BZ47" s="1371"/>
      <c r="CA47" s="887" t="str">
        <f>'Standard Vorgaben'!$B$151</f>
        <v>Hubstapler, Heckanbau, Kippgabel, Seitenschieber, 3 m Hubhöhe</v>
      </c>
      <c r="CB47" s="326">
        <f>'Standard Vorgaben'!$C$177+'Standard Vorgaben'!$C$181</f>
        <v>0</v>
      </c>
      <c r="CC47" s="1189">
        <v>10</v>
      </c>
      <c r="CD47" s="169">
        <f>'Standard Vorgaben'!$D$151</f>
        <v>17.5</v>
      </c>
      <c r="CE47" s="93">
        <f>CC47*CD47*CB47</f>
        <v>0</v>
      </c>
      <c r="CF47" s="484">
        <f t="shared" si="11"/>
        <v>0</v>
      </c>
      <c r="CG47" s="1371"/>
      <c r="CH47" s="887" t="str">
        <f>'Standard Vorgaben'!$B$151</f>
        <v>Hubstapler, Heckanbau, Kippgabel, Seitenschieber, 3 m Hubhöhe</v>
      </c>
      <c r="CI47" s="326">
        <f>'Standard Vorgaben'!$C$177+'Standard Vorgaben'!$C$181</f>
        <v>0</v>
      </c>
      <c r="CJ47" s="1189">
        <v>10</v>
      </c>
      <c r="CK47" s="169">
        <f>'Standard Vorgaben'!$D$151</f>
        <v>17.5</v>
      </c>
      <c r="CL47" s="93">
        <f>CJ47*CK47*CI47</f>
        <v>0</v>
      </c>
      <c r="CM47" s="484">
        <f t="shared" si="12"/>
        <v>0</v>
      </c>
      <c r="CN47" s="1371"/>
      <c r="CO47" s="887" t="str">
        <f>'Standard Vorgaben'!$B$151</f>
        <v>Hubstapler, Heckanbau, Kippgabel, Seitenschieber, 3 m Hubhöhe</v>
      </c>
      <c r="CP47" s="326">
        <f>'Standard Vorgaben'!$C$177+'Standard Vorgaben'!$C$181</f>
        <v>0</v>
      </c>
      <c r="CQ47" s="1189">
        <v>10</v>
      </c>
      <c r="CR47" s="169">
        <f>'Standard Vorgaben'!$D$151</f>
        <v>17.5</v>
      </c>
      <c r="CS47" s="93">
        <f>CQ47*CR47*CP47</f>
        <v>0</v>
      </c>
      <c r="CT47" s="484">
        <f t="shared" si="13"/>
        <v>0</v>
      </c>
      <c r="CU47" s="1371"/>
      <c r="CV47" s="887" t="str">
        <f>'Standard Vorgaben'!$B$151</f>
        <v>Hubstapler, Heckanbau, Kippgabel, Seitenschieber, 3 m Hubhöhe</v>
      </c>
      <c r="CW47" s="326">
        <f>'Standard Vorgaben'!$C$177+'Standard Vorgaben'!$C$181</f>
        <v>0</v>
      </c>
      <c r="CX47" s="1189">
        <v>10</v>
      </c>
      <c r="CY47" s="169">
        <f>'Standard Vorgaben'!$D$151</f>
        <v>17.5</v>
      </c>
      <c r="CZ47" s="93">
        <f>CX47*CY47*CW47</f>
        <v>0</v>
      </c>
      <c r="DA47" s="484">
        <f t="shared" si="14"/>
        <v>0</v>
      </c>
      <c r="DB47" s="1371"/>
      <c r="DC47" s="887" t="str">
        <f>'Standard Vorgaben'!$B$151</f>
        <v>Hubstapler, Heckanbau, Kippgabel, Seitenschieber, 3 m Hubhöhe</v>
      </c>
      <c r="DD47" s="326">
        <f>'Standard Vorgaben'!$C$177+'Standard Vorgaben'!$C$181</f>
        <v>0</v>
      </c>
      <c r="DE47" s="1189">
        <v>10</v>
      </c>
      <c r="DF47" s="169">
        <f>'Standard Vorgaben'!$D$151</f>
        <v>17.5</v>
      </c>
      <c r="DG47" s="93">
        <f>DE47*DF47*DD47</f>
        <v>0</v>
      </c>
      <c r="DH47" s="484">
        <f t="shared" si="15"/>
        <v>0</v>
      </c>
    </row>
    <row r="48" spans="1:256" ht="13.5" thickBot="1" x14ac:dyDescent="0.25">
      <c r="A48" s="106"/>
      <c r="B48" s="64" t="str">
        <f>'Standard Vorgaben'!$B$137</f>
        <v>Diverse Kleingeräte</v>
      </c>
      <c r="C48" s="323"/>
      <c r="D48" s="323"/>
      <c r="E48" s="169"/>
      <c r="F48" s="658">
        <f>'Standard Vorgaben'!$D$137</f>
        <v>500</v>
      </c>
      <c r="G48" s="484">
        <f t="shared" si="0"/>
        <v>5.2847350209799783E-2</v>
      </c>
      <c r="H48" s="106"/>
      <c r="I48" s="64" t="str">
        <f>'Standard Vorgaben'!$B$137</f>
        <v>Diverse Kleingeräte</v>
      </c>
      <c r="J48" s="323"/>
      <c r="K48" s="323"/>
      <c r="L48" s="169"/>
      <c r="M48" s="658">
        <f>'Standard Vorgaben'!$D$137</f>
        <v>500</v>
      </c>
      <c r="N48" s="671">
        <f t="shared" si="1"/>
        <v>3.6362543599131068E-2</v>
      </c>
      <c r="O48" s="106"/>
      <c r="P48" s="64" t="str">
        <f>'Standard Vorgaben'!$B$137</f>
        <v>Diverse Kleingeräte</v>
      </c>
      <c r="Q48" s="323"/>
      <c r="R48" s="323"/>
      <c r="S48" s="169"/>
      <c r="T48" s="658">
        <f>'Standard Vorgaben'!$D$137</f>
        <v>500</v>
      </c>
      <c r="U48" s="484">
        <f t="shared" si="2"/>
        <v>2.4607509082293054E-2</v>
      </c>
      <c r="V48" s="106"/>
      <c r="W48" s="64" t="str">
        <f>'Standard Vorgaben'!$B$137</f>
        <v>Diverse Kleingeräte</v>
      </c>
      <c r="X48" s="323"/>
      <c r="Y48" s="323"/>
      <c r="Z48" s="169"/>
      <c r="AA48" s="658">
        <f>'Standard Vorgaben'!$D$137</f>
        <v>500</v>
      </c>
      <c r="AB48" s="484">
        <f t="shared" si="3"/>
        <v>2.0682910026433906E-2</v>
      </c>
      <c r="AC48" s="106"/>
      <c r="AD48" s="64" t="str">
        <f>'Standard Vorgaben'!$B$137</f>
        <v>Diverse Kleingeräte</v>
      </c>
      <c r="AE48" s="323"/>
      <c r="AF48" s="323"/>
      <c r="AG48" s="169"/>
      <c r="AH48" s="658">
        <f>'Standard Vorgaben'!$D$137</f>
        <v>500</v>
      </c>
      <c r="AI48" s="484">
        <f t="shared" si="4"/>
        <v>1.4328770656040759E-2</v>
      </c>
      <c r="AJ48" s="106"/>
      <c r="AK48" s="64" t="str">
        <f>'Standard Vorgaben'!$B$137</f>
        <v>Diverse Kleingeräte</v>
      </c>
      <c r="AL48" s="323"/>
      <c r="AM48" s="323"/>
      <c r="AN48" s="169"/>
      <c r="AO48" s="658">
        <f>'Standard Vorgaben'!$D$137</f>
        <v>500</v>
      </c>
      <c r="AP48" s="484">
        <f t="shared" si="5"/>
        <v>1.3023305613692249E-2</v>
      </c>
      <c r="AQ48" s="106"/>
      <c r="AR48" s="64" t="str">
        <f>'Standard Vorgaben'!$B$137</f>
        <v>Diverse Kleingeräte</v>
      </c>
      <c r="AS48" s="323"/>
      <c r="AT48" s="323"/>
      <c r="AU48" s="169"/>
      <c r="AV48" s="658">
        <f>'Standard Vorgaben'!$D$137</f>
        <v>500</v>
      </c>
      <c r="AW48" s="484">
        <f t="shared" si="6"/>
        <v>1.1943876186649351E-2</v>
      </c>
      <c r="AX48" s="106"/>
      <c r="AY48" s="64" t="str">
        <f>'Standard Vorgaben'!$B$137</f>
        <v>Diverse Kleingeräte</v>
      </c>
      <c r="AZ48" s="323"/>
      <c r="BA48" s="323"/>
      <c r="BB48" s="169"/>
      <c r="BC48" s="658">
        <f>'Standard Vorgaben'!$D$137</f>
        <v>500</v>
      </c>
      <c r="BD48" s="484">
        <f t="shared" si="7"/>
        <v>1.1949768478201343E-2</v>
      </c>
      <c r="BE48" s="106"/>
      <c r="BF48" s="64" t="str">
        <f>'Standard Vorgaben'!$B$137</f>
        <v>Diverse Kleingeräte</v>
      </c>
      <c r="BG48" s="323"/>
      <c r="BH48" s="323"/>
      <c r="BI48" s="169"/>
      <c r="BJ48" s="658">
        <f>'Standard Vorgaben'!$D$137</f>
        <v>500</v>
      </c>
      <c r="BK48" s="484">
        <f t="shared" si="8"/>
        <v>1.1955719695739593E-2</v>
      </c>
      <c r="BL48" s="106"/>
      <c r="BM48" s="64" t="str">
        <f>'Standard Vorgaben'!$B$137</f>
        <v>Diverse Kleingeräte</v>
      </c>
      <c r="BN48" s="323"/>
      <c r="BO48" s="323"/>
      <c r="BP48" s="169"/>
      <c r="BQ48" s="658">
        <f>'Standard Vorgaben'!$D$137</f>
        <v>500</v>
      </c>
      <c r="BR48" s="484">
        <f t="shared" si="9"/>
        <v>1.1961730485164038E-2</v>
      </c>
      <c r="BS48" s="106"/>
      <c r="BT48" s="64" t="str">
        <f>'Standard Vorgaben'!$B$137</f>
        <v>Diverse Kleingeräte</v>
      </c>
      <c r="BU48" s="323"/>
      <c r="BV48" s="323"/>
      <c r="BW48" s="169"/>
      <c r="BX48" s="658">
        <f>'Standard Vorgaben'!$D$137</f>
        <v>500</v>
      </c>
      <c r="BY48" s="484">
        <f t="shared" si="10"/>
        <v>1.196780150054017E-2</v>
      </c>
      <c r="BZ48" s="106"/>
      <c r="CA48" s="64" t="str">
        <f>'Standard Vorgaben'!$B$137</f>
        <v>Diverse Kleingeräte</v>
      </c>
      <c r="CB48" s="323"/>
      <c r="CC48" s="323"/>
      <c r="CD48" s="169"/>
      <c r="CE48" s="658">
        <f>'Standard Vorgaben'!$D$137</f>
        <v>500</v>
      </c>
      <c r="CF48" s="484">
        <f t="shared" si="11"/>
        <v>1.1973933404222929E-2</v>
      </c>
      <c r="CG48" s="106"/>
      <c r="CH48" s="64" t="str">
        <f>'Standard Vorgaben'!$B$137</f>
        <v>Diverse Kleingeräte</v>
      </c>
      <c r="CI48" s="323"/>
      <c r="CJ48" s="323"/>
      <c r="CK48" s="169"/>
      <c r="CL48" s="658">
        <f>'Standard Vorgaben'!$D$137</f>
        <v>500</v>
      </c>
      <c r="CM48" s="484">
        <f t="shared" si="12"/>
        <v>1.1980126866982875E-2</v>
      </c>
      <c r="CN48" s="106"/>
      <c r="CO48" s="64" t="str">
        <f>'Standard Vorgaben'!$B$137</f>
        <v>Diverse Kleingeräte</v>
      </c>
      <c r="CP48" s="323"/>
      <c r="CQ48" s="323"/>
      <c r="CR48" s="169"/>
      <c r="CS48" s="658">
        <f>'Standard Vorgaben'!$D$137</f>
        <v>500</v>
      </c>
      <c r="CT48" s="484">
        <f t="shared" si="13"/>
        <v>1.198638256813471E-2</v>
      </c>
      <c r="CU48" s="106"/>
      <c r="CV48" s="64" t="str">
        <f>'Standard Vorgaben'!$B$137</f>
        <v>Diverse Kleingeräte</v>
      </c>
      <c r="CW48" s="323"/>
      <c r="CX48" s="323"/>
      <c r="CY48" s="169"/>
      <c r="CZ48" s="658">
        <f>'Standard Vorgaben'!$D$137</f>
        <v>500</v>
      </c>
      <c r="DA48" s="484">
        <f t="shared" si="14"/>
        <v>1.1992701195668122E-2</v>
      </c>
      <c r="DB48" s="106"/>
      <c r="DC48" s="64" t="str">
        <f>'Standard Vorgaben'!$B$137</f>
        <v>Diverse Kleingeräte</v>
      </c>
      <c r="DD48" s="323"/>
      <c r="DE48" s="323"/>
      <c r="DF48" s="169"/>
      <c r="DG48" s="658">
        <f>'Standard Vorgaben'!$D$137</f>
        <v>500</v>
      </c>
      <c r="DH48" s="484">
        <f t="shared" si="15"/>
        <v>1.048881014778311E-2</v>
      </c>
    </row>
    <row r="49" spans="1:112" x14ac:dyDescent="0.2">
      <c r="A49" s="82"/>
      <c r="C49" s="323"/>
      <c r="D49" s="323"/>
      <c r="E49" s="169"/>
      <c r="F49" s="162">
        <f>F48+F47+F45+F44+F46</f>
        <v>1349.72</v>
      </c>
      <c r="G49" s="655">
        <f t="shared" si="0"/>
        <v>0.14265825105034191</v>
      </c>
      <c r="H49" s="82"/>
      <c r="I49" s="64"/>
      <c r="J49" s="323"/>
      <c r="K49" s="323"/>
      <c r="L49" s="169"/>
      <c r="M49" s="162">
        <f>M48+M47+M45+M44+M46</f>
        <v>2087.7200000000003</v>
      </c>
      <c r="N49" s="655">
        <f t="shared" si="1"/>
        <v>0.15182961904555586</v>
      </c>
      <c r="O49" s="82"/>
      <c r="Q49" s="323"/>
      <c r="R49" s="323"/>
      <c r="S49" s="169"/>
      <c r="T49" s="162">
        <f>T48+T47+T45+T44+T46</f>
        <v>3105.72</v>
      </c>
      <c r="U49" s="655">
        <f>T49/$T$69</f>
        <v>0.15284806621411837</v>
      </c>
      <c r="V49" s="82"/>
      <c r="X49" s="323"/>
      <c r="Y49" s="323"/>
      <c r="Z49" s="169"/>
      <c r="AA49" s="162">
        <f>AA48+AA47+AA45+AA44+AA46</f>
        <v>3765.7199999999993</v>
      </c>
      <c r="AB49" s="655">
        <f>AA49/$AA$69</f>
        <v>0.15577209588948535</v>
      </c>
      <c r="AC49" s="82"/>
      <c r="AE49" s="323"/>
      <c r="AF49" s="323"/>
      <c r="AG49" s="169"/>
      <c r="AH49" s="162">
        <f>AH48+AH47+AH45+AH44+AH46</f>
        <v>5203.72</v>
      </c>
      <c r="AI49" s="655">
        <f t="shared" si="4"/>
        <v>0.14912582087650483</v>
      </c>
      <c r="AJ49" s="82"/>
      <c r="AL49" s="323"/>
      <c r="AM49" s="323"/>
      <c r="AN49" s="169"/>
      <c r="AO49" s="162">
        <f>AO48+AO47+AO45+AO44+AO46</f>
        <v>5863.72</v>
      </c>
      <c r="AP49" s="655">
        <f t="shared" si="5"/>
        <v>0.15273003518623901</v>
      </c>
      <c r="AQ49" s="82"/>
      <c r="AS49" s="323"/>
      <c r="AT49" s="323"/>
      <c r="AU49" s="169"/>
      <c r="AV49" s="162">
        <f>AV48+AV47+AV45+AV44+AV46</f>
        <v>6523.72</v>
      </c>
      <c r="AW49" s="655">
        <f t="shared" si="6"/>
        <v>0.15583700791273622</v>
      </c>
      <c r="AX49" s="82"/>
      <c r="AZ49" s="323"/>
      <c r="BA49" s="323"/>
      <c r="BB49" s="169"/>
      <c r="BC49" s="162">
        <f>BC48+BC47+BC45+BC44+BC46</f>
        <v>6523.72</v>
      </c>
      <c r="BD49" s="655">
        <f t="shared" si="7"/>
        <v>0.15591388723322333</v>
      </c>
      <c r="BE49" s="82"/>
      <c r="BG49" s="323"/>
      <c r="BH49" s="323"/>
      <c r="BI49" s="169"/>
      <c r="BJ49" s="162">
        <f>BJ48+BJ47+BJ45+BJ44+BJ46</f>
        <v>6523.72</v>
      </c>
      <c r="BK49" s="655">
        <f t="shared" si="8"/>
        <v>0.1559915353869806</v>
      </c>
      <c r="BL49" s="82"/>
      <c r="BN49" s="323"/>
      <c r="BO49" s="323"/>
      <c r="BP49" s="169"/>
      <c r="BQ49" s="162">
        <f>BQ48+BQ47+BQ45+BQ44+BQ46</f>
        <v>6523.72</v>
      </c>
      <c r="BR49" s="655">
        <f t="shared" si="9"/>
        <v>0.15606996080134869</v>
      </c>
      <c r="BS49" s="82"/>
      <c r="BU49" s="323"/>
      <c r="BV49" s="323"/>
      <c r="BW49" s="169"/>
      <c r="BX49" s="162">
        <f>BX48+BX47+BX45+BX44+BX46</f>
        <v>6523.72</v>
      </c>
      <c r="BY49" s="655">
        <f t="shared" si="10"/>
        <v>0.15614917201020784</v>
      </c>
      <c r="BZ49" s="82"/>
      <c r="CB49" s="323"/>
      <c r="CC49" s="323"/>
      <c r="CD49" s="169"/>
      <c r="CE49" s="162">
        <f>CE48+CE47+CE45+CE44+CE46</f>
        <v>6523.72</v>
      </c>
      <c r="CF49" s="655">
        <f t="shared" si="11"/>
        <v>0.15622917765559441</v>
      </c>
      <c r="CG49" s="82"/>
      <c r="CI49" s="323"/>
      <c r="CJ49" s="323"/>
      <c r="CK49" s="169"/>
      <c r="CL49" s="162">
        <f>CL48+CL47+CL45+CL44+CL46</f>
        <v>6523.72</v>
      </c>
      <c r="CM49" s="655">
        <f t="shared" si="12"/>
        <v>0.15630998648934705</v>
      </c>
      <c r="CN49" s="82"/>
      <c r="CP49" s="323"/>
      <c r="CQ49" s="323"/>
      <c r="CR49" s="169"/>
      <c r="CS49" s="162">
        <f>CS48+CS47+CS45+CS44+CS46</f>
        <v>6523.72</v>
      </c>
      <c r="CT49" s="655">
        <f t="shared" si="13"/>
        <v>0.15639160737478355</v>
      </c>
      <c r="CU49" s="82"/>
      <c r="CW49" s="323"/>
      <c r="CX49" s="323"/>
      <c r="CY49" s="169"/>
      <c r="CZ49" s="162">
        <f>CZ48+CZ47+CZ45+CZ44+CZ46</f>
        <v>6523.72</v>
      </c>
      <c r="DA49" s="655">
        <f t="shared" si="14"/>
        <v>0.15647404928840811</v>
      </c>
      <c r="DB49" s="82"/>
      <c r="DD49" s="323"/>
      <c r="DE49" s="323"/>
      <c r="DF49" s="169"/>
      <c r="DG49" s="162">
        <f>DG48+DG47+DG45+DG44+DG46</f>
        <v>6523.72</v>
      </c>
      <c r="DH49" s="655">
        <f t="shared" si="15"/>
        <v>0.13685212107459124</v>
      </c>
    </row>
    <row r="50" spans="1:112" ht="19.5" customHeight="1" x14ac:dyDescent="0.2">
      <c r="A50" s="64"/>
      <c r="C50" s="324"/>
      <c r="D50" s="494" t="s">
        <v>27</v>
      </c>
      <c r="E50" s="501" t="s">
        <v>21</v>
      </c>
      <c r="F50" s="496" t="s">
        <v>22</v>
      </c>
      <c r="G50" s="484"/>
      <c r="H50" s="64"/>
      <c r="J50" s="324"/>
      <c r="K50" s="494" t="s">
        <v>27</v>
      </c>
      <c r="L50" s="501" t="s">
        <v>21</v>
      </c>
      <c r="M50" s="496" t="s">
        <v>22</v>
      </c>
      <c r="N50" s="484"/>
      <c r="Q50" s="324"/>
      <c r="R50" s="494" t="s">
        <v>27</v>
      </c>
      <c r="S50" s="501" t="s">
        <v>21</v>
      </c>
      <c r="T50" s="496" t="s">
        <v>22</v>
      </c>
      <c r="U50" s="484"/>
      <c r="X50" s="324"/>
      <c r="Y50" s="494" t="s">
        <v>27</v>
      </c>
      <c r="Z50" s="501" t="s">
        <v>21</v>
      </c>
      <c r="AA50" s="496" t="s">
        <v>22</v>
      </c>
      <c r="AB50" s="484"/>
      <c r="AE50" s="324"/>
      <c r="AF50" s="494" t="s">
        <v>27</v>
      </c>
      <c r="AG50" s="501" t="s">
        <v>21</v>
      </c>
      <c r="AH50" s="496" t="s">
        <v>22</v>
      </c>
      <c r="AI50" s="484"/>
      <c r="AL50" s="324"/>
      <c r="AM50" s="494" t="s">
        <v>27</v>
      </c>
      <c r="AN50" s="501" t="s">
        <v>21</v>
      </c>
      <c r="AO50" s="496" t="s">
        <v>22</v>
      </c>
      <c r="AP50" s="484"/>
      <c r="AS50" s="324"/>
      <c r="AT50" s="494" t="s">
        <v>27</v>
      </c>
      <c r="AU50" s="501" t="s">
        <v>21</v>
      </c>
      <c r="AV50" s="496" t="s">
        <v>22</v>
      </c>
      <c r="AW50" s="484"/>
      <c r="AZ50" s="324"/>
      <c r="BA50" s="494" t="s">
        <v>27</v>
      </c>
      <c r="BB50" s="501" t="s">
        <v>21</v>
      </c>
      <c r="BC50" s="496" t="s">
        <v>22</v>
      </c>
      <c r="BD50" s="484"/>
      <c r="BG50" s="324"/>
      <c r="BH50" s="494" t="s">
        <v>27</v>
      </c>
      <c r="BI50" s="501" t="s">
        <v>21</v>
      </c>
      <c r="BJ50" s="496" t="s">
        <v>22</v>
      </c>
      <c r="BK50" s="484"/>
      <c r="BN50" s="324"/>
      <c r="BO50" s="494" t="s">
        <v>27</v>
      </c>
      <c r="BP50" s="501" t="s">
        <v>21</v>
      </c>
      <c r="BQ50" s="496" t="s">
        <v>22</v>
      </c>
      <c r="BR50" s="484"/>
      <c r="BU50" s="324"/>
      <c r="BV50" s="494" t="s">
        <v>27</v>
      </c>
      <c r="BW50" s="501" t="s">
        <v>21</v>
      </c>
      <c r="BX50" s="496" t="s">
        <v>22</v>
      </c>
      <c r="BY50" s="484"/>
      <c r="CB50" s="324"/>
      <c r="CC50" s="494" t="s">
        <v>27</v>
      </c>
      <c r="CD50" s="501" t="s">
        <v>21</v>
      </c>
      <c r="CE50" s="496" t="s">
        <v>22</v>
      </c>
      <c r="CF50" s="484"/>
      <c r="CI50" s="324"/>
      <c r="CJ50" s="494" t="s">
        <v>27</v>
      </c>
      <c r="CK50" s="501" t="s">
        <v>21</v>
      </c>
      <c r="CL50" s="496" t="s">
        <v>22</v>
      </c>
      <c r="CM50" s="484"/>
      <c r="CP50" s="324"/>
      <c r="CQ50" s="494" t="s">
        <v>27</v>
      </c>
      <c r="CR50" s="501" t="s">
        <v>21</v>
      </c>
      <c r="CS50" s="496" t="s">
        <v>22</v>
      </c>
      <c r="CT50" s="484"/>
      <c r="CW50" s="324"/>
      <c r="CX50" s="494" t="s">
        <v>27</v>
      </c>
      <c r="CY50" s="501" t="s">
        <v>21</v>
      </c>
      <c r="CZ50" s="496" t="s">
        <v>22</v>
      </c>
      <c r="DA50" s="484"/>
      <c r="DD50" s="324"/>
      <c r="DE50" s="494" t="s">
        <v>27</v>
      </c>
      <c r="DF50" s="501" t="s">
        <v>21</v>
      </c>
      <c r="DG50" s="496" t="s">
        <v>22</v>
      </c>
      <c r="DH50" s="484"/>
    </row>
    <row r="51" spans="1:112" ht="15.75" customHeight="1" x14ac:dyDescent="0.2">
      <c r="A51" s="49" t="s">
        <v>68</v>
      </c>
      <c r="B51" s="73" t="s">
        <v>29</v>
      </c>
      <c r="C51" s="324"/>
      <c r="D51" s="363">
        <f>C39*D39</f>
        <v>2</v>
      </c>
      <c r="E51" s="169">
        <f>'Standard Vorgaben'!$C$36</f>
        <v>32.700000000000003</v>
      </c>
      <c r="F51" s="93">
        <f>D51*E51</f>
        <v>65.400000000000006</v>
      </c>
      <c r="G51" s="484">
        <f t="shared" ref="G51:G69" si="16">F51/$F$69</f>
        <v>6.912433407441812E-3</v>
      </c>
      <c r="H51" s="49" t="s">
        <v>68</v>
      </c>
      <c r="I51" s="73" t="s">
        <v>29</v>
      </c>
      <c r="J51" s="324"/>
      <c r="K51" s="363">
        <f>J39*K39</f>
        <v>2</v>
      </c>
      <c r="L51" s="169">
        <f>'Standard Vorgaben'!$C$36</f>
        <v>32.700000000000003</v>
      </c>
      <c r="M51" s="93">
        <f>K51*L51</f>
        <v>65.400000000000006</v>
      </c>
      <c r="N51" s="484">
        <f t="shared" ref="N51:N69" si="17">M51/$M$69</f>
        <v>4.7562207027663445E-3</v>
      </c>
      <c r="O51" s="49" t="s">
        <v>68</v>
      </c>
      <c r="P51" s="73" t="s">
        <v>29</v>
      </c>
      <c r="Q51" s="324"/>
      <c r="R51" s="363">
        <f>Q39*R39</f>
        <v>2</v>
      </c>
      <c r="S51" s="169">
        <f>'Standard Vorgaben'!$C$36</f>
        <v>32.700000000000003</v>
      </c>
      <c r="T51" s="93">
        <f>R51*S51</f>
        <v>65.400000000000006</v>
      </c>
      <c r="U51" s="484">
        <f t="shared" ref="U51:U69" si="18">T51/$T$69</f>
        <v>3.2186621879639319E-3</v>
      </c>
      <c r="V51" s="49" t="s">
        <v>68</v>
      </c>
      <c r="W51" s="73" t="s">
        <v>29</v>
      </c>
      <c r="X51" s="324"/>
      <c r="Y51" s="363">
        <f>X39*Y39</f>
        <v>2</v>
      </c>
      <c r="Z51" s="169">
        <f>'Standard Vorgaben'!$C$36</f>
        <v>32.700000000000003</v>
      </c>
      <c r="AA51" s="93">
        <f t="shared" ref="AA51:AA63" si="19">Y51*Z51</f>
        <v>65.400000000000006</v>
      </c>
      <c r="AB51" s="484">
        <f t="shared" ref="AB51:AB69" si="20">AA51/$AA$69</f>
        <v>2.7053246314575554E-3</v>
      </c>
      <c r="AC51" s="49" t="s">
        <v>68</v>
      </c>
      <c r="AD51" s="73" t="s">
        <v>29</v>
      </c>
      <c r="AE51" s="324"/>
      <c r="AF51" s="363">
        <f>AE39*AF39</f>
        <v>4</v>
      </c>
      <c r="AG51" s="169">
        <f>'Standard Vorgaben'!$C$36</f>
        <v>32.700000000000003</v>
      </c>
      <c r="AH51" s="93">
        <f t="shared" ref="AH51:AH63" si="21">AF51*AG51</f>
        <v>130.80000000000001</v>
      </c>
      <c r="AI51" s="484">
        <f t="shared" ref="AI51:AI69" si="22">AH51/$AH$69</f>
        <v>3.7484064036202628E-3</v>
      </c>
      <c r="AJ51" s="49" t="s">
        <v>68</v>
      </c>
      <c r="AK51" s="73" t="s">
        <v>29</v>
      </c>
      <c r="AL51" s="324"/>
      <c r="AM51" s="363">
        <f>AL39*AM39</f>
        <v>4</v>
      </c>
      <c r="AN51" s="169">
        <f>'Standard Vorgaben'!$C$36</f>
        <v>32.700000000000003</v>
      </c>
      <c r="AO51" s="93">
        <f t="shared" ref="AO51:AO63" si="23">AM51*AN51</f>
        <v>130.80000000000001</v>
      </c>
      <c r="AP51" s="484">
        <f t="shared" ref="AP51:AP69" si="24">AO51/$AO$69</f>
        <v>3.4068967485418925E-3</v>
      </c>
      <c r="AQ51" s="49" t="s">
        <v>68</v>
      </c>
      <c r="AR51" s="73" t="s">
        <v>29</v>
      </c>
      <c r="AS51" s="324"/>
      <c r="AT51" s="363">
        <f>AS39*AT39</f>
        <v>4</v>
      </c>
      <c r="AU51" s="169">
        <f>'Standard Vorgaben'!$C$36</f>
        <v>32.700000000000003</v>
      </c>
      <c r="AV51" s="93">
        <f t="shared" ref="AV51:AV63" si="25">AT51*AU51</f>
        <v>130.80000000000001</v>
      </c>
      <c r="AW51" s="484">
        <f t="shared" ref="AW51:AW69" si="26">AV51/$AV$69</f>
        <v>3.1245180104274703E-3</v>
      </c>
      <c r="AX51" s="49" t="s">
        <v>68</v>
      </c>
      <c r="AY51" s="73" t="s">
        <v>29</v>
      </c>
      <c r="AZ51" s="324"/>
      <c r="BA51" s="363">
        <f>AZ39*BA39</f>
        <v>4</v>
      </c>
      <c r="BB51" s="169">
        <f>'Standard Vorgaben'!$C$36</f>
        <v>32.700000000000003</v>
      </c>
      <c r="BC51" s="93">
        <f t="shared" ref="BC51:BC63" si="27">BA51*BB51</f>
        <v>130.80000000000001</v>
      </c>
      <c r="BD51" s="484">
        <f t="shared" ref="BD51:BD69" si="28">BC51/$BC$69</f>
        <v>3.1260594338974718E-3</v>
      </c>
      <c r="BE51" s="49" t="s">
        <v>68</v>
      </c>
      <c r="BF51" s="73" t="s">
        <v>29</v>
      </c>
      <c r="BG51" s="324"/>
      <c r="BH51" s="363">
        <f>BG39*BH39</f>
        <v>4</v>
      </c>
      <c r="BI51" s="169">
        <f>'Standard Vorgaben'!$C$36</f>
        <v>32.700000000000003</v>
      </c>
      <c r="BJ51" s="93">
        <f t="shared" ref="BJ51:BJ63" si="29">BH51*BI51</f>
        <v>130.80000000000001</v>
      </c>
      <c r="BK51" s="484">
        <f t="shared" ref="BK51:BK69" si="30">BJ51/$BJ$69</f>
        <v>3.1276162724054777E-3</v>
      </c>
      <c r="BL51" s="49" t="s">
        <v>68</v>
      </c>
      <c r="BM51" s="73" t="s">
        <v>29</v>
      </c>
      <c r="BN51" s="324"/>
      <c r="BO51" s="363">
        <f>BN39*BO39</f>
        <v>4</v>
      </c>
      <c r="BP51" s="169">
        <f>'Standard Vorgaben'!$C$36</f>
        <v>32.700000000000003</v>
      </c>
      <c r="BQ51" s="93">
        <f t="shared" ref="BQ51:BQ63" si="31">BO51*BP51</f>
        <v>130.80000000000001</v>
      </c>
      <c r="BR51" s="484">
        <f t="shared" ref="BR51:BR69" si="32">BQ51/$BQ$69</f>
        <v>3.1291886949189125E-3</v>
      </c>
      <c r="BS51" s="49" t="s">
        <v>68</v>
      </c>
      <c r="BT51" s="73" t="s">
        <v>29</v>
      </c>
      <c r="BU51" s="324"/>
      <c r="BV51" s="363">
        <f>BU39*BV39</f>
        <v>4</v>
      </c>
      <c r="BW51" s="169">
        <f>'Standard Vorgaben'!$C$36</f>
        <v>32.700000000000003</v>
      </c>
      <c r="BX51" s="93">
        <f t="shared" ref="BX51:BX63" si="33">BV51*BW51</f>
        <v>130.80000000000001</v>
      </c>
      <c r="BY51" s="484">
        <f t="shared" ref="BY51:BY69" si="34">BX51/$BX$69</f>
        <v>3.1307768725413088E-3</v>
      </c>
      <c r="BZ51" s="49" t="s">
        <v>68</v>
      </c>
      <c r="CA51" s="73" t="s">
        <v>29</v>
      </c>
      <c r="CB51" s="324"/>
      <c r="CC51" s="363">
        <f>CB39*CC39</f>
        <v>4</v>
      </c>
      <c r="CD51" s="169">
        <f>'Standard Vorgaben'!$C$36</f>
        <v>32.700000000000003</v>
      </c>
      <c r="CE51" s="93">
        <f t="shared" ref="CE51:CE63" si="35">CC51*CD51</f>
        <v>130.80000000000001</v>
      </c>
      <c r="CF51" s="484">
        <f t="shared" ref="CF51:CF69" si="36">CE51/$CE$69</f>
        <v>3.1323809785447181E-3</v>
      </c>
      <c r="CG51" s="49" t="s">
        <v>68</v>
      </c>
      <c r="CH51" s="73" t="s">
        <v>29</v>
      </c>
      <c r="CI51" s="324"/>
      <c r="CJ51" s="363">
        <f>CI39*CJ39</f>
        <v>4</v>
      </c>
      <c r="CK51" s="169">
        <f>'Standard Vorgaben'!$C$36</f>
        <v>32.700000000000003</v>
      </c>
      <c r="CL51" s="93">
        <f t="shared" ref="CL51:CL63" si="37">CJ51*CK51</f>
        <v>130.80000000000001</v>
      </c>
      <c r="CM51" s="484">
        <f t="shared" ref="CM51:CM69" si="38">CL51/$CL$69</f>
        <v>3.13400118840272E-3</v>
      </c>
      <c r="CN51" s="49" t="s">
        <v>68</v>
      </c>
      <c r="CO51" s="73" t="s">
        <v>29</v>
      </c>
      <c r="CP51" s="324"/>
      <c r="CQ51" s="363">
        <f>CP39*CQ39</f>
        <v>4</v>
      </c>
      <c r="CR51" s="169">
        <f>'Standard Vorgaben'!$C$36</f>
        <v>32.700000000000003</v>
      </c>
      <c r="CS51" s="93">
        <f t="shared" ref="CS51:CS63" si="39">CQ51*CR51</f>
        <v>130.80000000000001</v>
      </c>
      <c r="CT51" s="484">
        <f t="shared" ref="CT51:CT69" si="40">CS51/$CS$69</f>
        <v>3.1356376798240401E-3</v>
      </c>
      <c r="CU51" s="49" t="s">
        <v>68</v>
      </c>
      <c r="CV51" s="73" t="s">
        <v>29</v>
      </c>
      <c r="CW51" s="324"/>
      <c r="CX51" s="363">
        <f>CW39*CX39</f>
        <v>4</v>
      </c>
      <c r="CY51" s="169">
        <f>'Standard Vorgaben'!$C$36</f>
        <v>32.700000000000003</v>
      </c>
      <c r="CZ51" s="93">
        <f t="shared" ref="CZ51:CZ63" si="41">CX51*CY51</f>
        <v>130.80000000000001</v>
      </c>
      <c r="DA51" s="484">
        <f t="shared" ref="DA51:DA69" si="42">CZ51/$CZ$69</f>
        <v>3.1372906327867809E-3</v>
      </c>
      <c r="DB51" s="49" t="s">
        <v>68</v>
      </c>
      <c r="DC51" s="73" t="s">
        <v>29</v>
      </c>
      <c r="DD51" s="324"/>
      <c r="DE51" s="363">
        <f>DD39*DE39</f>
        <v>4</v>
      </c>
      <c r="DF51" s="169">
        <f>'Standard Vorgaben'!$C$36</f>
        <v>32.700000000000003</v>
      </c>
      <c r="DG51" s="93">
        <f t="shared" ref="DG51:DG63" si="43">DE51*DF51</f>
        <v>130.80000000000001</v>
      </c>
      <c r="DH51" s="484">
        <f t="shared" ref="DH51:DH69" si="44">DG51/$DG$69</f>
        <v>2.7438727346600616E-3</v>
      </c>
    </row>
    <row r="52" spans="1:112" x14ac:dyDescent="0.2">
      <c r="B52" s="73" t="s">
        <v>167</v>
      </c>
      <c r="C52" s="73"/>
      <c r="D52" s="363">
        <f>((C37*D37)+(C38*D38))+'Standard Vorgaben'!$B$92+'Standard Vorgaben'!$C$92</f>
        <v>23</v>
      </c>
      <c r="E52" s="169">
        <f>'Standard Vorgaben'!$C$36</f>
        <v>32.700000000000003</v>
      </c>
      <c r="F52" s="93">
        <f t="shared" ref="F52:F63" si="45">D52*E52</f>
        <v>752.1</v>
      </c>
      <c r="G52" s="484">
        <f t="shared" si="16"/>
        <v>7.9492984185580831E-2</v>
      </c>
      <c r="H52" s="49"/>
      <c r="I52" s="73" t="s">
        <v>167</v>
      </c>
      <c r="J52" s="73"/>
      <c r="K52" s="363">
        <f>((J37*K37)+(J38*K38))+'Standard Vorgaben'!$B$93+'Standard Vorgaben'!$C$93</f>
        <v>24</v>
      </c>
      <c r="L52" s="169">
        <f>'Standard Vorgaben'!$C$36</f>
        <v>32.700000000000003</v>
      </c>
      <c r="M52" s="93">
        <f t="shared" ref="M52:M63" si="46">K52*L52</f>
        <v>784.80000000000007</v>
      </c>
      <c r="N52" s="484">
        <f t="shared" si="17"/>
        <v>5.707464843319613E-2</v>
      </c>
      <c r="O52" s="49"/>
      <c r="P52" s="73" t="s">
        <v>167</v>
      </c>
      <c r="Q52" s="73"/>
      <c r="R52" s="363">
        <f>((Q37*R37)+(Q38*R38))+'Standard Vorgaben'!$B$94+'Standard Vorgaben'!$C$94</f>
        <v>32</v>
      </c>
      <c r="S52" s="169">
        <f>'Standard Vorgaben'!$C$36</f>
        <v>32.700000000000003</v>
      </c>
      <c r="T52" s="93">
        <f t="shared" ref="T52:T63" si="47">R52*S52</f>
        <v>1046.4000000000001</v>
      </c>
      <c r="U52" s="484">
        <f t="shared" si="18"/>
        <v>5.1498595007422911E-2</v>
      </c>
      <c r="V52" s="49"/>
      <c r="W52" s="73" t="s">
        <v>167</v>
      </c>
      <c r="X52" s="73"/>
      <c r="Y52" s="363">
        <f>((X37*Y37)+(X38*Y38))+'Standard Vorgaben'!$B$94+'Standard Vorgaben'!$C$94</f>
        <v>32</v>
      </c>
      <c r="Z52" s="169">
        <f>'Standard Vorgaben'!$C$36</f>
        <v>32.700000000000003</v>
      </c>
      <c r="AA52" s="93">
        <f t="shared" si="19"/>
        <v>1046.4000000000001</v>
      </c>
      <c r="AB52" s="484">
        <f t="shared" si="20"/>
        <v>4.3285194103320886E-2</v>
      </c>
      <c r="AC52" s="49"/>
      <c r="AD52" s="73" t="s">
        <v>167</v>
      </c>
      <c r="AE52" s="73"/>
      <c r="AF52" s="363">
        <f>((AE37*AF37)+(AE38*AF38))+'Standard Vorgaben'!$B$91+'Standard Vorgaben'!$C$91</f>
        <v>32</v>
      </c>
      <c r="AG52" s="169">
        <f>'Standard Vorgaben'!$C$36</f>
        <v>32.700000000000003</v>
      </c>
      <c r="AH52" s="93">
        <f t="shared" si="21"/>
        <v>1046.4000000000001</v>
      </c>
      <c r="AI52" s="484">
        <f t="shared" si="22"/>
        <v>2.9987251228962102E-2</v>
      </c>
      <c r="AJ52" s="49"/>
      <c r="AK52" s="73" t="s">
        <v>167</v>
      </c>
      <c r="AL52" s="73"/>
      <c r="AM52" s="363">
        <f>((AL37*AM37)+(AL38*AM38))+'Standard Vorgaben'!$B$91+'Standard Vorgaben'!$C$91</f>
        <v>32</v>
      </c>
      <c r="AN52" s="169">
        <f>'Standard Vorgaben'!$C$36</f>
        <v>32.700000000000003</v>
      </c>
      <c r="AO52" s="93">
        <f t="shared" si="23"/>
        <v>1046.4000000000001</v>
      </c>
      <c r="AP52" s="484">
        <f t="shared" si="24"/>
        <v>2.725517398833514E-2</v>
      </c>
      <c r="AQ52" s="49"/>
      <c r="AR52" s="73" t="s">
        <v>167</v>
      </c>
      <c r="AS52" s="73"/>
      <c r="AT52" s="363">
        <f>((AS37*AT37)+(AS38*AT38))+'Standard Vorgaben'!$B$91+'Standard Vorgaben'!$C$91</f>
        <v>32</v>
      </c>
      <c r="AU52" s="169">
        <f>'Standard Vorgaben'!$C$36</f>
        <v>32.700000000000003</v>
      </c>
      <c r="AV52" s="93">
        <f t="shared" si="25"/>
        <v>1046.4000000000001</v>
      </c>
      <c r="AW52" s="484">
        <f t="shared" si="26"/>
        <v>2.4996144083419762E-2</v>
      </c>
      <c r="AX52" s="49"/>
      <c r="AY52" s="73" t="s">
        <v>167</v>
      </c>
      <c r="AZ52" s="73"/>
      <c r="BA52" s="363">
        <f>((AZ37*BA37)+(AZ38*BA38))+'Standard Vorgaben'!$B$91+'Standard Vorgaben'!$C$91</f>
        <v>32</v>
      </c>
      <c r="BB52" s="169">
        <f>'Standard Vorgaben'!$C$36</f>
        <v>32.700000000000003</v>
      </c>
      <c r="BC52" s="93">
        <f t="shared" si="27"/>
        <v>1046.4000000000001</v>
      </c>
      <c r="BD52" s="484">
        <f t="shared" si="28"/>
        <v>2.5008475471179775E-2</v>
      </c>
      <c r="BE52" s="49"/>
      <c r="BF52" s="73" t="s">
        <v>167</v>
      </c>
      <c r="BG52" s="73"/>
      <c r="BH52" s="363">
        <f>((BG37*BH37)+(BG38*BH38))+'Standard Vorgaben'!$B$91+'Standard Vorgaben'!$C$91</f>
        <v>32</v>
      </c>
      <c r="BI52" s="169">
        <f>'Standard Vorgaben'!$C$36</f>
        <v>32.700000000000003</v>
      </c>
      <c r="BJ52" s="93">
        <f t="shared" si="29"/>
        <v>1046.4000000000001</v>
      </c>
      <c r="BK52" s="484">
        <f t="shared" si="30"/>
        <v>2.5020930179243821E-2</v>
      </c>
      <c r="BL52" s="49"/>
      <c r="BM52" s="73" t="s">
        <v>167</v>
      </c>
      <c r="BN52" s="73"/>
      <c r="BO52" s="363">
        <f>((BN37*BO37)+(BN38*BO38))+'Standard Vorgaben'!$B$91+'Standard Vorgaben'!$C$91</f>
        <v>32</v>
      </c>
      <c r="BP52" s="169">
        <f>'Standard Vorgaben'!$C$36</f>
        <v>32.700000000000003</v>
      </c>
      <c r="BQ52" s="93">
        <f t="shared" si="31"/>
        <v>1046.4000000000001</v>
      </c>
      <c r="BR52" s="484">
        <f t="shared" si="32"/>
        <v>2.50335095593513E-2</v>
      </c>
      <c r="BS52" s="49"/>
      <c r="BT52" s="73" t="s">
        <v>167</v>
      </c>
      <c r="BU52" s="73"/>
      <c r="BV52" s="363">
        <f>((BU37*BV37)+(BU38*BV38))+'Standard Vorgaben'!$B$91+'Standard Vorgaben'!$C$91</f>
        <v>32</v>
      </c>
      <c r="BW52" s="169">
        <f>'Standard Vorgaben'!$C$36</f>
        <v>32.700000000000003</v>
      </c>
      <c r="BX52" s="93">
        <f t="shared" si="33"/>
        <v>1046.4000000000001</v>
      </c>
      <c r="BY52" s="484">
        <f t="shared" si="34"/>
        <v>2.504621498033047E-2</v>
      </c>
      <c r="BZ52" s="49"/>
      <c r="CA52" s="73" t="s">
        <v>167</v>
      </c>
      <c r="CB52" s="73"/>
      <c r="CC52" s="363">
        <f>((CB37*CC37)+(CB38*CC38))+'Standard Vorgaben'!$B$91+'Standard Vorgaben'!$C$91</f>
        <v>32</v>
      </c>
      <c r="CD52" s="169">
        <f>'Standard Vorgaben'!$C$36</f>
        <v>32.700000000000003</v>
      </c>
      <c r="CE52" s="93">
        <f t="shared" si="35"/>
        <v>1046.4000000000001</v>
      </c>
      <c r="CF52" s="484">
        <f t="shared" si="36"/>
        <v>2.5059047828357744E-2</v>
      </c>
      <c r="CG52" s="49"/>
      <c r="CH52" s="73" t="s">
        <v>167</v>
      </c>
      <c r="CI52" s="73"/>
      <c r="CJ52" s="363">
        <f>((CI37*CJ37)+(CI38*CJ38))+'Standard Vorgaben'!$B$91+'Standard Vorgaben'!$C$91</f>
        <v>32</v>
      </c>
      <c r="CK52" s="169">
        <f>'Standard Vorgaben'!$C$36</f>
        <v>32.700000000000003</v>
      </c>
      <c r="CL52" s="93">
        <f t="shared" si="37"/>
        <v>1046.4000000000001</v>
      </c>
      <c r="CM52" s="484">
        <f t="shared" si="38"/>
        <v>2.507200950722176E-2</v>
      </c>
      <c r="CN52" s="49"/>
      <c r="CO52" s="73" t="s">
        <v>167</v>
      </c>
      <c r="CP52" s="73"/>
      <c r="CQ52" s="363">
        <f>((CP37*CQ37)+(CP38*CQ38))+'Standard Vorgaben'!$B$91+'Standard Vorgaben'!$C$91</f>
        <v>32</v>
      </c>
      <c r="CR52" s="169">
        <f>'Standard Vorgaben'!$C$36</f>
        <v>32.700000000000003</v>
      </c>
      <c r="CS52" s="93">
        <f t="shared" si="39"/>
        <v>1046.4000000000001</v>
      </c>
      <c r="CT52" s="484">
        <f t="shared" si="40"/>
        <v>2.5085101438592321E-2</v>
      </c>
      <c r="CU52" s="49"/>
      <c r="CV52" s="73" t="s">
        <v>167</v>
      </c>
      <c r="CW52" s="73"/>
      <c r="CX52" s="363">
        <f>((CW37*CX37)+(CW38*CX38))+'Standard Vorgaben'!$B$91+'Standard Vorgaben'!$C$91</f>
        <v>32</v>
      </c>
      <c r="CY52" s="169">
        <f>'Standard Vorgaben'!$C$36</f>
        <v>32.700000000000003</v>
      </c>
      <c r="CZ52" s="93">
        <f t="shared" si="41"/>
        <v>1046.4000000000001</v>
      </c>
      <c r="DA52" s="484">
        <f t="shared" si="42"/>
        <v>2.5098325062294247E-2</v>
      </c>
      <c r="DB52" s="49"/>
      <c r="DC52" s="73" t="s">
        <v>167</v>
      </c>
      <c r="DD52" s="73"/>
      <c r="DE52" s="363">
        <f>((DD37*DE37)+(DD38*DE38))+'Standard Vorgaben'!$B$91+'Standard Vorgaben'!$C$91</f>
        <v>32</v>
      </c>
      <c r="DF52" s="169">
        <f>'Standard Vorgaben'!$C$36</f>
        <v>32.700000000000003</v>
      </c>
      <c r="DG52" s="93">
        <f t="shared" si="43"/>
        <v>1046.4000000000001</v>
      </c>
      <c r="DH52" s="484">
        <f t="shared" si="44"/>
        <v>2.1950981877280493E-2</v>
      </c>
    </row>
    <row r="53" spans="1:112" x14ac:dyDescent="0.2">
      <c r="B53" s="73" t="str">
        <f>'Standard Vorgaben'!$D$89</f>
        <v>Baumerziehung (Sommer+Winter)</v>
      </c>
      <c r="C53" s="323"/>
      <c r="D53" s="363">
        <f>'Standard Vorgaben'!D92</f>
        <v>20</v>
      </c>
      <c r="E53" s="169">
        <f>'Standard Vorgaben'!$C$36</f>
        <v>32.700000000000003</v>
      </c>
      <c r="F53" s="93">
        <f t="shared" si="45"/>
        <v>654</v>
      </c>
      <c r="G53" s="484">
        <f t="shared" si="16"/>
        <v>6.912433407441812E-2</v>
      </c>
      <c r="H53" s="49"/>
      <c r="I53" s="73" t="str">
        <f>'Standard Vorgaben'!$D$89</f>
        <v>Baumerziehung (Sommer+Winter)</v>
      </c>
      <c r="J53" s="323"/>
      <c r="K53" s="363">
        <f>'Standard Vorgaben'!D93</f>
        <v>40</v>
      </c>
      <c r="L53" s="169">
        <f>'Standard Vorgaben'!$C$36</f>
        <v>32.700000000000003</v>
      </c>
      <c r="M53" s="93">
        <f t="shared" si="46"/>
        <v>1308</v>
      </c>
      <c r="N53" s="484">
        <f t="shared" si="17"/>
        <v>9.5124414055326886E-2</v>
      </c>
      <c r="O53" s="49"/>
      <c r="P53" s="73" t="str">
        <f>'Standard Vorgaben'!$D$89</f>
        <v>Baumerziehung (Sommer+Winter)</v>
      </c>
      <c r="Q53" s="323"/>
      <c r="R53" s="363">
        <f>'Standard Vorgaben'!$D$94</f>
        <v>60</v>
      </c>
      <c r="S53" s="169">
        <f>'Standard Vorgaben'!$C$36</f>
        <v>32.700000000000003</v>
      </c>
      <c r="T53" s="93">
        <f t="shared" si="47"/>
        <v>1962.0000000000002</v>
      </c>
      <c r="U53" s="484">
        <f t="shared" si="18"/>
        <v>9.6559865638917955E-2</v>
      </c>
      <c r="V53" s="49"/>
      <c r="W53" s="73" t="str">
        <f>'Standard Vorgaben'!$D$89</f>
        <v>Baumerziehung (Sommer+Winter)</v>
      </c>
      <c r="X53" s="323"/>
      <c r="Y53" s="363">
        <f>'Standard Vorgaben'!$D$94</f>
        <v>60</v>
      </c>
      <c r="Z53" s="169">
        <f>'Standard Vorgaben'!$C$36</f>
        <v>32.700000000000003</v>
      </c>
      <c r="AA53" s="93">
        <f t="shared" si="19"/>
        <v>1962.0000000000002</v>
      </c>
      <c r="AB53" s="484">
        <f t="shared" si="20"/>
        <v>8.1159738943726661E-2</v>
      </c>
      <c r="AC53" s="49"/>
      <c r="AD53" s="73" t="str">
        <f>'Standard Vorgaben'!$D$89</f>
        <v>Baumerziehung (Sommer+Winter)</v>
      </c>
      <c r="AE53" s="323"/>
      <c r="AF53" s="363">
        <f>'Standard Vorgaben'!$D$91</f>
        <v>100</v>
      </c>
      <c r="AG53" s="169">
        <f>'Standard Vorgaben'!$C$36</f>
        <v>32.700000000000003</v>
      </c>
      <c r="AH53" s="93">
        <f t="shared" si="21"/>
        <v>3270.0000000000005</v>
      </c>
      <c r="AI53" s="484">
        <f t="shared" si="22"/>
        <v>9.3710160090506575E-2</v>
      </c>
      <c r="AJ53" s="49"/>
      <c r="AK53" s="73" t="str">
        <f>'Standard Vorgaben'!$D$89</f>
        <v>Baumerziehung (Sommer+Winter)</v>
      </c>
      <c r="AL53" s="323"/>
      <c r="AM53" s="363">
        <f>'Standard Vorgaben'!$D$91</f>
        <v>100</v>
      </c>
      <c r="AN53" s="169">
        <f>'Standard Vorgaben'!$C$36</f>
        <v>32.700000000000003</v>
      </c>
      <c r="AO53" s="93">
        <f t="shared" si="23"/>
        <v>3270.0000000000005</v>
      </c>
      <c r="AP53" s="484">
        <f t="shared" si="24"/>
        <v>8.5172418713547318E-2</v>
      </c>
      <c r="AQ53" s="49"/>
      <c r="AR53" s="73" t="str">
        <f>'Standard Vorgaben'!$D$89</f>
        <v>Baumerziehung (Sommer+Winter)</v>
      </c>
      <c r="AS53" s="323"/>
      <c r="AT53" s="363">
        <f>'Standard Vorgaben'!$D$91</f>
        <v>100</v>
      </c>
      <c r="AU53" s="169">
        <f>'Standard Vorgaben'!$C$36</f>
        <v>32.700000000000003</v>
      </c>
      <c r="AV53" s="93">
        <f t="shared" si="25"/>
        <v>3270.0000000000005</v>
      </c>
      <c r="AW53" s="484">
        <f t="shared" si="26"/>
        <v>7.8112950260686764E-2</v>
      </c>
      <c r="AX53" s="49"/>
      <c r="AY53" s="73" t="str">
        <f>'Standard Vorgaben'!$D$89</f>
        <v>Baumerziehung (Sommer+Winter)</v>
      </c>
      <c r="AZ53" s="323"/>
      <c r="BA53" s="363">
        <f>'Standard Vorgaben'!$D$91</f>
        <v>100</v>
      </c>
      <c r="BB53" s="169">
        <f>'Standard Vorgaben'!$C$36</f>
        <v>32.700000000000003</v>
      </c>
      <c r="BC53" s="93">
        <f t="shared" si="27"/>
        <v>3270.0000000000005</v>
      </c>
      <c r="BD53" s="484">
        <f t="shared" si="28"/>
        <v>7.8151485847436794E-2</v>
      </c>
      <c r="BE53" s="49"/>
      <c r="BF53" s="73" t="str">
        <f>'Standard Vorgaben'!$D$89</f>
        <v>Baumerziehung (Sommer+Winter)</v>
      </c>
      <c r="BG53" s="323"/>
      <c r="BH53" s="363">
        <f>'Standard Vorgaben'!$D$91</f>
        <v>100</v>
      </c>
      <c r="BI53" s="169">
        <f>'Standard Vorgaben'!$C$36</f>
        <v>32.700000000000003</v>
      </c>
      <c r="BJ53" s="93">
        <f t="shared" si="29"/>
        <v>3270.0000000000005</v>
      </c>
      <c r="BK53" s="484">
        <f t="shared" si="30"/>
        <v>7.8190406810136948E-2</v>
      </c>
      <c r="BL53" s="49"/>
      <c r="BM53" s="73" t="str">
        <f>'Standard Vorgaben'!$D$89</f>
        <v>Baumerziehung (Sommer+Winter)</v>
      </c>
      <c r="BN53" s="323"/>
      <c r="BO53" s="363">
        <f>'Standard Vorgaben'!$D$91</f>
        <v>100</v>
      </c>
      <c r="BP53" s="169">
        <f>'Standard Vorgaben'!$C$36</f>
        <v>32.700000000000003</v>
      </c>
      <c r="BQ53" s="93">
        <f t="shared" si="31"/>
        <v>3270.0000000000005</v>
      </c>
      <c r="BR53" s="484">
        <f t="shared" si="32"/>
        <v>7.8229717372972823E-2</v>
      </c>
      <c r="BS53" s="49"/>
      <c r="BT53" s="73" t="str">
        <f>'Standard Vorgaben'!$D$89</f>
        <v>Baumerziehung (Sommer+Winter)</v>
      </c>
      <c r="BU53" s="323"/>
      <c r="BV53" s="363">
        <f>'Standard Vorgaben'!$D$91</f>
        <v>100</v>
      </c>
      <c r="BW53" s="169">
        <f>'Standard Vorgaben'!$C$36</f>
        <v>32.700000000000003</v>
      </c>
      <c r="BX53" s="93">
        <f t="shared" si="33"/>
        <v>3270.0000000000005</v>
      </c>
      <c r="BY53" s="484">
        <f t="shared" si="34"/>
        <v>7.8269421813532733E-2</v>
      </c>
      <c r="BZ53" s="49"/>
      <c r="CA53" s="73" t="str">
        <f>'Standard Vorgaben'!$D$89</f>
        <v>Baumerziehung (Sommer+Winter)</v>
      </c>
      <c r="CB53" s="323"/>
      <c r="CC53" s="363">
        <f>'Standard Vorgaben'!$D$91</f>
        <v>100</v>
      </c>
      <c r="CD53" s="169">
        <f>'Standard Vorgaben'!$C$36</f>
        <v>32.700000000000003</v>
      </c>
      <c r="CE53" s="93">
        <f t="shared" si="35"/>
        <v>3270.0000000000005</v>
      </c>
      <c r="CF53" s="484">
        <f t="shared" si="36"/>
        <v>7.8309524463617955E-2</v>
      </c>
      <c r="CG53" s="49"/>
      <c r="CH53" s="73" t="str">
        <f>'Standard Vorgaben'!$D$89</f>
        <v>Baumerziehung (Sommer+Winter)</v>
      </c>
      <c r="CI53" s="323"/>
      <c r="CJ53" s="363">
        <f>'Standard Vorgaben'!$D$91</f>
        <v>100</v>
      </c>
      <c r="CK53" s="169">
        <f>'Standard Vorgaben'!$C$36</f>
        <v>32.700000000000003</v>
      </c>
      <c r="CL53" s="93">
        <f t="shared" si="37"/>
        <v>3270.0000000000005</v>
      </c>
      <c r="CM53" s="484">
        <f t="shared" si="38"/>
        <v>7.8350029710068006E-2</v>
      </c>
      <c r="CN53" s="49"/>
      <c r="CO53" s="73" t="str">
        <f>'Standard Vorgaben'!$D$89</f>
        <v>Baumerziehung (Sommer+Winter)</v>
      </c>
      <c r="CP53" s="323"/>
      <c r="CQ53" s="363">
        <f>'Standard Vorgaben'!$D$91</f>
        <v>100</v>
      </c>
      <c r="CR53" s="169">
        <f>'Standard Vorgaben'!$C$36</f>
        <v>32.700000000000003</v>
      </c>
      <c r="CS53" s="93">
        <f t="shared" si="39"/>
        <v>3270.0000000000005</v>
      </c>
      <c r="CT53" s="484">
        <f t="shared" si="40"/>
        <v>7.839094199560101E-2</v>
      </c>
      <c r="CU53" s="49"/>
      <c r="CV53" s="73" t="str">
        <f>'Standard Vorgaben'!$D$89</f>
        <v>Baumerziehung (Sommer+Winter)</v>
      </c>
      <c r="CW53" s="323"/>
      <c r="CX53" s="363">
        <f>'Standard Vorgaben'!$D$91</f>
        <v>100</v>
      </c>
      <c r="CY53" s="169">
        <f>'Standard Vorgaben'!$C$36</f>
        <v>32.700000000000003</v>
      </c>
      <c r="CZ53" s="93">
        <f t="shared" si="41"/>
        <v>3270.0000000000005</v>
      </c>
      <c r="DA53" s="484">
        <f t="shared" si="42"/>
        <v>7.8432265819669528E-2</v>
      </c>
      <c r="DB53" s="49"/>
      <c r="DC53" s="73" t="str">
        <f>'Standard Vorgaben'!$D$89</f>
        <v>Baumerziehung (Sommer+Winter)</v>
      </c>
      <c r="DD53" s="323"/>
      <c r="DE53" s="363">
        <f>'Standard Vorgaben'!$D$91</f>
        <v>100</v>
      </c>
      <c r="DF53" s="169">
        <f>'Standard Vorgaben'!$C$36</f>
        <v>32.700000000000003</v>
      </c>
      <c r="DG53" s="93">
        <f t="shared" si="43"/>
        <v>3270.0000000000005</v>
      </c>
      <c r="DH53" s="484">
        <f t="shared" si="44"/>
        <v>6.8596818366501541E-2</v>
      </c>
    </row>
    <row r="54" spans="1:112" x14ac:dyDescent="0.2">
      <c r="B54" s="73" t="s">
        <v>105</v>
      </c>
      <c r="C54" s="323"/>
      <c r="D54" s="363">
        <f>(C42*D42)+(C43*D43)</f>
        <v>0.4</v>
      </c>
      <c r="E54" s="169">
        <f>'Standard Vorgaben'!$C$36</f>
        <v>32.700000000000003</v>
      </c>
      <c r="F54" s="93">
        <f t="shared" si="45"/>
        <v>13.080000000000002</v>
      </c>
      <c r="G54" s="484">
        <f t="shared" si="16"/>
        <v>1.3824866814883625E-3</v>
      </c>
      <c r="I54" s="73" t="s">
        <v>105</v>
      </c>
      <c r="J54" s="323"/>
      <c r="K54" s="363">
        <f>(J42*K42)+(J43*K43)</f>
        <v>0.4</v>
      </c>
      <c r="L54" s="169">
        <f>'Standard Vorgaben'!$C$36</f>
        <v>32.700000000000003</v>
      </c>
      <c r="M54" s="93">
        <f t="shared" si="46"/>
        <v>13.080000000000002</v>
      </c>
      <c r="N54" s="484">
        <f t="shared" si="17"/>
        <v>9.5124414055326896E-4</v>
      </c>
      <c r="O54" s="49"/>
      <c r="P54" s="73" t="s">
        <v>105</v>
      </c>
      <c r="Q54" s="323"/>
      <c r="R54" s="363">
        <f>(Q42*R42)+(Q43*R43)</f>
        <v>0.4</v>
      </c>
      <c r="S54" s="169">
        <f>'Standard Vorgaben'!$C$36</f>
        <v>32.700000000000003</v>
      </c>
      <c r="T54" s="93">
        <f t="shared" si="47"/>
        <v>13.080000000000002</v>
      </c>
      <c r="U54" s="484">
        <f t="shared" si="18"/>
        <v>6.4373243759278638E-4</v>
      </c>
      <c r="V54" s="49"/>
      <c r="W54" s="73" t="s">
        <v>105</v>
      </c>
      <c r="X54" s="323"/>
      <c r="Y54" s="363">
        <f>(X42*Y42)+(X43*Y43)</f>
        <v>0.4</v>
      </c>
      <c r="Z54" s="169">
        <f>'Standard Vorgaben'!$C$36</f>
        <v>32.700000000000003</v>
      </c>
      <c r="AA54" s="93">
        <f t="shared" si="19"/>
        <v>13.080000000000002</v>
      </c>
      <c r="AB54" s="484">
        <f t="shared" si="20"/>
        <v>5.4106492629151111E-4</v>
      </c>
      <c r="AC54" s="49"/>
      <c r="AD54" s="73" t="s">
        <v>105</v>
      </c>
      <c r="AE54" s="323"/>
      <c r="AF54" s="363">
        <f>(AE42*AF42)+(AE43*AF43)</f>
        <v>0.4</v>
      </c>
      <c r="AG54" s="169">
        <f>'Standard Vorgaben'!$C$36</f>
        <v>32.700000000000003</v>
      </c>
      <c r="AH54" s="93">
        <f t="shared" si="21"/>
        <v>13.080000000000002</v>
      </c>
      <c r="AI54" s="484">
        <f t="shared" si="22"/>
        <v>3.748406403620263E-4</v>
      </c>
      <c r="AJ54" s="49"/>
      <c r="AK54" s="73" t="s">
        <v>105</v>
      </c>
      <c r="AL54" s="323"/>
      <c r="AM54" s="363">
        <f>(AL42*AM42)+(AL43*AM43)</f>
        <v>0.4</v>
      </c>
      <c r="AN54" s="169">
        <f>'Standard Vorgaben'!$C$36</f>
        <v>32.700000000000003</v>
      </c>
      <c r="AO54" s="93">
        <f t="shared" si="23"/>
        <v>13.080000000000002</v>
      </c>
      <c r="AP54" s="484">
        <f t="shared" si="24"/>
        <v>3.4068967485418927E-4</v>
      </c>
      <c r="AQ54" s="49"/>
      <c r="AR54" s="73" t="s">
        <v>105</v>
      </c>
      <c r="AS54" s="323"/>
      <c r="AT54" s="363">
        <f>(AS42*AT42)+(AS43*AT43)</f>
        <v>0.4</v>
      </c>
      <c r="AU54" s="169">
        <f>'Standard Vorgaben'!$C$36</f>
        <v>32.700000000000003</v>
      </c>
      <c r="AV54" s="93">
        <f t="shared" si="25"/>
        <v>13.080000000000002</v>
      </c>
      <c r="AW54" s="484">
        <f t="shared" si="26"/>
        <v>3.1245180104274705E-4</v>
      </c>
      <c r="AX54" s="49"/>
      <c r="AY54" s="73" t="s">
        <v>105</v>
      </c>
      <c r="AZ54" s="323"/>
      <c r="BA54" s="363">
        <f>(AZ42*BA42)+(AZ43*BA43)</f>
        <v>0.4</v>
      </c>
      <c r="BB54" s="169">
        <f>'Standard Vorgaben'!$C$36</f>
        <v>32.700000000000003</v>
      </c>
      <c r="BC54" s="93">
        <f t="shared" si="27"/>
        <v>13.080000000000002</v>
      </c>
      <c r="BD54" s="484">
        <f t="shared" si="28"/>
        <v>3.1260594338974716E-4</v>
      </c>
      <c r="BE54" s="49"/>
      <c r="BF54" s="73" t="s">
        <v>105</v>
      </c>
      <c r="BG54" s="323"/>
      <c r="BH54" s="363">
        <f>(BG42*BH42)+(BG43*BH43)</f>
        <v>0.4</v>
      </c>
      <c r="BI54" s="169">
        <f>'Standard Vorgaben'!$C$36</f>
        <v>32.700000000000003</v>
      </c>
      <c r="BJ54" s="93">
        <f t="shared" si="29"/>
        <v>13.080000000000002</v>
      </c>
      <c r="BK54" s="484">
        <f t="shared" si="30"/>
        <v>3.127616272405478E-4</v>
      </c>
      <c r="BL54" s="49"/>
      <c r="BM54" s="73" t="s">
        <v>105</v>
      </c>
      <c r="BN54" s="323"/>
      <c r="BO54" s="363">
        <f>(BN42*BO42)+(BN43*BO43)</f>
        <v>0.4</v>
      </c>
      <c r="BP54" s="169">
        <f>'Standard Vorgaben'!$C$36</f>
        <v>32.700000000000003</v>
      </c>
      <c r="BQ54" s="93">
        <f t="shared" si="31"/>
        <v>13.080000000000002</v>
      </c>
      <c r="BR54" s="484">
        <f t="shared" si="32"/>
        <v>3.1291886949189128E-4</v>
      </c>
      <c r="BS54" s="49"/>
      <c r="BT54" s="73" t="s">
        <v>105</v>
      </c>
      <c r="BU54" s="323"/>
      <c r="BV54" s="363">
        <f>(BU42*BV42)+(BU43*BV43)</f>
        <v>0.4</v>
      </c>
      <c r="BW54" s="169">
        <f>'Standard Vorgaben'!$C$36</f>
        <v>32.700000000000003</v>
      </c>
      <c r="BX54" s="93">
        <f t="shared" si="33"/>
        <v>13.080000000000002</v>
      </c>
      <c r="BY54" s="484">
        <f t="shared" si="34"/>
        <v>3.1307768725413092E-4</v>
      </c>
      <c r="BZ54" s="49"/>
      <c r="CA54" s="73" t="s">
        <v>105</v>
      </c>
      <c r="CB54" s="323"/>
      <c r="CC54" s="363">
        <f>(CB42*CC42)+(CB43*CC43)</f>
        <v>0.4</v>
      </c>
      <c r="CD54" s="169">
        <f>'Standard Vorgaben'!$C$36</f>
        <v>32.700000000000003</v>
      </c>
      <c r="CE54" s="93">
        <f t="shared" si="35"/>
        <v>13.080000000000002</v>
      </c>
      <c r="CF54" s="484">
        <f t="shared" si="36"/>
        <v>3.1323809785447184E-4</v>
      </c>
      <c r="CG54" s="49"/>
      <c r="CH54" s="73" t="s">
        <v>105</v>
      </c>
      <c r="CI54" s="323"/>
      <c r="CJ54" s="363">
        <f>(CI42*CJ42)+(CI43*CJ43)</f>
        <v>0.4</v>
      </c>
      <c r="CK54" s="169">
        <f>'Standard Vorgaben'!$C$36</f>
        <v>32.700000000000003</v>
      </c>
      <c r="CL54" s="93">
        <f t="shared" si="37"/>
        <v>13.080000000000002</v>
      </c>
      <c r="CM54" s="484">
        <f t="shared" si="38"/>
        <v>3.1340011884027202E-4</v>
      </c>
      <c r="CN54" s="49"/>
      <c r="CO54" s="73" t="s">
        <v>105</v>
      </c>
      <c r="CP54" s="323"/>
      <c r="CQ54" s="363">
        <f>(CP42*CQ42)+(CP43*CQ43)</f>
        <v>0.4</v>
      </c>
      <c r="CR54" s="169">
        <f>'Standard Vorgaben'!$C$36</f>
        <v>32.700000000000003</v>
      </c>
      <c r="CS54" s="93">
        <f t="shared" si="39"/>
        <v>13.080000000000002</v>
      </c>
      <c r="CT54" s="484">
        <f t="shared" si="40"/>
        <v>3.1356376798240406E-4</v>
      </c>
      <c r="CU54" s="49"/>
      <c r="CV54" s="73" t="s">
        <v>105</v>
      </c>
      <c r="CW54" s="323"/>
      <c r="CX54" s="363">
        <f>(CW42*CX42)+(CW43*CX43)</f>
        <v>0.4</v>
      </c>
      <c r="CY54" s="169">
        <f>'Standard Vorgaben'!$C$36</f>
        <v>32.700000000000003</v>
      </c>
      <c r="CZ54" s="93">
        <f t="shared" si="41"/>
        <v>13.080000000000002</v>
      </c>
      <c r="DA54" s="484">
        <f t="shared" si="42"/>
        <v>3.1372906327867815E-4</v>
      </c>
      <c r="DB54" s="49"/>
      <c r="DC54" s="73" t="s">
        <v>105</v>
      </c>
      <c r="DD54" s="323"/>
      <c r="DE54" s="363">
        <f>(DD42*DE42)+(DD43*DE43)</f>
        <v>0.4</v>
      </c>
      <c r="DF54" s="169">
        <f>'Standard Vorgaben'!$C$36</f>
        <v>32.700000000000003</v>
      </c>
      <c r="DG54" s="93">
        <f t="shared" si="43"/>
        <v>13.080000000000002</v>
      </c>
      <c r="DH54" s="484">
        <f t="shared" si="44"/>
        <v>2.743872734660062E-4</v>
      </c>
    </row>
    <row r="55" spans="1:112" x14ac:dyDescent="0.2">
      <c r="B55" s="503" t="str">
        <f>'Standard Vorgaben'!$E$89</f>
        <v>Behangsregulierung (von Hand)</v>
      </c>
      <c r="C55" s="73"/>
      <c r="D55" s="363">
        <f>'Standard Vorgaben'!E92</f>
        <v>0</v>
      </c>
      <c r="E55" s="169">
        <f>'Standard Vorgaben'!$C$37</f>
        <v>22.75</v>
      </c>
      <c r="F55" s="93">
        <f t="shared" si="45"/>
        <v>0</v>
      </c>
      <c r="G55" s="484">
        <f t="shared" si="16"/>
        <v>0</v>
      </c>
      <c r="H55" s="49"/>
      <c r="I55" s="503" t="str">
        <f>'Standard Vorgaben'!$E$89</f>
        <v>Behangsregulierung (von Hand)</v>
      </c>
      <c r="J55" s="73"/>
      <c r="K55" s="363">
        <f>'Standard Vorgaben'!E93</f>
        <v>0</v>
      </c>
      <c r="L55" s="169">
        <f>'Standard Vorgaben'!$C$37</f>
        <v>22.75</v>
      </c>
      <c r="M55" s="93">
        <f t="shared" si="46"/>
        <v>0</v>
      </c>
      <c r="N55" s="484">
        <f t="shared" si="17"/>
        <v>0</v>
      </c>
      <c r="O55" s="49"/>
      <c r="P55" s="503" t="str">
        <f>'Standard Vorgaben'!$E$89</f>
        <v>Behangsregulierung (von Hand)</v>
      </c>
      <c r="Q55" s="73"/>
      <c r="R55" s="363">
        <f>'Standard Vorgaben'!$E$94</f>
        <v>60</v>
      </c>
      <c r="S55" s="169">
        <f>'Standard Vorgaben'!$C$37</f>
        <v>22.75</v>
      </c>
      <c r="T55" s="93">
        <f t="shared" si="47"/>
        <v>1365</v>
      </c>
      <c r="U55" s="484">
        <f t="shared" si="18"/>
        <v>6.7178499794660035E-2</v>
      </c>
      <c r="V55" s="49"/>
      <c r="W55" s="503" t="str">
        <f>'Standard Vorgaben'!$E$89</f>
        <v>Behangsregulierung (von Hand)</v>
      </c>
      <c r="X55" s="73"/>
      <c r="Y55" s="363">
        <f>'Standard Vorgaben'!$E$94</f>
        <v>60</v>
      </c>
      <c r="Z55" s="169">
        <f>'Standard Vorgaben'!$C$37</f>
        <v>22.75</v>
      </c>
      <c r="AA55" s="93">
        <f t="shared" si="19"/>
        <v>1365</v>
      </c>
      <c r="AB55" s="484">
        <f t="shared" si="20"/>
        <v>5.6464344372164563E-2</v>
      </c>
      <c r="AC55" s="49"/>
      <c r="AD55" s="503" t="str">
        <f>'Standard Vorgaben'!$E$89</f>
        <v>Behangsregulierung (von Hand)</v>
      </c>
      <c r="AE55" s="73"/>
      <c r="AF55" s="363">
        <f>'Standard Vorgaben'!$E$91</f>
        <v>100</v>
      </c>
      <c r="AG55" s="169">
        <f>'Standard Vorgaben'!$C$37</f>
        <v>22.75</v>
      </c>
      <c r="AH55" s="93">
        <f t="shared" si="21"/>
        <v>2275</v>
      </c>
      <c r="AI55" s="484">
        <f t="shared" si="22"/>
        <v>6.5195906484985452E-2</v>
      </c>
      <c r="AJ55" s="49"/>
      <c r="AK55" s="503" t="str">
        <f>'Standard Vorgaben'!$E$89</f>
        <v>Behangsregulierung (von Hand)</v>
      </c>
      <c r="AL55" s="73"/>
      <c r="AM55" s="363">
        <f>'Standard Vorgaben'!$E$91</f>
        <v>100</v>
      </c>
      <c r="AN55" s="169">
        <f>'Standard Vorgaben'!$C$37</f>
        <v>22.75</v>
      </c>
      <c r="AO55" s="93">
        <f t="shared" si="23"/>
        <v>2275</v>
      </c>
      <c r="AP55" s="484">
        <f t="shared" si="24"/>
        <v>5.9256040542299729E-2</v>
      </c>
      <c r="AQ55" s="49"/>
      <c r="AR55" s="503" t="str">
        <f>'Standard Vorgaben'!$E$89</f>
        <v>Behangsregulierung (von Hand)</v>
      </c>
      <c r="AS55" s="73"/>
      <c r="AT55" s="363">
        <f>'Standard Vorgaben'!$E$91</f>
        <v>100</v>
      </c>
      <c r="AU55" s="169">
        <f>'Standard Vorgaben'!$C$37</f>
        <v>22.75</v>
      </c>
      <c r="AV55" s="93">
        <f t="shared" si="25"/>
        <v>2275</v>
      </c>
      <c r="AW55" s="484">
        <f t="shared" si="26"/>
        <v>5.4344636649254548E-2</v>
      </c>
      <c r="AX55" s="49"/>
      <c r="AY55" s="503" t="str">
        <f>'Standard Vorgaben'!$E$89</f>
        <v>Behangsregulierung (von Hand)</v>
      </c>
      <c r="AZ55" s="73"/>
      <c r="BA55" s="363">
        <f>'Standard Vorgaben'!$E$91</f>
        <v>100</v>
      </c>
      <c r="BB55" s="169">
        <f>'Standard Vorgaben'!$C$37</f>
        <v>22.75</v>
      </c>
      <c r="BC55" s="93">
        <f t="shared" si="27"/>
        <v>2275</v>
      </c>
      <c r="BD55" s="484">
        <f t="shared" si="28"/>
        <v>5.4371446575816114E-2</v>
      </c>
      <c r="BE55" s="49"/>
      <c r="BF55" s="503" t="str">
        <f>'Standard Vorgaben'!$E$89</f>
        <v>Behangsregulierung (von Hand)</v>
      </c>
      <c r="BG55" s="73"/>
      <c r="BH55" s="363">
        <f>'Standard Vorgaben'!$E$91</f>
        <v>100</v>
      </c>
      <c r="BI55" s="169">
        <f>'Standard Vorgaben'!$C$37</f>
        <v>22.75</v>
      </c>
      <c r="BJ55" s="93">
        <f t="shared" si="29"/>
        <v>2275</v>
      </c>
      <c r="BK55" s="484">
        <f t="shared" si="30"/>
        <v>5.4398524615615146E-2</v>
      </c>
      <c r="BL55" s="49"/>
      <c r="BM55" s="503" t="str">
        <f>'Standard Vorgaben'!$E$89</f>
        <v>Behangsregulierung (von Hand)</v>
      </c>
      <c r="BN55" s="73"/>
      <c r="BO55" s="363">
        <f>'Standard Vorgaben'!$E$91</f>
        <v>100</v>
      </c>
      <c r="BP55" s="169">
        <f>'Standard Vorgaben'!$C$37</f>
        <v>22.75</v>
      </c>
      <c r="BQ55" s="93">
        <f t="shared" si="31"/>
        <v>2275</v>
      </c>
      <c r="BR55" s="484">
        <f t="shared" si="32"/>
        <v>5.4425873707496374E-2</v>
      </c>
      <c r="BS55" s="49"/>
      <c r="BT55" s="503" t="str">
        <f>'Standard Vorgaben'!$E$89</f>
        <v>Behangsregulierung (von Hand)</v>
      </c>
      <c r="BU55" s="73"/>
      <c r="BV55" s="363">
        <f>'Standard Vorgaben'!$E$91</f>
        <v>100</v>
      </c>
      <c r="BW55" s="169">
        <f>'Standard Vorgaben'!$C$37</f>
        <v>22.75</v>
      </c>
      <c r="BX55" s="93">
        <f t="shared" si="33"/>
        <v>2275</v>
      </c>
      <c r="BY55" s="484">
        <f t="shared" si="34"/>
        <v>5.445349682745778E-2</v>
      </c>
      <c r="BZ55" s="49"/>
      <c r="CA55" s="503" t="str">
        <f>'Standard Vorgaben'!$E$89</f>
        <v>Behangsregulierung (von Hand)</v>
      </c>
      <c r="CB55" s="73"/>
      <c r="CC55" s="363">
        <f>'Standard Vorgaben'!$E$91</f>
        <v>100</v>
      </c>
      <c r="CD55" s="169">
        <f>'Standard Vorgaben'!$C$37</f>
        <v>22.75</v>
      </c>
      <c r="CE55" s="93">
        <f t="shared" si="35"/>
        <v>2275</v>
      </c>
      <c r="CF55" s="484">
        <f t="shared" si="36"/>
        <v>5.4481396989214323E-2</v>
      </c>
      <c r="CG55" s="49"/>
      <c r="CH55" s="503" t="str">
        <f>'Standard Vorgaben'!$E$89</f>
        <v>Behangsregulierung (von Hand)</v>
      </c>
      <c r="CI55" s="73"/>
      <c r="CJ55" s="363">
        <f>'Standard Vorgaben'!$E$91</f>
        <v>100</v>
      </c>
      <c r="CK55" s="169">
        <f>'Standard Vorgaben'!$C$37</f>
        <v>22.75</v>
      </c>
      <c r="CL55" s="93">
        <f t="shared" si="37"/>
        <v>2275</v>
      </c>
      <c r="CM55" s="484">
        <f t="shared" si="38"/>
        <v>5.4509577244772081E-2</v>
      </c>
      <c r="CN55" s="49"/>
      <c r="CO55" s="503" t="str">
        <f>'Standard Vorgaben'!$E$89</f>
        <v>Behangsregulierung (von Hand)</v>
      </c>
      <c r="CP55" s="73"/>
      <c r="CQ55" s="363">
        <f>'Standard Vorgaben'!$E$91</f>
        <v>100</v>
      </c>
      <c r="CR55" s="169">
        <f>'Standard Vorgaben'!$C$37</f>
        <v>22.75</v>
      </c>
      <c r="CS55" s="93">
        <f t="shared" si="39"/>
        <v>2275</v>
      </c>
      <c r="CT55" s="484">
        <f t="shared" si="40"/>
        <v>5.4538040685012931E-2</v>
      </c>
      <c r="CU55" s="49"/>
      <c r="CV55" s="503" t="str">
        <f>'Standard Vorgaben'!$E$89</f>
        <v>Behangsregulierung (von Hand)</v>
      </c>
      <c r="CW55" s="73"/>
      <c r="CX55" s="363">
        <f>'Standard Vorgaben'!$E$91</f>
        <v>100</v>
      </c>
      <c r="CY55" s="169">
        <f>'Standard Vorgaben'!$C$37</f>
        <v>22.75</v>
      </c>
      <c r="CZ55" s="93">
        <f t="shared" si="41"/>
        <v>2275</v>
      </c>
      <c r="DA55" s="484">
        <f t="shared" si="42"/>
        <v>5.4566790440289954E-2</v>
      </c>
      <c r="DB55" s="49"/>
      <c r="DC55" s="503" t="str">
        <f>'Standard Vorgaben'!$E$89</f>
        <v>Behangsregulierung (von Hand)</v>
      </c>
      <c r="DD55" s="73"/>
      <c r="DE55" s="363">
        <f>'Standard Vorgaben'!$E$91</f>
        <v>100</v>
      </c>
      <c r="DF55" s="169">
        <f>'Standard Vorgaben'!$C$37</f>
        <v>22.75</v>
      </c>
      <c r="DG55" s="93">
        <f t="shared" si="43"/>
        <v>2275</v>
      </c>
      <c r="DH55" s="484">
        <f t="shared" si="44"/>
        <v>4.7724086172413145E-2</v>
      </c>
    </row>
    <row r="56" spans="1:112" x14ac:dyDescent="0.2">
      <c r="B56" s="670" t="s">
        <v>399</v>
      </c>
      <c r="C56" s="326">
        <f>'Standard Vorgaben'!$C$177</f>
        <v>0</v>
      </c>
      <c r="D56" s="672">
        <v>15</v>
      </c>
      <c r="E56" s="169">
        <f>'Standard Vorgaben'!$C$37</f>
        <v>22.75</v>
      </c>
      <c r="F56" s="93">
        <f t="shared" ref="F56:F61" si="48">D56*E56*C56</f>
        <v>0</v>
      </c>
      <c r="G56" s="484">
        <f t="shared" si="16"/>
        <v>0</v>
      </c>
      <c r="H56" s="49"/>
      <c r="I56" s="670" t="s">
        <v>399</v>
      </c>
      <c r="J56" s="326">
        <f>'Standard Vorgaben'!$C$177</f>
        <v>0</v>
      </c>
      <c r="K56" s="672">
        <v>15</v>
      </c>
      <c r="L56" s="169">
        <f>'Standard Vorgaben'!$C$37</f>
        <v>22.75</v>
      </c>
      <c r="M56" s="93">
        <f t="shared" ref="M56:M61" si="49">K56*L56*J56</f>
        <v>0</v>
      </c>
      <c r="N56" s="484">
        <f t="shared" si="17"/>
        <v>0</v>
      </c>
      <c r="O56" s="49"/>
      <c r="P56" s="670" t="s">
        <v>399</v>
      </c>
      <c r="Q56" s="326">
        <f>'Standard Vorgaben'!$C$177</f>
        <v>0</v>
      </c>
      <c r="R56" s="672">
        <v>15</v>
      </c>
      <c r="S56" s="169">
        <f>'Standard Vorgaben'!$C$37</f>
        <v>22.75</v>
      </c>
      <c r="T56" s="93">
        <f t="shared" ref="T56:T61" si="50">R56*S56*Q56</f>
        <v>0</v>
      </c>
      <c r="U56" s="484">
        <f t="shared" si="18"/>
        <v>0</v>
      </c>
      <c r="V56" s="49"/>
      <c r="W56" s="670" t="s">
        <v>399</v>
      </c>
      <c r="X56" s="326">
        <f>'Standard Vorgaben'!$C$177</f>
        <v>0</v>
      </c>
      <c r="Y56" s="672">
        <v>15</v>
      </c>
      <c r="Z56" s="169">
        <f>'Standard Vorgaben'!$C$37</f>
        <v>22.75</v>
      </c>
      <c r="AA56" s="93">
        <f t="shared" ref="AA56:AA61" si="51">Y56*Z56*X56</f>
        <v>0</v>
      </c>
      <c r="AB56" s="484">
        <f t="shared" si="20"/>
        <v>0</v>
      </c>
      <c r="AC56" s="49"/>
      <c r="AD56" s="670" t="s">
        <v>399</v>
      </c>
      <c r="AE56" s="326">
        <f>'Standard Vorgaben'!$C$177</f>
        <v>0</v>
      </c>
      <c r="AF56" s="672">
        <v>15</v>
      </c>
      <c r="AG56" s="169">
        <f>'Standard Vorgaben'!$C$37</f>
        <v>22.75</v>
      </c>
      <c r="AH56" s="93">
        <f t="shared" ref="AH56:AH61" si="52">AF56*AG56*AE56</f>
        <v>0</v>
      </c>
      <c r="AI56" s="484">
        <f t="shared" si="22"/>
        <v>0</v>
      </c>
      <c r="AJ56" s="49"/>
      <c r="AK56" s="670" t="s">
        <v>399</v>
      </c>
      <c r="AL56" s="326">
        <f>'Standard Vorgaben'!$C$177</f>
        <v>0</v>
      </c>
      <c r="AM56" s="672">
        <v>15</v>
      </c>
      <c r="AN56" s="169">
        <f>'Standard Vorgaben'!$C$37</f>
        <v>22.75</v>
      </c>
      <c r="AO56" s="93">
        <f t="shared" ref="AO56:AO61" si="53">AM56*AN56*AL56</f>
        <v>0</v>
      </c>
      <c r="AP56" s="484">
        <f t="shared" si="24"/>
        <v>0</v>
      </c>
      <c r="AQ56" s="49"/>
      <c r="AR56" s="670" t="s">
        <v>399</v>
      </c>
      <c r="AS56" s="326">
        <f>'Standard Vorgaben'!$C$177</f>
        <v>0</v>
      </c>
      <c r="AT56" s="672">
        <v>15</v>
      </c>
      <c r="AU56" s="169">
        <f>'Standard Vorgaben'!$C$37</f>
        <v>22.75</v>
      </c>
      <c r="AV56" s="93">
        <f t="shared" ref="AV56:AV61" si="54">AT56*AU56*AS56</f>
        <v>0</v>
      </c>
      <c r="AW56" s="484">
        <f t="shared" si="26"/>
        <v>0</v>
      </c>
      <c r="AX56" s="49"/>
      <c r="AY56" s="670" t="s">
        <v>399</v>
      </c>
      <c r="AZ56" s="326">
        <f>'Standard Vorgaben'!$C$177</f>
        <v>0</v>
      </c>
      <c r="BA56" s="672">
        <v>15</v>
      </c>
      <c r="BB56" s="169">
        <f>'Standard Vorgaben'!$C$37</f>
        <v>22.75</v>
      </c>
      <c r="BC56" s="93">
        <f t="shared" ref="BC56:BC61" si="55">BA56*BB56*AZ56</f>
        <v>0</v>
      </c>
      <c r="BD56" s="484">
        <f t="shared" si="28"/>
        <v>0</v>
      </c>
      <c r="BE56" s="49"/>
      <c r="BF56" s="670" t="s">
        <v>399</v>
      </c>
      <c r="BG56" s="326">
        <f>'Standard Vorgaben'!$C$177</f>
        <v>0</v>
      </c>
      <c r="BH56" s="672">
        <v>15</v>
      </c>
      <c r="BI56" s="169">
        <f>'Standard Vorgaben'!$C$37</f>
        <v>22.75</v>
      </c>
      <c r="BJ56" s="93">
        <f t="shared" ref="BJ56:BJ61" si="56">BH56*BI56*BG56</f>
        <v>0</v>
      </c>
      <c r="BK56" s="484">
        <f t="shared" si="30"/>
        <v>0</v>
      </c>
      <c r="BL56" s="49"/>
      <c r="BM56" s="670" t="s">
        <v>399</v>
      </c>
      <c r="BN56" s="326">
        <f>'Standard Vorgaben'!$C$177</f>
        <v>0</v>
      </c>
      <c r="BO56" s="672">
        <v>15</v>
      </c>
      <c r="BP56" s="169">
        <f>'Standard Vorgaben'!$C$37</f>
        <v>22.75</v>
      </c>
      <c r="BQ56" s="93">
        <f t="shared" ref="BQ56:BQ61" si="57">BO56*BP56*BN56</f>
        <v>0</v>
      </c>
      <c r="BR56" s="484">
        <f t="shared" si="32"/>
        <v>0</v>
      </c>
      <c r="BS56" s="49"/>
      <c r="BT56" s="670" t="s">
        <v>399</v>
      </c>
      <c r="BU56" s="326">
        <f>'Standard Vorgaben'!$C$177</f>
        <v>0</v>
      </c>
      <c r="BV56" s="672">
        <v>15</v>
      </c>
      <c r="BW56" s="169">
        <f>'Standard Vorgaben'!$C$37</f>
        <v>22.75</v>
      </c>
      <c r="BX56" s="93">
        <f t="shared" ref="BX56:BX61" si="58">BV56*BW56*BU56</f>
        <v>0</v>
      </c>
      <c r="BY56" s="484">
        <f t="shared" si="34"/>
        <v>0</v>
      </c>
      <c r="BZ56" s="49"/>
      <c r="CA56" s="670" t="s">
        <v>399</v>
      </c>
      <c r="CB56" s="326">
        <f>'Standard Vorgaben'!$C$177</f>
        <v>0</v>
      </c>
      <c r="CC56" s="672">
        <v>15</v>
      </c>
      <c r="CD56" s="169">
        <f>'Standard Vorgaben'!$C$37</f>
        <v>22.75</v>
      </c>
      <c r="CE56" s="93">
        <f t="shared" ref="CE56:CE61" si="59">CC56*CD56*CB56</f>
        <v>0</v>
      </c>
      <c r="CF56" s="484">
        <f t="shared" si="36"/>
        <v>0</v>
      </c>
      <c r="CG56" s="49"/>
      <c r="CH56" s="670" t="s">
        <v>399</v>
      </c>
      <c r="CI56" s="326">
        <f>'Standard Vorgaben'!$C$177</f>
        <v>0</v>
      </c>
      <c r="CJ56" s="672">
        <v>15</v>
      </c>
      <c r="CK56" s="169">
        <f>'Standard Vorgaben'!$C$37</f>
        <v>22.75</v>
      </c>
      <c r="CL56" s="93">
        <f t="shared" ref="CL56:CL61" si="60">CJ56*CK56*CI56</f>
        <v>0</v>
      </c>
      <c r="CM56" s="484">
        <f t="shared" si="38"/>
        <v>0</v>
      </c>
      <c r="CN56" s="49"/>
      <c r="CO56" s="670" t="s">
        <v>399</v>
      </c>
      <c r="CP56" s="326">
        <f>'Standard Vorgaben'!$C$177</f>
        <v>0</v>
      </c>
      <c r="CQ56" s="672">
        <v>15</v>
      </c>
      <c r="CR56" s="169">
        <f>'Standard Vorgaben'!$C$37</f>
        <v>22.75</v>
      </c>
      <c r="CS56" s="93">
        <f t="shared" ref="CS56:CS61" si="61">CQ56*CR56*CP56</f>
        <v>0</v>
      </c>
      <c r="CT56" s="484">
        <f t="shared" si="40"/>
        <v>0</v>
      </c>
      <c r="CU56" s="49"/>
      <c r="CV56" s="670" t="s">
        <v>399</v>
      </c>
      <c r="CW56" s="326">
        <f>'Standard Vorgaben'!$C$177</f>
        <v>0</v>
      </c>
      <c r="CX56" s="672">
        <v>15</v>
      </c>
      <c r="CY56" s="169">
        <f>'Standard Vorgaben'!$C$37</f>
        <v>22.75</v>
      </c>
      <c r="CZ56" s="93">
        <f t="shared" ref="CZ56:CZ61" si="62">CX56*CY56*CW56</f>
        <v>0</v>
      </c>
      <c r="DA56" s="484">
        <f t="shared" si="42"/>
        <v>0</v>
      </c>
      <c r="DB56" s="49"/>
      <c r="DC56" s="670" t="s">
        <v>399</v>
      </c>
      <c r="DD56" s="326">
        <f>'Standard Vorgaben'!$C$177</f>
        <v>0</v>
      </c>
      <c r="DE56" s="672">
        <v>15</v>
      </c>
      <c r="DF56" s="169">
        <f>'Standard Vorgaben'!$C$37</f>
        <v>22.75</v>
      </c>
      <c r="DG56" s="93">
        <f t="shared" ref="DG56:DG61" si="63">DE56*DF56*DD56</f>
        <v>0</v>
      </c>
      <c r="DH56" s="484">
        <f t="shared" si="44"/>
        <v>0</v>
      </c>
    </row>
    <row r="57" spans="1:112" x14ac:dyDescent="0.2">
      <c r="B57" s="670" t="s">
        <v>400</v>
      </c>
      <c r="C57" s="326">
        <f>'Standard Vorgaben'!$C$177</f>
        <v>0</v>
      </c>
      <c r="D57" s="672">
        <v>10</v>
      </c>
      <c r="E57" s="169">
        <f>'Standard Vorgaben'!$C$37</f>
        <v>22.75</v>
      </c>
      <c r="F57" s="93">
        <f t="shared" si="48"/>
        <v>0</v>
      </c>
      <c r="G57" s="484">
        <f>F57/$F$69</f>
        <v>0</v>
      </c>
      <c r="H57" s="49"/>
      <c r="I57" s="670" t="s">
        <v>400</v>
      </c>
      <c r="J57" s="326">
        <f>'Standard Vorgaben'!$C$177</f>
        <v>0</v>
      </c>
      <c r="K57" s="672">
        <v>10</v>
      </c>
      <c r="L57" s="169">
        <f>'Standard Vorgaben'!$C$37</f>
        <v>22.75</v>
      </c>
      <c r="M57" s="93">
        <f t="shared" si="49"/>
        <v>0</v>
      </c>
      <c r="N57" s="484">
        <f t="shared" si="17"/>
        <v>0</v>
      </c>
      <c r="O57" s="49"/>
      <c r="P57" s="670" t="s">
        <v>400</v>
      </c>
      <c r="Q57" s="326">
        <f>'Standard Vorgaben'!$C$177</f>
        <v>0</v>
      </c>
      <c r="R57" s="672">
        <v>10</v>
      </c>
      <c r="S57" s="169">
        <f>'Standard Vorgaben'!$C$37</f>
        <v>22.75</v>
      </c>
      <c r="T57" s="93">
        <f t="shared" si="50"/>
        <v>0</v>
      </c>
      <c r="U57" s="484">
        <f t="shared" si="18"/>
        <v>0</v>
      </c>
      <c r="V57" s="49"/>
      <c r="W57" s="670" t="s">
        <v>400</v>
      </c>
      <c r="X57" s="326">
        <f>'Standard Vorgaben'!$C$177</f>
        <v>0</v>
      </c>
      <c r="Y57" s="672">
        <v>10</v>
      </c>
      <c r="Z57" s="169">
        <f>'Standard Vorgaben'!$C$37</f>
        <v>22.75</v>
      </c>
      <c r="AA57" s="93">
        <f t="shared" si="51"/>
        <v>0</v>
      </c>
      <c r="AB57" s="484">
        <f t="shared" si="20"/>
        <v>0</v>
      </c>
      <c r="AC57" s="49"/>
      <c r="AD57" s="670" t="s">
        <v>400</v>
      </c>
      <c r="AE57" s="326">
        <f>'Standard Vorgaben'!$C$177</f>
        <v>0</v>
      </c>
      <c r="AF57" s="672">
        <v>10</v>
      </c>
      <c r="AG57" s="169">
        <f>'Standard Vorgaben'!$C$37</f>
        <v>22.75</v>
      </c>
      <c r="AH57" s="93">
        <f t="shared" si="52"/>
        <v>0</v>
      </c>
      <c r="AI57" s="484">
        <f t="shared" si="22"/>
        <v>0</v>
      </c>
      <c r="AJ57" s="49"/>
      <c r="AK57" s="670" t="s">
        <v>400</v>
      </c>
      <c r="AL57" s="326">
        <f>'Standard Vorgaben'!$C$177</f>
        <v>0</v>
      </c>
      <c r="AM57" s="672">
        <v>10</v>
      </c>
      <c r="AN57" s="169">
        <f>'Standard Vorgaben'!$C$37</f>
        <v>22.75</v>
      </c>
      <c r="AO57" s="93">
        <f t="shared" si="53"/>
        <v>0</v>
      </c>
      <c r="AP57" s="484">
        <f t="shared" si="24"/>
        <v>0</v>
      </c>
      <c r="AQ57" s="49"/>
      <c r="AR57" s="670" t="s">
        <v>400</v>
      </c>
      <c r="AS57" s="326">
        <f>'Standard Vorgaben'!$C$177</f>
        <v>0</v>
      </c>
      <c r="AT57" s="672">
        <v>10</v>
      </c>
      <c r="AU57" s="169">
        <f>'Standard Vorgaben'!$C$37</f>
        <v>22.75</v>
      </c>
      <c r="AV57" s="93">
        <f t="shared" si="54"/>
        <v>0</v>
      </c>
      <c r="AW57" s="484">
        <f t="shared" si="26"/>
        <v>0</v>
      </c>
      <c r="AX57" s="49"/>
      <c r="AY57" s="670" t="s">
        <v>400</v>
      </c>
      <c r="AZ57" s="326">
        <f>'Standard Vorgaben'!$C$177</f>
        <v>0</v>
      </c>
      <c r="BA57" s="672">
        <v>10</v>
      </c>
      <c r="BB57" s="169">
        <f>'Standard Vorgaben'!$C$37</f>
        <v>22.75</v>
      </c>
      <c r="BC57" s="93">
        <f t="shared" si="55"/>
        <v>0</v>
      </c>
      <c r="BD57" s="484">
        <f t="shared" si="28"/>
        <v>0</v>
      </c>
      <c r="BE57" s="49"/>
      <c r="BF57" s="670" t="s">
        <v>400</v>
      </c>
      <c r="BG57" s="326">
        <f>'Standard Vorgaben'!$C$177</f>
        <v>0</v>
      </c>
      <c r="BH57" s="672">
        <v>10</v>
      </c>
      <c r="BI57" s="169">
        <f>'Standard Vorgaben'!$C$37</f>
        <v>22.75</v>
      </c>
      <c r="BJ57" s="93">
        <f t="shared" si="56"/>
        <v>0</v>
      </c>
      <c r="BK57" s="484">
        <f t="shared" si="30"/>
        <v>0</v>
      </c>
      <c r="BL57" s="49"/>
      <c r="BM57" s="670" t="s">
        <v>400</v>
      </c>
      <c r="BN57" s="326">
        <f>'Standard Vorgaben'!$C$177</f>
        <v>0</v>
      </c>
      <c r="BO57" s="672">
        <v>10</v>
      </c>
      <c r="BP57" s="169">
        <f>'Standard Vorgaben'!$C$37</f>
        <v>22.75</v>
      </c>
      <c r="BQ57" s="93">
        <f t="shared" si="57"/>
        <v>0</v>
      </c>
      <c r="BR57" s="484">
        <f t="shared" si="32"/>
        <v>0</v>
      </c>
      <c r="BS57" s="49"/>
      <c r="BT57" s="670" t="s">
        <v>400</v>
      </c>
      <c r="BU57" s="326">
        <f>'Standard Vorgaben'!$C$177</f>
        <v>0</v>
      </c>
      <c r="BV57" s="672">
        <v>10</v>
      </c>
      <c r="BW57" s="169">
        <f>'Standard Vorgaben'!$C$37</f>
        <v>22.75</v>
      </c>
      <c r="BX57" s="93">
        <f t="shared" si="58"/>
        <v>0</v>
      </c>
      <c r="BY57" s="484">
        <f t="shared" si="34"/>
        <v>0</v>
      </c>
      <c r="BZ57" s="49"/>
      <c r="CA57" s="670" t="s">
        <v>400</v>
      </c>
      <c r="CB57" s="326">
        <f>'Standard Vorgaben'!$C$177</f>
        <v>0</v>
      </c>
      <c r="CC57" s="672">
        <v>10</v>
      </c>
      <c r="CD57" s="169">
        <f>'Standard Vorgaben'!$C$37</f>
        <v>22.75</v>
      </c>
      <c r="CE57" s="93">
        <f t="shared" si="59"/>
        <v>0</v>
      </c>
      <c r="CF57" s="484">
        <f t="shared" si="36"/>
        <v>0</v>
      </c>
      <c r="CG57" s="49"/>
      <c r="CH57" s="670" t="s">
        <v>400</v>
      </c>
      <c r="CI57" s="326">
        <f>'Standard Vorgaben'!$C$177</f>
        <v>0</v>
      </c>
      <c r="CJ57" s="672">
        <v>10</v>
      </c>
      <c r="CK57" s="169">
        <f>'Standard Vorgaben'!$C$37</f>
        <v>22.75</v>
      </c>
      <c r="CL57" s="93">
        <f t="shared" si="60"/>
        <v>0</v>
      </c>
      <c r="CM57" s="484">
        <f t="shared" si="38"/>
        <v>0</v>
      </c>
      <c r="CN57" s="49"/>
      <c r="CO57" s="670" t="s">
        <v>400</v>
      </c>
      <c r="CP57" s="326">
        <f>'Standard Vorgaben'!$C$177</f>
        <v>0</v>
      </c>
      <c r="CQ57" s="672">
        <v>10</v>
      </c>
      <c r="CR57" s="169">
        <f>'Standard Vorgaben'!$C$37</f>
        <v>22.75</v>
      </c>
      <c r="CS57" s="93">
        <f t="shared" si="61"/>
        <v>0</v>
      </c>
      <c r="CT57" s="484">
        <f t="shared" si="40"/>
        <v>0</v>
      </c>
      <c r="CU57" s="49"/>
      <c r="CV57" s="670" t="s">
        <v>400</v>
      </c>
      <c r="CW57" s="326">
        <f>'Standard Vorgaben'!$C$177</f>
        <v>0</v>
      </c>
      <c r="CX57" s="672">
        <v>10</v>
      </c>
      <c r="CY57" s="169">
        <f>'Standard Vorgaben'!$C$37</f>
        <v>22.75</v>
      </c>
      <c r="CZ57" s="93">
        <f t="shared" si="62"/>
        <v>0</v>
      </c>
      <c r="DA57" s="484">
        <f t="shared" si="42"/>
        <v>0</v>
      </c>
      <c r="DB57" s="49"/>
      <c r="DC57" s="670" t="s">
        <v>400</v>
      </c>
      <c r="DD57" s="326">
        <f>'Standard Vorgaben'!$C$177</f>
        <v>0</v>
      </c>
      <c r="DE57" s="672">
        <v>10</v>
      </c>
      <c r="DF57" s="169">
        <f>'Standard Vorgaben'!$C$37</f>
        <v>22.75</v>
      </c>
      <c r="DG57" s="93">
        <f t="shared" si="63"/>
        <v>0</v>
      </c>
      <c r="DH57" s="484">
        <f t="shared" si="44"/>
        <v>0</v>
      </c>
    </row>
    <row r="58" spans="1:112" x14ac:dyDescent="0.2">
      <c r="B58" s="670" t="s">
        <v>632</v>
      </c>
      <c r="C58" s="326">
        <f>'Standard Vorgaben'!$C$181</f>
        <v>0</v>
      </c>
      <c r="D58" s="672">
        <v>60</v>
      </c>
      <c r="E58" s="169">
        <f>'Standard Vorgaben'!$C$37</f>
        <v>22.75</v>
      </c>
      <c r="F58" s="93">
        <f t="shared" si="48"/>
        <v>0</v>
      </c>
      <c r="G58" s="484">
        <f>F58/$F$69</f>
        <v>0</v>
      </c>
      <c r="H58" s="49"/>
      <c r="I58" s="670" t="s">
        <v>632</v>
      </c>
      <c r="J58" s="326">
        <f>'Standard Vorgaben'!$C$181</f>
        <v>0</v>
      </c>
      <c r="K58" s="672">
        <v>60</v>
      </c>
      <c r="L58" s="169">
        <f>'Standard Vorgaben'!$C$37</f>
        <v>22.75</v>
      </c>
      <c r="M58" s="93">
        <f t="shared" si="49"/>
        <v>0</v>
      </c>
      <c r="N58" s="484">
        <f t="shared" si="17"/>
        <v>0</v>
      </c>
      <c r="O58" s="49"/>
      <c r="P58" s="670" t="s">
        <v>632</v>
      </c>
      <c r="Q58" s="326">
        <f>'Standard Vorgaben'!$C$181</f>
        <v>0</v>
      </c>
      <c r="R58" s="672">
        <v>60</v>
      </c>
      <c r="S58" s="169">
        <f>'Standard Vorgaben'!$C$37</f>
        <v>22.75</v>
      </c>
      <c r="T58" s="93">
        <f t="shared" si="50"/>
        <v>0</v>
      </c>
      <c r="U58" s="484">
        <f t="shared" si="18"/>
        <v>0</v>
      </c>
      <c r="V58" s="49"/>
      <c r="W58" s="670" t="s">
        <v>632</v>
      </c>
      <c r="X58" s="326">
        <f>'Standard Vorgaben'!$C$181</f>
        <v>0</v>
      </c>
      <c r="Y58" s="672">
        <v>60</v>
      </c>
      <c r="Z58" s="169">
        <f>'Standard Vorgaben'!$C$37</f>
        <v>22.75</v>
      </c>
      <c r="AA58" s="93">
        <f t="shared" si="51"/>
        <v>0</v>
      </c>
      <c r="AB58" s="484">
        <f t="shared" si="20"/>
        <v>0</v>
      </c>
      <c r="AC58" s="49"/>
      <c r="AD58" s="670" t="s">
        <v>632</v>
      </c>
      <c r="AE58" s="326">
        <f>'Standard Vorgaben'!$C$181</f>
        <v>0</v>
      </c>
      <c r="AF58" s="672">
        <v>60</v>
      </c>
      <c r="AG58" s="169">
        <f>'Standard Vorgaben'!$C$37</f>
        <v>22.75</v>
      </c>
      <c r="AH58" s="93">
        <f t="shared" si="52"/>
        <v>0</v>
      </c>
      <c r="AI58" s="484">
        <f t="shared" si="22"/>
        <v>0</v>
      </c>
      <c r="AJ58" s="49"/>
      <c r="AK58" s="670" t="s">
        <v>632</v>
      </c>
      <c r="AL58" s="326">
        <f>'Standard Vorgaben'!$C$181</f>
        <v>0</v>
      </c>
      <c r="AM58" s="672">
        <v>60</v>
      </c>
      <c r="AN58" s="169">
        <f>'Standard Vorgaben'!$C$37</f>
        <v>22.75</v>
      </c>
      <c r="AO58" s="93">
        <f t="shared" si="53"/>
        <v>0</v>
      </c>
      <c r="AP58" s="484">
        <f t="shared" si="24"/>
        <v>0</v>
      </c>
      <c r="AQ58" s="49"/>
      <c r="AR58" s="670" t="s">
        <v>632</v>
      </c>
      <c r="AS58" s="326">
        <f>'Standard Vorgaben'!$C$181</f>
        <v>0</v>
      </c>
      <c r="AT58" s="672">
        <v>60</v>
      </c>
      <c r="AU58" s="169">
        <f>'Standard Vorgaben'!$C$37</f>
        <v>22.75</v>
      </c>
      <c r="AV58" s="93">
        <f t="shared" si="54"/>
        <v>0</v>
      </c>
      <c r="AW58" s="484">
        <f t="shared" si="26"/>
        <v>0</v>
      </c>
      <c r="AX58" s="49"/>
      <c r="AY58" s="670" t="s">
        <v>632</v>
      </c>
      <c r="AZ58" s="326">
        <f>'Standard Vorgaben'!$C$181</f>
        <v>0</v>
      </c>
      <c r="BA58" s="672">
        <v>60</v>
      </c>
      <c r="BB58" s="169">
        <f>'Standard Vorgaben'!$C$37</f>
        <v>22.75</v>
      </c>
      <c r="BC58" s="93">
        <f t="shared" si="55"/>
        <v>0</v>
      </c>
      <c r="BD58" s="484">
        <f t="shared" si="28"/>
        <v>0</v>
      </c>
      <c r="BE58" s="49"/>
      <c r="BF58" s="670" t="s">
        <v>632</v>
      </c>
      <c r="BG58" s="326">
        <f>'Standard Vorgaben'!$C$181</f>
        <v>0</v>
      </c>
      <c r="BH58" s="672">
        <v>60</v>
      </c>
      <c r="BI58" s="169">
        <f>'Standard Vorgaben'!$C$37</f>
        <v>22.75</v>
      </c>
      <c r="BJ58" s="93">
        <f t="shared" si="56"/>
        <v>0</v>
      </c>
      <c r="BK58" s="484">
        <f t="shared" si="30"/>
        <v>0</v>
      </c>
      <c r="BL58" s="49"/>
      <c r="BM58" s="670" t="s">
        <v>632</v>
      </c>
      <c r="BN58" s="326">
        <f>'Standard Vorgaben'!$C$181</f>
        <v>0</v>
      </c>
      <c r="BO58" s="672">
        <v>60</v>
      </c>
      <c r="BP58" s="169">
        <f>'Standard Vorgaben'!$C$37</f>
        <v>22.75</v>
      </c>
      <c r="BQ58" s="93">
        <f t="shared" si="57"/>
        <v>0</v>
      </c>
      <c r="BR58" s="484">
        <f t="shared" si="32"/>
        <v>0</v>
      </c>
      <c r="BS58" s="49"/>
      <c r="BT58" s="670" t="s">
        <v>632</v>
      </c>
      <c r="BU58" s="326">
        <f>'Standard Vorgaben'!$C$181</f>
        <v>0</v>
      </c>
      <c r="BV58" s="672">
        <v>60</v>
      </c>
      <c r="BW58" s="169">
        <f>'Standard Vorgaben'!$C$37</f>
        <v>22.75</v>
      </c>
      <c r="BX58" s="93">
        <f t="shared" si="58"/>
        <v>0</v>
      </c>
      <c r="BY58" s="484">
        <f t="shared" si="34"/>
        <v>0</v>
      </c>
      <c r="BZ58" s="49"/>
      <c r="CA58" s="670" t="s">
        <v>632</v>
      </c>
      <c r="CB58" s="326">
        <f>'Standard Vorgaben'!$C$181</f>
        <v>0</v>
      </c>
      <c r="CC58" s="672">
        <v>60</v>
      </c>
      <c r="CD58" s="169">
        <f>'Standard Vorgaben'!$C$37</f>
        <v>22.75</v>
      </c>
      <c r="CE58" s="93">
        <f t="shared" si="59"/>
        <v>0</v>
      </c>
      <c r="CF58" s="484">
        <f t="shared" si="36"/>
        <v>0</v>
      </c>
      <c r="CG58" s="49"/>
      <c r="CH58" s="670" t="s">
        <v>632</v>
      </c>
      <c r="CI58" s="326">
        <f>'Standard Vorgaben'!$C$181</f>
        <v>0</v>
      </c>
      <c r="CJ58" s="672">
        <v>60</v>
      </c>
      <c r="CK58" s="169">
        <f>'Standard Vorgaben'!$C$37</f>
        <v>22.75</v>
      </c>
      <c r="CL58" s="93">
        <f t="shared" si="60"/>
        <v>0</v>
      </c>
      <c r="CM58" s="484">
        <f t="shared" si="38"/>
        <v>0</v>
      </c>
      <c r="CN58" s="49"/>
      <c r="CO58" s="670" t="s">
        <v>632</v>
      </c>
      <c r="CP58" s="326">
        <f>'Standard Vorgaben'!$C$181</f>
        <v>0</v>
      </c>
      <c r="CQ58" s="672">
        <v>60</v>
      </c>
      <c r="CR58" s="169">
        <f>'Standard Vorgaben'!$C$37</f>
        <v>22.75</v>
      </c>
      <c r="CS58" s="93">
        <f t="shared" si="61"/>
        <v>0</v>
      </c>
      <c r="CT58" s="484">
        <f t="shared" si="40"/>
        <v>0</v>
      </c>
      <c r="CU58" s="49"/>
      <c r="CV58" s="670" t="s">
        <v>632</v>
      </c>
      <c r="CW58" s="326">
        <f>'Standard Vorgaben'!$C$181</f>
        <v>0</v>
      </c>
      <c r="CX58" s="672">
        <v>60</v>
      </c>
      <c r="CY58" s="169">
        <f>'Standard Vorgaben'!$C$37</f>
        <v>22.75</v>
      </c>
      <c r="CZ58" s="93">
        <f t="shared" si="62"/>
        <v>0</v>
      </c>
      <c r="DA58" s="484">
        <f t="shared" si="42"/>
        <v>0</v>
      </c>
      <c r="DB58" s="49"/>
      <c r="DC58" s="670" t="s">
        <v>632</v>
      </c>
      <c r="DD58" s="326">
        <f>'Standard Vorgaben'!$C$181</f>
        <v>0</v>
      </c>
      <c r="DE58" s="672">
        <v>60</v>
      </c>
      <c r="DF58" s="169">
        <f>'Standard Vorgaben'!$C$37</f>
        <v>22.75</v>
      </c>
      <c r="DG58" s="93">
        <f t="shared" si="63"/>
        <v>0</v>
      </c>
      <c r="DH58" s="484">
        <f t="shared" si="44"/>
        <v>0</v>
      </c>
    </row>
    <row r="59" spans="1:112" x14ac:dyDescent="0.2">
      <c r="B59" t="s">
        <v>457</v>
      </c>
      <c r="C59" s="44">
        <f>'Standard Vorgaben'!$C$187</f>
        <v>1</v>
      </c>
      <c r="D59" s="363">
        <f>'Standard Bewässerung'!$E$110</f>
        <v>10</v>
      </c>
      <c r="E59" s="169">
        <f>'Standard Vorgaben'!$C$35</f>
        <v>22.62</v>
      </c>
      <c r="F59" s="93">
        <f t="shared" si="48"/>
        <v>226.20000000000002</v>
      </c>
      <c r="G59" s="484">
        <f>F59/$F$69</f>
        <v>2.3908141234913423E-2</v>
      </c>
      <c r="H59" s="49"/>
      <c r="I59" t="s">
        <v>457</v>
      </c>
      <c r="J59" s="44">
        <f>'Standard Vorgaben'!$C$187</f>
        <v>1</v>
      </c>
      <c r="K59" s="363">
        <f>'Standard Bewässerung'!$E$110</f>
        <v>10</v>
      </c>
      <c r="L59" s="169">
        <f>'Standard Vorgaben'!$C$35</f>
        <v>22.62</v>
      </c>
      <c r="M59" s="93">
        <f t="shared" si="49"/>
        <v>226.20000000000002</v>
      </c>
      <c r="N59" s="484">
        <f t="shared" si="17"/>
        <v>1.6450414724246899E-2</v>
      </c>
      <c r="O59" s="49"/>
      <c r="P59" t="s">
        <v>457</v>
      </c>
      <c r="Q59" s="44">
        <f>'Standard Vorgaben'!$C$187</f>
        <v>1</v>
      </c>
      <c r="R59" s="363">
        <f>'Standard Bewässerung'!$E$110</f>
        <v>10</v>
      </c>
      <c r="S59" s="169">
        <f>'Standard Vorgaben'!$C$35</f>
        <v>22.62</v>
      </c>
      <c r="T59" s="93">
        <f t="shared" si="50"/>
        <v>226.20000000000002</v>
      </c>
      <c r="U59" s="484">
        <f t="shared" si="18"/>
        <v>1.1132437108829378E-2</v>
      </c>
      <c r="V59" s="49"/>
      <c r="W59" t="s">
        <v>457</v>
      </c>
      <c r="X59" s="44">
        <f>'Standard Vorgaben'!$C$187</f>
        <v>1</v>
      </c>
      <c r="Y59" s="363">
        <f>'Standard Bewässerung'!$E$110</f>
        <v>10</v>
      </c>
      <c r="Z59" s="169">
        <f>'Standard Vorgaben'!$C$35</f>
        <v>22.62</v>
      </c>
      <c r="AA59" s="93">
        <f t="shared" si="51"/>
        <v>226.20000000000002</v>
      </c>
      <c r="AB59" s="484">
        <f t="shared" si="20"/>
        <v>9.3569484959586998E-3</v>
      </c>
      <c r="AC59" s="49"/>
      <c r="AD59" t="s">
        <v>457</v>
      </c>
      <c r="AE59" s="44">
        <f>'Standard Vorgaben'!$C$187</f>
        <v>1</v>
      </c>
      <c r="AF59" s="363">
        <f>'Standard Bewässerung'!$E$110</f>
        <v>10</v>
      </c>
      <c r="AG59" s="169">
        <f>'Standard Vorgaben'!$C$35</f>
        <v>22.62</v>
      </c>
      <c r="AH59" s="93">
        <f t="shared" si="52"/>
        <v>226.20000000000002</v>
      </c>
      <c r="AI59" s="484">
        <f t="shared" si="22"/>
        <v>6.4823358447928395E-3</v>
      </c>
      <c r="AJ59" s="49"/>
      <c r="AK59" t="s">
        <v>457</v>
      </c>
      <c r="AL59" s="44">
        <f>'Standard Vorgaben'!$C$187</f>
        <v>1</v>
      </c>
      <c r="AM59" s="363">
        <f>'Standard Bewässerung'!$E$110</f>
        <v>10</v>
      </c>
      <c r="AN59" s="169">
        <f>'Standard Vorgaben'!$C$35</f>
        <v>22.62</v>
      </c>
      <c r="AO59" s="93">
        <f t="shared" si="53"/>
        <v>226.20000000000002</v>
      </c>
      <c r="AP59" s="484">
        <f t="shared" si="24"/>
        <v>5.8917434596343736E-3</v>
      </c>
      <c r="AQ59" s="49"/>
      <c r="AR59" t="s">
        <v>457</v>
      </c>
      <c r="AS59" s="44">
        <f>'Standard Vorgaben'!$C$187</f>
        <v>1</v>
      </c>
      <c r="AT59" s="363">
        <f>'Standard Bewässerung'!$E$110</f>
        <v>10</v>
      </c>
      <c r="AU59" s="169">
        <f>'Standard Vorgaben'!$C$35</f>
        <v>22.62</v>
      </c>
      <c r="AV59" s="93">
        <f t="shared" si="54"/>
        <v>226.20000000000002</v>
      </c>
      <c r="AW59" s="484">
        <f t="shared" si="26"/>
        <v>5.4034095868401664E-3</v>
      </c>
      <c r="AX59" s="49"/>
      <c r="AY59" t="s">
        <v>457</v>
      </c>
      <c r="AZ59" s="44">
        <f>'Standard Vorgaben'!$C$187</f>
        <v>1</v>
      </c>
      <c r="BA59" s="363">
        <f>'Standard Bewässerung'!$E$110</f>
        <v>10</v>
      </c>
      <c r="BB59" s="169">
        <f>'Standard Vorgaben'!$C$35</f>
        <v>22.62</v>
      </c>
      <c r="BC59" s="93">
        <f t="shared" si="55"/>
        <v>226.20000000000002</v>
      </c>
      <c r="BD59" s="484">
        <f t="shared" si="28"/>
        <v>5.4060752595382882E-3</v>
      </c>
      <c r="BE59" s="49"/>
      <c r="BF59" t="s">
        <v>457</v>
      </c>
      <c r="BG59" s="44">
        <f>'Standard Vorgaben'!$C$187</f>
        <v>1</v>
      </c>
      <c r="BH59" s="363">
        <f>'Standard Bewässerung'!$E$110</f>
        <v>10</v>
      </c>
      <c r="BI59" s="169">
        <f>'Standard Vorgaben'!$C$35</f>
        <v>22.62</v>
      </c>
      <c r="BJ59" s="93">
        <f t="shared" si="56"/>
        <v>226.20000000000002</v>
      </c>
      <c r="BK59" s="484">
        <f t="shared" si="30"/>
        <v>5.4087675903525924E-3</v>
      </c>
      <c r="BL59" s="49"/>
      <c r="BM59" t="s">
        <v>457</v>
      </c>
      <c r="BN59" s="44">
        <f>'Standard Vorgaben'!$C$187</f>
        <v>1</v>
      </c>
      <c r="BO59" s="363">
        <f>'Standard Bewässerung'!$E$110</f>
        <v>10</v>
      </c>
      <c r="BP59" s="169">
        <f>'Standard Vorgaben'!$C$35</f>
        <v>22.62</v>
      </c>
      <c r="BQ59" s="93">
        <f t="shared" si="57"/>
        <v>226.20000000000002</v>
      </c>
      <c r="BR59" s="484">
        <f t="shared" si="32"/>
        <v>5.4114868714882107E-3</v>
      </c>
      <c r="BS59" s="49"/>
      <c r="BT59" t="s">
        <v>457</v>
      </c>
      <c r="BU59" s="44">
        <f>'Standard Vorgaben'!$C$187</f>
        <v>1</v>
      </c>
      <c r="BV59" s="363">
        <f>'Standard Bewässerung'!$E$110</f>
        <v>10</v>
      </c>
      <c r="BW59" s="169">
        <f>'Standard Vorgaben'!$C$35</f>
        <v>22.62</v>
      </c>
      <c r="BX59" s="93">
        <f t="shared" si="58"/>
        <v>226.20000000000002</v>
      </c>
      <c r="BY59" s="484">
        <f t="shared" si="34"/>
        <v>5.4142333988443734E-3</v>
      </c>
      <c r="BZ59" s="49"/>
      <c r="CA59" t="s">
        <v>457</v>
      </c>
      <c r="CB59" s="44">
        <f>'Standard Vorgaben'!$C$187</f>
        <v>1</v>
      </c>
      <c r="CC59" s="363">
        <f>'Standard Bewässerung'!$E$110</f>
        <v>10</v>
      </c>
      <c r="CD59" s="169">
        <f>'Standard Vorgaben'!$C$35</f>
        <v>22.62</v>
      </c>
      <c r="CE59" s="93">
        <f t="shared" si="59"/>
        <v>226.20000000000002</v>
      </c>
      <c r="CF59" s="484">
        <f t="shared" si="36"/>
        <v>5.4170074720704528E-3</v>
      </c>
      <c r="CG59" s="49"/>
      <c r="CH59" t="s">
        <v>457</v>
      </c>
      <c r="CI59" s="44">
        <f>'Standard Vorgaben'!$C$187</f>
        <v>1</v>
      </c>
      <c r="CJ59" s="363">
        <f>'Standard Bewässerung'!$E$110</f>
        <v>10</v>
      </c>
      <c r="CK59" s="169">
        <f>'Standard Vorgaben'!$C$35</f>
        <v>22.62</v>
      </c>
      <c r="CL59" s="93">
        <f t="shared" si="60"/>
        <v>226.20000000000002</v>
      </c>
      <c r="CM59" s="484">
        <f t="shared" si="38"/>
        <v>5.4198093946230532E-3</v>
      </c>
      <c r="CN59" s="49"/>
      <c r="CO59" t="s">
        <v>457</v>
      </c>
      <c r="CP59" s="44">
        <f>'Standard Vorgaben'!$C$187</f>
        <v>1</v>
      </c>
      <c r="CQ59" s="363">
        <f>'Standard Bewässerung'!$E$110</f>
        <v>10</v>
      </c>
      <c r="CR59" s="169">
        <f>'Standard Vorgaben'!$C$35</f>
        <v>22.62</v>
      </c>
      <c r="CS59" s="93">
        <f t="shared" si="61"/>
        <v>226.20000000000002</v>
      </c>
      <c r="CT59" s="484">
        <f t="shared" si="40"/>
        <v>5.422639473824143E-3</v>
      </c>
      <c r="CU59" s="49"/>
      <c r="CV59" t="s">
        <v>457</v>
      </c>
      <c r="CW59" s="44">
        <f>'Standard Vorgaben'!$C$187</f>
        <v>1</v>
      </c>
      <c r="CX59" s="363">
        <f>'Standard Bewässerung'!$E$110</f>
        <v>10</v>
      </c>
      <c r="CY59" s="169">
        <f>'Standard Vorgaben'!$C$35</f>
        <v>22.62</v>
      </c>
      <c r="CZ59" s="93">
        <f t="shared" si="62"/>
        <v>226.20000000000002</v>
      </c>
      <c r="DA59" s="484">
        <f t="shared" si="42"/>
        <v>5.4254980209202594E-3</v>
      </c>
      <c r="DB59" s="49"/>
      <c r="DC59" t="s">
        <v>457</v>
      </c>
      <c r="DD59" s="44">
        <f>'Standard Vorgaben'!$C$187</f>
        <v>1</v>
      </c>
      <c r="DE59" s="363">
        <f>'Standard Bewässerung'!$E$110</f>
        <v>10</v>
      </c>
      <c r="DF59" s="169">
        <f>'Standard Vorgaben'!$C$35</f>
        <v>22.62</v>
      </c>
      <c r="DG59" s="93">
        <f t="shared" si="63"/>
        <v>226.20000000000002</v>
      </c>
      <c r="DH59" s="484">
        <f t="shared" si="44"/>
        <v>4.7451377108570789E-3</v>
      </c>
    </row>
    <row r="60" spans="1:112" x14ac:dyDescent="0.2">
      <c r="B60" t="s">
        <v>458</v>
      </c>
      <c r="C60" s="44">
        <f>'Standard Vorgaben'!$C$187</f>
        <v>1</v>
      </c>
      <c r="D60" s="363">
        <f>'Standard Bewässerung'!$E$109</f>
        <v>4</v>
      </c>
      <c r="E60" s="169">
        <f>'Standard Vorgaben'!$C$36</f>
        <v>32.700000000000003</v>
      </c>
      <c r="F60" s="93">
        <f t="shared" si="48"/>
        <v>130.80000000000001</v>
      </c>
      <c r="G60" s="484">
        <f>F60/$F$69</f>
        <v>1.3824866814883624E-2</v>
      </c>
      <c r="H60" s="49"/>
      <c r="I60" t="s">
        <v>458</v>
      </c>
      <c r="J60" s="44">
        <f>'Standard Vorgaben'!$C$187</f>
        <v>1</v>
      </c>
      <c r="K60" s="363">
        <f>'Standard Bewässerung'!$E$109</f>
        <v>4</v>
      </c>
      <c r="L60" s="169">
        <f>'Standard Vorgaben'!$C$36</f>
        <v>32.700000000000003</v>
      </c>
      <c r="M60" s="93">
        <f t="shared" si="49"/>
        <v>130.80000000000001</v>
      </c>
      <c r="N60" s="484">
        <f t="shared" si="17"/>
        <v>9.512441405532689E-3</v>
      </c>
      <c r="O60" s="49"/>
      <c r="P60" t="s">
        <v>458</v>
      </c>
      <c r="Q60" s="44">
        <f>'Standard Vorgaben'!$C$187</f>
        <v>1</v>
      </c>
      <c r="R60" s="363">
        <f>'Standard Bewässerung'!$E$109</f>
        <v>4</v>
      </c>
      <c r="S60" s="169">
        <f>'Standard Vorgaben'!$C$36</f>
        <v>32.700000000000003</v>
      </c>
      <c r="T60" s="93">
        <f t="shared" si="50"/>
        <v>130.80000000000001</v>
      </c>
      <c r="U60" s="484">
        <f t="shared" si="18"/>
        <v>6.4373243759278638E-3</v>
      </c>
      <c r="V60" s="49"/>
      <c r="W60" t="s">
        <v>458</v>
      </c>
      <c r="X60" s="44">
        <f>'Standard Vorgaben'!$C$187</f>
        <v>1</v>
      </c>
      <c r="Y60" s="363">
        <f>'Standard Bewässerung'!$E$109</f>
        <v>4</v>
      </c>
      <c r="Z60" s="169">
        <f>'Standard Vorgaben'!$C$36</f>
        <v>32.700000000000003</v>
      </c>
      <c r="AA60" s="93">
        <f t="shared" si="51"/>
        <v>130.80000000000001</v>
      </c>
      <c r="AB60" s="484">
        <f t="shared" si="20"/>
        <v>5.4106492629151107E-3</v>
      </c>
      <c r="AC60" s="49"/>
      <c r="AD60" t="s">
        <v>458</v>
      </c>
      <c r="AE60" s="44">
        <f>'Standard Vorgaben'!$C$187</f>
        <v>1</v>
      </c>
      <c r="AF60" s="363">
        <f>'Standard Bewässerung'!$E$109</f>
        <v>4</v>
      </c>
      <c r="AG60" s="169">
        <f>'Standard Vorgaben'!$C$36</f>
        <v>32.700000000000003</v>
      </c>
      <c r="AH60" s="93">
        <f t="shared" si="52"/>
        <v>130.80000000000001</v>
      </c>
      <c r="AI60" s="484">
        <f t="shared" si="22"/>
        <v>3.7484064036202628E-3</v>
      </c>
      <c r="AJ60" s="49"/>
      <c r="AK60" t="s">
        <v>458</v>
      </c>
      <c r="AL60" s="44">
        <f>'Standard Vorgaben'!$C$187</f>
        <v>1</v>
      </c>
      <c r="AM60" s="363">
        <f>'Standard Bewässerung'!$E$109</f>
        <v>4</v>
      </c>
      <c r="AN60" s="169">
        <f>'Standard Vorgaben'!$C$36</f>
        <v>32.700000000000003</v>
      </c>
      <c r="AO60" s="93">
        <f t="shared" si="53"/>
        <v>130.80000000000001</v>
      </c>
      <c r="AP60" s="484">
        <f t="shared" si="24"/>
        <v>3.4068967485418925E-3</v>
      </c>
      <c r="AQ60" s="49"/>
      <c r="AR60" t="s">
        <v>458</v>
      </c>
      <c r="AS60" s="44">
        <f>'Standard Vorgaben'!$C$187</f>
        <v>1</v>
      </c>
      <c r="AT60" s="363">
        <f>'Standard Bewässerung'!$E$109</f>
        <v>4</v>
      </c>
      <c r="AU60" s="169">
        <f>'Standard Vorgaben'!$C$36</f>
        <v>32.700000000000003</v>
      </c>
      <c r="AV60" s="93">
        <f t="shared" si="54"/>
        <v>130.80000000000001</v>
      </c>
      <c r="AW60" s="484">
        <f t="shared" si="26"/>
        <v>3.1245180104274703E-3</v>
      </c>
      <c r="AX60" s="49"/>
      <c r="AY60" t="s">
        <v>458</v>
      </c>
      <c r="AZ60" s="44">
        <f>'Standard Vorgaben'!$C$187</f>
        <v>1</v>
      </c>
      <c r="BA60" s="363">
        <f>'Standard Bewässerung'!$E$109</f>
        <v>4</v>
      </c>
      <c r="BB60" s="169">
        <f>'Standard Vorgaben'!$C$36</f>
        <v>32.700000000000003</v>
      </c>
      <c r="BC60" s="93">
        <f t="shared" si="55"/>
        <v>130.80000000000001</v>
      </c>
      <c r="BD60" s="484">
        <f t="shared" si="28"/>
        <v>3.1260594338974718E-3</v>
      </c>
      <c r="BE60" s="49"/>
      <c r="BF60" t="s">
        <v>458</v>
      </c>
      <c r="BG60" s="44">
        <f>'Standard Vorgaben'!$C$187</f>
        <v>1</v>
      </c>
      <c r="BH60" s="363">
        <f>'Standard Bewässerung'!$E$109</f>
        <v>4</v>
      </c>
      <c r="BI60" s="169">
        <f>'Standard Vorgaben'!$C$36</f>
        <v>32.700000000000003</v>
      </c>
      <c r="BJ60" s="93">
        <f t="shared" si="56"/>
        <v>130.80000000000001</v>
      </c>
      <c r="BK60" s="484">
        <f t="shared" si="30"/>
        <v>3.1276162724054777E-3</v>
      </c>
      <c r="BL60" s="49"/>
      <c r="BM60" t="s">
        <v>458</v>
      </c>
      <c r="BN60" s="44">
        <f>'Standard Vorgaben'!$C$187</f>
        <v>1</v>
      </c>
      <c r="BO60" s="363">
        <f>'Standard Bewässerung'!$E$109</f>
        <v>4</v>
      </c>
      <c r="BP60" s="169">
        <f>'Standard Vorgaben'!$C$36</f>
        <v>32.700000000000003</v>
      </c>
      <c r="BQ60" s="93">
        <f t="shared" si="57"/>
        <v>130.80000000000001</v>
      </c>
      <c r="BR60" s="484">
        <f t="shared" si="32"/>
        <v>3.1291886949189125E-3</v>
      </c>
      <c r="BS60" s="49"/>
      <c r="BT60" t="s">
        <v>458</v>
      </c>
      <c r="BU60" s="44">
        <f>'Standard Vorgaben'!$C$187</f>
        <v>1</v>
      </c>
      <c r="BV60" s="363">
        <f>'Standard Bewässerung'!$E$109</f>
        <v>4</v>
      </c>
      <c r="BW60" s="169">
        <f>'Standard Vorgaben'!$C$36</f>
        <v>32.700000000000003</v>
      </c>
      <c r="BX60" s="93">
        <f t="shared" si="58"/>
        <v>130.80000000000001</v>
      </c>
      <c r="BY60" s="484">
        <f t="shared" si="34"/>
        <v>3.1307768725413088E-3</v>
      </c>
      <c r="BZ60" s="49"/>
      <c r="CA60" t="s">
        <v>458</v>
      </c>
      <c r="CB60" s="44">
        <f>'Standard Vorgaben'!$C$187</f>
        <v>1</v>
      </c>
      <c r="CC60" s="363">
        <f>'Standard Bewässerung'!$E$109</f>
        <v>4</v>
      </c>
      <c r="CD60" s="169">
        <f>'Standard Vorgaben'!$C$36</f>
        <v>32.700000000000003</v>
      </c>
      <c r="CE60" s="93">
        <f t="shared" si="59"/>
        <v>130.80000000000001</v>
      </c>
      <c r="CF60" s="484">
        <f t="shared" si="36"/>
        <v>3.1323809785447181E-3</v>
      </c>
      <c r="CG60" s="49"/>
      <c r="CH60" t="s">
        <v>458</v>
      </c>
      <c r="CI60" s="44">
        <f>'Standard Vorgaben'!$C$187</f>
        <v>1</v>
      </c>
      <c r="CJ60" s="363">
        <f>'Standard Bewässerung'!$E$109</f>
        <v>4</v>
      </c>
      <c r="CK60" s="169">
        <f>'Standard Vorgaben'!$C$36</f>
        <v>32.700000000000003</v>
      </c>
      <c r="CL60" s="93">
        <f t="shared" si="60"/>
        <v>130.80000000000001</v>
      </c>
      <c r="CM60" s="484">
        <f t="shared" si="38"/>
        <v>3.13400118840272E-3</v>
      </c>
      <c r="CN60" s="49"/>
      <c r="CO60" t="s">
        <v>458</v>
      </c>
      <c r="CP60" s="44">
        <f>'Standard Vorgaben'!$C$187</f>
        <v>1</v>
      </c>
      <c r="CQ60" s="363">
        <f>'Standard Bewässerung'!$E$109</f>
        <v>4</v>
      </c>
      <c r="CR60" s="169">
        <f>'Standard Vorgaben'!$C$36</f>
        <v>32.700000000000003</v>
      </c>
      <c r="CS60" s="93">
        <f t="shared" si="61"/>
        <v>130.80000000000001</v>
      </c>
      <c r="CT60" s="484">
        <f t="shared" si="40"/>
        <v>3.1356376798240401E-3</v>
      </c>
      <c r="CU60" s="49"/>
      <c r="CV60" t="s">
        <v>458</v>
      </c>
      <c r="CW60" s="44">
        <f>'Standard Vorgaben'!$C$187</f>
        <v>1</v>
      </c>
      <c r="CX60" s="363">
        <f>'Standard Bewässerung'!$E$109</f>
        <v>4</v>
      </c>
      <c r="CY60" s="169">
        <f>'Standard Vorgaben'!$C$36</f>
        <v>32.700000000000003</v>
      </c>
      <c r="CZ60" s="93">
        <f t="shared" si="62"/>
        <v>130.80000000000001</v>
      </c>
      <c r="DA60" s="484">
        <f t="shared" si="42"/>
        <v>3.1372906327867809E-3</v>
      </c>
      <c r="DB60" s="49"/>
      <c r="DC60" t="s">
        <v>458</v>
      </c>
      <c r="DD60" s="44">
        <f>'Standard Vorgaben'!$C$187</f>
        <v>1</v>
      </c>
      <c r="DE60" s="363">
        <f>'Standard Bewässerung'!$E$109</f>
        <v>4</v>
      </c>
      <c r="DF60" s="169">
        <f>'Standard Vorgaben'!$C$36</f>
        <v>32.700000000000003</v>
      </c>
      <c r="DG60" s="93">
        <f t="shared" si="63"/>
        <v>130.80000000000001</v>
      </c>
      <c r="DH60" s="484">
        <f t="shared" si="44"/>
        <v>2.7438727346600616E-3</v>
      </c>
    </row>
    <row r="61" spans="1:112" x14ac:dyDescent="0.2">
      <c r="B61" t="s">
        <v>537</v>
      </c>
      <c r="C61" s="44">
        <f>'Standard Vorgaben'!$C$187</f>
        <v>1</v>
      </c>
      <c r="D61" s="363">
        <f>'Standard Bewässerung'!$E$110</f>
        <v>10</v>
      </c>
      <c r="E61" s="169">
        <f>'Standard Vorgaben'!$C$36</f>
        <v>32.700000000000003</v>
      </c>
      <c r="F61" s="93">
        <f t="shared" si="48"/>
        <v>327</v>
      </c>
      <c r="G61" s="484">
        <f>F61/$F$69</f>
        <v>3.456216703720906E-2</v>
      </c>
      <c r="H61" s="49"/>
      <c r="I61" t="s">
        <v>537</v>
      </c>
      <c r="J61" s="44">
        <f>'Standard Vorgaben'!$C$187</f>
        <v>1</v>
      </c>
      <c r="K61" s="363">
        <f>'Standard Bewässerung'!$E$110</f>
        <v>10</v>
      </c>
      <c r="L61" s="169">
        <f>'Standard Vorgaben'!$C$36</f>
        <v>32.700000000000003</v>
      </c>
      <c r="M61" s="93">
        <f t="shared" si="49"/>
        <v>327</v>
      </c>
      <c r="N61" s="484">
        <f t="shared" si="17"/>
        <v>2.3781103513831722E-2</v>
      </c>
      <c r="O61" s="49"/>
      <c r="P61" t="s">
        <v>537</v>
      </c>
      <c r="Q61" s="44">
        <f>'Standard Vorgaben'!$C$187</f>
        <v>1</v>
      </c>
      <c r="R61" s="363">
        <f>'Standard Bewässerung'!$E$110</f>
        <v>10</v>
      </c>
      <c r="S61" s="169">
        <f>'Standard Vorgaben'!$C$36</f>
        <v>32.700000000000003</v>
      </c>
      <c r="T61" s="93">
        <f t="shared" si="50"/>
        <v>327</v>
      </c>
      <c r="U61" s="484">
        <f t="shared" si="18"/>
        <v>1.6093310939819659E-2</v>
      </c>
      <c r="V61" s="49"/>
      <c r="W61" t="s">
        <v>537</v>
      </c>
      <c r="X61" s="44">
        <f>'Standard Vorgaben'!$C$187</f>
        <v>1</v>
      </c>
      <c r="Y61" s="363">
        <f>'Standard Bewässerung'!$E$110</f>
        <v>10</v>
      </c>
      <c r="Z61" s="169">
        <f>'Standard Vorgaben'!$C$36</f>
        <v>32.700000000000003</v>
      </c>
      <c r="AA61" s="93">
        <f t="shared" si="51"/>
        <v>327</v>
      </c>
      <c r="AB61" s="484">
        <f t="shared" si="20"/>
        <v>1.3526623157287775E-2</v>
      </c>
      <c r="AC61" s="49"/>
      <c r="AD61" t="s">
        <v>537</v>
      </c>
      <c r="AE61" s="44">
        <f>'Standard Vorgaben'!$C$187</f>
        <v>1</v>
      </c>
      <c r="AF61" s="363">
        <f>'Standard Bewässerung'!$E$110</f>
        <v>10</v>
      </c>
      <c r="AG61" s="169">
        <f>'Standard Vorgaben'!$C$36</f>
        <v>32.700000000000003</v>
      </c>
      <c r="AH61" s="93">
        <f t="shared" si="52"/>
        <v>327</v>
      </c>
      <c r="AI61" s="484">
        <f t="shared" si="22"/>
        <v>9.3710160090506572E-3</v>
      </c>
      <c r="AJ61" s="49"/>
      <c r="AK61" t="s">
        <v>537</v>
      </c>
      <c r="AL61" s="44">
        <f>'Standard Vorgaben'!$C$187</f>
        <v>1</v>
      </c>
      <c r="AM61" s="363">
        <f>'Standard Bewässerung'!$E$110</f>
        <v>10</v>
      </c>
      <c r="AN61" s="169">
        <f>'Standard Vorgaben'!$C$36</f>
        <v>32.700000000000003</v>
      </c>
      <c r="AO61" s="93">
        <f t="shared" si="53"/>
        <v>327</v>
      </c>
      <c r="AP61" s="484">
        <f t="shared" si="24"/>
        <v>8.5172418713547297E-3</v>
      </c>
      <c r="AQ61" s="49"/>
      <c r="AR61" t="s">
        <v>537</v>
      </c>
      <c r="AS61" s="44">
        <f>'Standard Vorgaben'!$C$187</f>
        <v>1</v>
      </c>
      <c r="AT61" s="363">
        <f>'Standard Bewässerung'!$E$110</f>
        <v>10</v>
      </c>
      <c r="AU61" s="169">
        <f>'Standard Vorgaben'!$C$36</f>
        <v>32.700000000000003</v>
      </c>
      <c r="AV61" s="93">
        <f t="shared" si="54"/>
        <v>327</v>
      </c>
      <c r="AW61" s="484">
        <f t="shared" si="26"/>
        <v>7.8112950260686752E-3</v>
      </c>
      <c r="AX61" s="49"/>
      <c r="AY61" t="s">
        <v>537</v>
      </c>
      <c r="AZ61" s="44">
        <f>'Standard Vorgaben'!$C$187</f>
        <v>1</v>
      </c>
      <c r="BA61" s="363">
        <f>'Standard Bewässerung'!$E$110</f>
        <v>10</v>
      </c>
      <c r="BB61" s="169">
        <f>'Standard Vorgaben'!$C$36</f>
        <v>32.700000000000003</v>
      </c>
      <c r="BC61" s="93">
        <f t="shared" si="55"/>
        <v>327</v>
      </c>
      <c r="BD61" s="484">
        <f t="shared" si="28"/>
        <v>7.815148584743678E-3</v>
      </c>
      <c r="BE61" s="49"/>
      <c r="BF61" t="s">
        <v>537</v>
      </c>
      <c r="BG61" s="44">
        <f>'Standard Vorgaben'!$C$187</f>
        <v>1</v>
      </c>
      <c r="BH61" s="363">
        <f>'Standard Bewässerung'!$E$110</f>
        <v>10</v>
      </c>
      <c r="BI61" s="169">
        <f>'Standard Vorgaben'!$C$36</f>
        <v>32.700000000000003</v>
      </c>
      <c r="BJ61" s="93">
        <f t="shared" si="56"/>
        <v>327</v>
      </c>
      <c r="BK61" s="484">
        <f t="shared" si="30"/>
        <v>7.8190406810136927E-3</v>
      </c>
      <c r="BL61" s="49"/>
      <c r="BM61" t="s">
        <v>537</v>
      </c>
      <c r="BN61" s="44">
        <f>'Standard Vorgaben'!$C$187</f>
        <v>1</v>
      </c>
      <c r="BO61" s="363">
        <f>'Standard Bewässerung'!$E$110</f>
        <v>10</v>
      </c>
      <c r="BP61" s="169">
        <f>'Standard Vorgaben'!$C$36</f>
        <v>32.700000000000003</v>
      </c>
      <c r="BQ61" s="93">
        <f t="shared" si="57"/>
        <v>327</v>
      </c>
      <c r="BR61" s="484">
        <f t="shared" si="32"/>
        <v>7.8229717372972803E-3</v>
      </c>
      <c r="BS61" s="49"/>
      <c r="BT61" t="s">
        <v>537</v>
      </c>
      <c r="BU61" s="44">
        <f>'Standard Vorgaben'!$C$187</f>
        <v>1</v>
      </c>
      <c r="BV61" s="363">
        <f>'Standard Bewässerung'!$E$110</f>
        <v>10</v>
      </c>
      <c r="BW61" s="169">
        <f>'Standard Vorgaben'!$C$36</f>
        <v>32.700000000000003</v>
      </c>
      <c r="BX61" s="93">
        <f t="shared" si="58"/>
        <v>327</v>
      </c>
      <c r="BY61" s="484">
        <f t="shared" si="34"/>
        <v>7.8269421813532709E-3</v>
      </c>
      <c r="BZ61" s="49"/>
      <c r="CA61" t="s">
        <v>537</v>
      </c>
      <c r="CB61" s="44">
        <f>'Standard Vorgaben'!$C$187</f>
        <v>1</v>
      </c>
      <c r="CC61" s="363">
        <f>'Standard Bewässerung'!$E$110</f>
        <v>10</v>
      </c>
      <c r="CD61" s="169">
        <f>'Standard Vorgaben'!$C$36</f>
        <v>32.700000000000003</v>
      </c>
      <c r="CE61" s="93">
        <f t="shared" si="59"/>
        <v>327</v>
      </c>
      <c r="CF61" s="484">
        <f t="shared" si="36"/>
        <v>7.8309524463617951E-3</v>
      </c>
      <c r="CG61" s="49"/>
      <c r="CH61" t="s">
        <v>537</v>
      </c>
      <c r="CI61" s="44">
        <f>'Standard Vorgaben'!$C$187</f>
        <v>1</v>
      </c>
      <c r="CJ61" s="363">
        <f>'Standard Bewässerung'!$E$110</f>
        <v>10</v>
      </c>
      <c r="CK61" s="169">
        <f>'Standard Vorgaben'!$C$36</f>
        <v>32.700000000000003</v>
      </c>
      <c r="CL61" s="93">
        <f t="shared" si="60"/>
        <v>327</v>
      </c>
      <c r="CM61" s="484">
        <f t="shared" si="38"/>
        <v>7.8350029710067999E-3</v>
      </c>
      <c r="CN61" s="49"/>
      <c r="CO61" t="s">
        <v>537</v>
      </c>
      <c r="CP61" s="44">
        <f>'Standard Vorgaben'!$C$187</f>
        <v>1</v>
      </c>
      <c r="CQ61" s="363">
        <f>'Standard Bewässerung'!$E$110</f>
        <v>10</v>
      </c>
      <c r="CR61" s="169">
        <f>'Standard Vorgaben'!$C$36</f>
        <v>32.700000000000003</v>
      </c>
      <c r="CS61" s="93">
        <f t="shared" si="61"/>
        <v>327</v>
      </c>
      <c r="CT61" s="484">
        <f t="shared" si="40"/>
        <v>7.8390941995601007E-3</v>
      </c>
      <c r="CU61" s="49"/>
      <c r="CV61" t="s">
        <v>537</v>
      </c>
      <c r="CW61" s="44">
        <f>'Standard Vorgaben'!$C$187</f>
        <v>1</v>
      </c>
      <c r="CX61" s="363">
        <f>'Standard Bewässerung'!$E$110</f>
        <v>10</v>
      </c>
      <c r="CY61" s="169">
        <f>'Standard Vorgaben'!$C$36</f>
        <v>32.700000000000003</v>
      </c>
      <c r="CZ61" s="93">
        <f t="shared" si="62"/>
        <v>327</v>
      </c>
      <c r="DA61" s="484">
        <f t="shared" si="42"/>
        <v>7.8432265819669521E-3</v>
      </c>
      <c r="DB61" s="49"/>
      <c r="DC61" t="s">
        <v>537</v>
      </c>
      <c r="DD61" s="44">
        <f>'Standard Vorgaben'!$C$187</f>
        <v>1</v>
      </c>
      <c r="DE61" s="363">
        <f>'Standard Bewässerung'!$E$110</f>
        <v>10</v>
      </c>
      <c r="DF61" s="169">
        <f>'Standard Vorgaben'!$C$36</f>
        <v>32.700000000000003</v>
      </c>
      <c r="DG61" s="93">
        <f t="shared" si="63"/>
        <v>327</v>
      </c>
      <c r="DH61" s="484">
        <f t="shared" si="44"/>
        <v>6.8596818366501531E-3</v>
      </c>
    </row>
    <row r="62" spans="1:112" x14ac:dyDescent="0.2">
      <c r="B62" s="80" t="str">
        <f>'Standard Vorgaben'!$D$68</f>
        <v>Ernte inkl. Sortieren</v>
      </c>
      <c r="C62" s="504">
        <f>'Standard Vorgaben'!D69</f>
        <v>40</v>
      </c>
      <c r="D62" s="363">
        <f>D10/C62</f>
        <v>0</v>
      </c>
      <c r="E62" s="169">
        <f>'Standard Vorgaben'!$C$35</f>
        <v>22.62</v>
      </c>
      <c r="F62" s="93">
        <f t="shared" si="45"/>
        <v>0</v>
      </c>
      <c r="G62" s="484">
        <f t="shared" si="16"/>
        <v>0</v>
      </c>
      <c r="H62" s="49"/>
      <c r="I62" s="80" t="str">
        <f>'Standard Vorgaben'!$D$68</f>
        <v>Ernte inkl. Sortieren</v>
      </c>
      <c r="J62" s="504">
        <f>'Standard Vorgaben'!D70</f>
        <v>40</v>
      </c>
      <c r="K62" s="363">
        <f>K10/J62</f>
        <v>100</v>
      </c>
      <c r="L62" s="169">
        <f>'Standard Vorgaben'!$C$35</f>
        <v>22.62</v>
      </c>
      <c r="M62" s="93">
        <f t="shared" si="46"/>
        <v>2262</v>
      </c>
      <c r="N62" s="484">
        <f t="shared" si="17"/>
        <v>0.16450414724246895</v>
      </c>
      <c r="O62" s="49"/>
      <c r="P62" s="80" t="str">
        <f>'Standard Vorgaben'!$D$68</f>
        <v>Ernte inkl. Sortieren</v>
      </c>
      <c r="Q62" s="504">
        <f>'Standard Vorgaben'!D71</f>
        <v>40</v>
      </c>
      <c r="R62" s="363">
        <f>R10/Q62</f>
        <v>150</v>
      </c>
      <c r="S62" s="169">
        <f>'Standard Vorgaben'!$C$35</f>
        <v>22.62</v>
      </c>
      <c r="T62" s="93">
        <f t="shared" si="47"/>
        <v>3393</v>
      </c>
      <c r="U62" s="484">
        <f t="shared" si="18"/>
        <v>0.16698655663244066</v>
      </c>
      <c r="V62" s="49"/>
      <c r="W62" s="80" t="str">
        <f>'Standard Vorgaben'!$D$68</f>
        <v>Ernte inkl. Sortieren</v>
      </c>
      <c r="X62" s="504">
        <f>'Standard Vorgaben'!$D72</f>
        <v>40</v>
      </c>
      <c r="Y62" s="363">
        <f>Y10/X62</f>
        <v>250</v>
      </c>
      <c r="Z62" s="169">
        <f>'Standard Vorgaben'!$C$35</f>
        <v>22.62</v>
      </c>
      <c r="AA62" s="93">
        <f t="shared" si="19"/>
        <v>5655</v>
      </c>
      <c r="AB62" s="484">
        <f t="shared" si="20"/>
        <v>0.23392371239896748</v>
      </c>
      <c r="AC62" s="49"/>
      <c r="AD62" s="80" t="str">
        <f>'Standard Vorgaben'!$D$68</f>
        <v>Ernte inkl. Sortieren</v>
      </c>
      <c r="AE62" s="504">
        <f>'Standard Vorgaben'!$D73</f>
        <v>40</v>
      </c>
      <c r="AF62" s="363">
        <f>AF10/AE62</f>
        <v>450</v>
      </c>
      <c r="AG62" s="169">
        <f>'Standard Vorgaben'!$C$35</f>
        <v>22.62</v>
      </c>
      <c r="AH62" s="93">
        <f t="shared" si="21"/>
        <v>10179</v>
      </c>
      <c r="AI62" s="484">
        <f t="shared" si="22"/>
        <v>0.29170511301567775</v>
      </c>
      <c r="AJ62" s="49"/>
      <c r="AK62" s="80" t="str">
        <f>'Standard Vorgaben'!$D$68</f>
        <v>Ernte inkl. Sortieren</v>
      </c>
      <c r="AL62" s="504">
        <f>'Standard Vorgaben'!$D74</f>
        <v>40</v>
      </c>
      <c r="AM62" s="363">
        <f>AM10/AL62</f>
        <v>550</v>
      </c>
      <c r="AN62" s="169">
        <f>'Standard Vorgaben'!$C$35</f>
        <v>22.62</v>
      </c>
      <c r="AO62" s="93">
        <f t="shared" si="23"/>
        <v>12441</v>
      </c>
      <c r="AP62" s="484">
        <f t="shared" si="24"/>
        <v>0.3240458902798905</v>
      </c>
      <c r="AQ62" s="49"/>
      <c r="AR62" s="80" t="str">
        <f>'Standard Vorgaben'!$D$68</f>
        <v>Ernte inkl. Sortieren</v>
      </c>
      <c r="AS62" s="504">
        <f>'Standard Vorgaben'!$D75</f>
        <v>40</v>
      </c>
      <c r="AT62" s="363">
        <f>AT10/AS62</f>
        <v>650</v>
      </c>
      <c r="AU62" s="169">
        <f>'Standard Vorgaben'!$C$35</f>
        <v>22.62</v>
      </c>
      <c r="AV62" s="93">
        <f t="shared" si="25"/>
        <v>14703</v>
      </c>
      <c r="AW62" s="484">
        <f t="shared" si="26"/>
        <v>0.35122162314461081</v>
      </c>
      <c r="AX62" s="49"/>
      <c r="AY62" s="80" t="str">
        <f>'Standard Vorgaben'!$D$68</f>
        <v>Ernte inkl. Sortieren</v>
      </c>
      <c r="AZ62" s="504">
        <f>'Standard Vorgaben'!$D76</f>
        <v>40</v>
      </c>
      <c r="BA62" s="363">
        <f>BA10/AZ62</f>
        <v>650</v>
      </c>
      <c r="BB62" s="169">
        <f>'Standard Vorgaben'!$C$35</f>
        <v>22.62</v>
      </c>
      <c r="BC62" s="93">
        <f t="shared" si="27"/>
        <v>14703</v>
      </c>
      <c r="BD62" s="484">
        <f t="shared" si="28"/>
        <v>0.35139489186998868</v>
      </c>
      <c r="BE62" s="49"/>
      <c r="BF62" s="80" t="str">
        <f>'Standard Vorgaben'!$D$68</f>
        <v>Ernte inkl. Sortieren</v>
      </c>
      <c r="BG62" s="504">
        <f>'Standard Vorgaben'!$D77</f>
        <v>40</v>
      </c>
      <c r="BH62" s="363">
        <f>BH10/BG62</f>
        <v>650</v>
      </c>
      <c r="BI62" s="169">
        <f>'Standard Vorgaben'!$C$35</f>
        <v>22.62</v>
      </c>
      <c r="BJ62" s="93">
        <f t="shared" si="29"/>
        <v>14703</v>
      </c>
      <c r="BK62" s="484">
        <f t="shared" si="30"/>
        <v>0.35156989337291844</v>
      </c>
      <c r="BL62" s="49"/>
      <c r="BM62" s="80" t="str">
        <f>'Standard Vorgaben'!$D$68</f>
        <v>Ernte inkl. Sortieren</v>
      </c>
      <c r="BN62" s="504">
        <f>'Standard Vorgaben'!$D78</f>
        <v>40</v>
      </c>
      <c r="BO62" s="363">
        <f>BO10/BN62</f>
        <v>650</v>
      </c>
      <c r="BP62" s="169">
        <f>'Standard Vorgaben'!$C$35</f>
        <v>22.62</v>
      </c>
      <c r="BQ62" s="93">
        <f t="shared" si="31"/>
        <v>14703</v>
      </c>
      <c r="BR62" s="484">
        <f t="shared" si="32"/>
        <v>0.35174664664673372</v>
      </c>
      <c r="BS62" s="49"/>
      <c r="BT62" s="80" t="str">
        <f>'Standard Vorgaben'!$D$68</f>
        <v>Ernte inkl. Sortieren</v>
      </c>
      <c r="BU62" s="504">
        <f>'Standard Vorgaben'!$D79</f>
        <v>40</v>
      </c>
      <c r="BV62" s="363">
        <f>BV10/BU62</f>
        <v>650</v>
      </c>
      <c r="BW62" s="169">
        <f>'Standard Vorgaben'!$C$35</f>
        <v>22.62</v>
      </c>
      <c r="BX62" s="93">
        <f t="shared" si="33"/>
        <v>14703</v>
      </c>
      <c r="BY62" s="484">
        <f t="shared" si="34"/>
        <v>0.35192517092488423</v>
      </c>
      <c r="BZ62" s="49"/>
      <c r="CA62" s="80" t="str">
        <f>'Standard Vorgaben'!$D$68</f>
        <v>Ernte inkl. Sortieren</v>
      </c>
      <c r="CB62" s="504">
        <f>'Standard Vorgaben'!$D80</f>
        <v>40</v>
      </c>
      <c r="CC62" s="363">
        <f>CC10/CB62</f>
        <v>650</v>
      </c>
      <c r="CD62" s="169">
        <f>'Standard Vorgaben'!$C$35</f>
        <v>22.62</v>
      </c>
      <c r="CE62" s="93">
        <f t="shared" si="35"/>
        <v>14703</v>
      </c>
      <c r="CF62" s="484">
        <f t="shared" si="36"/>
        <v>0.35210548568457939</v>
      </c>
      <c r="CG62" s="49"/>
      <c r="CH62" s="80" t="str">
        <f>'Standard Vorgaben'!$D$68</f>
        <v>Ernte inkl. Sortieren</v>
      </c>
      <c r="CI62" s="504">
        <f>'Standard Vorgaben'!$D81</f>
        <v>40</v>
      </c>
      <c r="CJ62" s="363">
        <f>CJ10/CI62</f>
        <v>650</v>
      </c>
      <c r="CK62" s="169">
        <f>'Standard Vorgaben'!$C$35</f>
        <v>22.62</v>
      </c>
      <c r="CL62" s="93">
        <f t="shared" si="37"/>
        <v>14703</v>
      </c>
      <c r="CM62" s="484">
        <f t="shared" si="38"/>
        <v>0.35228761065049841</v>
      </c>
      <c r="CN62" s="49"/>
      <c r="CO62" s="80" t="str">
        <f>'Standard Vorgaben'!$D$68</f>
        <v>Ernte inkl. Sortieren</v>
      </c>
      <c r="CP62" s="504">
        <f>'Standard Vorgaben'!$D82</f>
        <v>40</v>
      </c>
      <c r="CQ62" s="363">
        <f>CQ10/CP62</f>
        <v>650</v>
      </c>
      <c r="CR62" s="169">
        <f>'Standard Vorgaben'!$C$35</f>
        <v>22.62</v>
      </c>
      <c r="CS62" s="93">
        <f t="shared" si="39"/>
        <v>14703</v>
      </c>
      <c r="CT62" s="484">
        <f t="shared" si="40"/>
        <v>0.35247156579856925</v>
      </c>
      <c r="CU62" s="49"/>
      <c r="CV62" s="80" t="str">
        <f>'Standard Vorgaben'!$D$68</f>
        <v>Ernte inkl. Sortieren</v>
      </c>
      <c r="CW62" s="504">
        <f>'Standard Vorgaben'!$D83</f>
        <v>40</v>
      </c>
      <c r="CX62" s="363">
        <f>CX10/CW62</f>
        <v>650</v>
      </c>
      <c r="CY62" s="169">
        <f>'Standard Vorgaben'!$C$35</f>
        <v>22.62</v>
      </c>
      <c r="CZ62" s="93">
        <f t="shared" si="41"/>
        <v>14703</v>
      </c>
      <c r="DA62" s="484">
        <f t="shared" si="42"/>
        <v>0.35265737135981678</v>
      </c>
      <c r="DB62" s="49"/>
      <c r="DC62" s="80" t="str">
        <f>'Standard Vorgaben'!$D$68</f>
        <v>Ernte inkl. Sortieren</v>
      </c>
      <c r="DD62" s="504">
        <f>'Standard Vorgaben'!$D84</f>
        <v>40</v>
      </c>
      <c r="DE62" s="363">
        <f>DE10/DD62</f>
        <v>650</v>
      </c>
      <c r="DF62" s="169">
        <f>'Standard Vorgaben'!$C$35</f>
        <v>22.62</v>
      </c>
      <c r="DG62" s="93">
        <f t="shared" si="43"/>
        <v>14703</v>
      </c>
      <c r="DH62" s="484">
        <f t="shared" si="44"/>
        <v>0.3084339512057101</v>
      </c>
    </row>
    <row r="63" spans="1:112" ht="12.75" customHeight="1" thickBot="1" x14ac:dyDescent="0.25">
      <c r="B63" s="73" t="s">
        <v>104</v>
      </c>
      <c r="C63" s="323"/>
      <c r="D63" s="659">
        <f>'Standard Vorgaben'!F92+'Standard Vorgaben'!G92</f>
        <v>20</v>
      </c>
      <c r="E63" s="169">
        <f>'Standard Vorgaben'!$C$32</f>
        <v>41.4</v>
      </c>
      <c r="F63" s="658">
        <f t="shared" si="45"/>
        <v>828</v>
      </c>
      <c r="G63" s="484">
        <f t="shared" si="16"/>
        <v>8.7515211947428437E-2</v>
      </c>
      <c r="H63" s="49"/>
      <c r="I63" s="73" t="s">
        <v>104</v>
      </c>
      <c r="J63" s="323"/>
      <c r="K63" s="659">
        <f>'Standard Vorgaben'!F93+'Standard Vorgaben'!G93</f>
        <v>20</v>
      </c>
      <c r="L63" s="169">
        <f>'Standard Vorgaben'!$C$32</f>
        <v>41.4</v>
      </c>
      <c r="M63" s="658">
        <f t="shared" si="46"/>
        <v>828</v>
      </c>
      <c r="N63" s="484">
        <f t="shared" si="17"/>
        <v>6.0216372200161052E-2</v>
      </c>
      <c r="O63" s="49"/>
      <c r="P63" s="73" t="s">
        <v>104</v>
      </c>
      <c r="Q63" s="323"/>
      <c r="R63" s="659">
        <f>'Standard Vorgaben'!$F$94+'Standard Vorgaben'!$G$94</f>
        <v>20</v>
      </c>
      <c r="S63" s="169">
        <f>'Standard Vorgaben'!$C$32</f>
        <v>41.4</v>
      </c>
      <c r="T63" s="658">
        <f t="shared" si="47"/>
        <v>828</v>
      </c>
      <c r="U63" s="484">
        <f t="shared" si="18"/>
        <v>4.0750035040277299E-2</v>
      </c>
      <c r="V63" s="49"/>
      <c r="W63" s="73" t="s">
        <v>104</v>
      </c>
      <c r="X63" s="323"/>
      <c r="Y63" s="659">
        <f>'Standard Vorgaben'!$F$94+'Standard Vorgaben'!$G$94</f>
        <v>20</v>
      </c>
      <c r="Z63" s="169">
        <f>'Standard Vorgaben'!$C$32</f>
        <v>41.4</v>
      </c>
      <c r="AA63" s="658">
        <f t="shared" si="19"/>
        <v>828</v>
      </c>
      <c r="AB63" s="484">
        <f t="shared" si="20"/>
        <v>3.4250899003774551E-2</v>
      </c>
      <c r="AC63" s="49"/>
      <c r="AD63" s="73" t="s">
        <v>104</v>
      </c>
      <c r="AE63" s="323"/>
      <c r="AF63" s="659">
        <f>'Standard Vorgaben'!$F$91+'Standard Vorgaben'!$G$91</f>
        <v>40</v>
      </c>
      <c r="AG63" s="169">
        <f>'Standard Vorgaben'!$C$32</f>
        <v>41.4</v>
      </c>
      <c r="AH63" s="658">
        <f t="shared" si="21"/>
        <v>1656</v>
      </c>
      <c r="AI63" s="484">
        <f t="shared" si="22"/>
        <v>4.7456888412806993E-2</v>
      </c>
      <c r="AJ63" s="49"/>
      <c r="AK63" s="73" t="s">
        <v>104</v>
      </c>
      <c r="AL63" s="323"/>
      <c r="AM63" s="659">
        <f>'Standard Vorgaben'!$F$91+'Standard Vorgaben'!$G$91</f>
        <v>40</v>
      </c>
      <c r="AN63" s="169">
        <f>'Standard Vorgaben'!$C$32</f>
        <v>41.4</v>
      </c>
      <c r="AO63" s="658">
        <f t="shared" si="23"/>
        <v>1656</v>
      </c>
      <c r="AP63" s="484">
        <f t="shared" si="24"/>
        <v>4.3133188192548723E-2</v>
      </c>
      <c r="AQ63" s="49"/>
      <c r="AR63" s="73" t="s">
        <v>104</v>
      </c>
      <c r="AS63" s="323"/>
      <c r="AT63" s="659">
        <f>'Standard Vorgaben'!$F$91+'Standard Vorgaben'!$G$91</f>
        <v>40</v>
      </c>
      <c r="AU63" s="169">
        <f>'Standard Vorgaben'!$C$32</f>
        <v>41.4</v>
      </c>
      <c r="AV63" s="658">
        <f t="shared" si="25"/>
        <v>1656</v>
      </c>
      <c r="AW63" s="484">
        <f t="shared" si="26"/>
        <v>3.955811793018265E-2</v>
      </c>
      <c r="AX63" s="49"/>
      <c r="AY63" s="73" t="s">
        <v>104</v>
      </c>
      <c r="AZ63" s="323"/>
      <c r="BA63" s="659">
        <f>'Standard Vorgaben'!$F$91+'Standard Vorgaben'!$G$91</f>
        <v>40</v>
      </c>
      <c r="BB63" s="169">
        <f>'Standard Vorgaben'!$C$32</f>
        <v>41.4</v>
      </c>
      <c r="BC63" s="658">
        <f t="shared" si="27"/>
        <v>1656</v>
      </c>
      <c r="BD63" s="484">
        <f t="shared" si="28"/>
        <v>3.9577633199802849E-2</v>
      </c>
      <c r="BE63" s="49"/>
      <c r="BF63" s="73" t="s">
        <v>104</v>
      </c>
      <c r="BG63" s="323"/>
      <c r="BH63" s="659">
        <f>'Standard Vorgaben'!$F$91+'Standard Vorgaben'!$G$91</f>
        <v>40</v>
      </c>
      <c r="BI63" s="169">
        <f>'Standard Vorgaben'!$C$32</f>
        <v>41.4</v>
      </c>
      <c r="BJ63" s="658">
        <f t="shared" si="29"/>
        <v>1656</v>
      </c>
      <c r="BK63" s="484">
        <f t="shared" si="30"/>
        <v>3.9597343632289533E-2</v>
      </c>
      <c r="BL63" s="49"/>
      <c r="BM63" s="73" t="s">
        <v>104</v>
      </c>
      <c r="BN63" s="323"/>
      <c r="BO63" s="659">
        <f>'Standard Vorgaben'!$F$91+'Standard Vorgaben'!$G$91</f>
        <v>40</v>
      </c>
      <c r="BP63" s="169">
        <f>'Standard Vorgaben'!$C$32</f>
        <v>41.4</v>
      </c>
      <c r="BQ63" s="658">
        <f t="shared" si="31"/>
        <v>1656</v>
      </c>
      <c r="BR63" s="484">
        <f t="shared" si="32"/>
        <v>3.9617251366863296E-2</v>
      </c>
      <c r="BS63" s="49"/>
      <c r="BT63" s="73" t="s">
        <v>104</v>
      </c>
      <c r="BU63" s="323"/>
      <c r="BV63" s="659">
        <f>'Standard Vorgaben'!$F$91+'Standard Vorgaben'!$G$91</f>
        <v>40</v>
      </c>
      <c r="BW63" s="169">
        <f>'Standard Vorgaben'!$C$32</f>
        <v>41.4</v>
      </c>
      <c r="BX63" s="658">
        <f t="shared" si="33"/>
        <v>1656</v>
      </c>
      <c r="BY63" s="484">
        <f t="shared" si="34"/>
        <v>3.9637358569789047E-2</v>
      </c>
      <c r="BZ63" s="49"/>
      <c r="CA63" s="73" t="s">
        <v>104</v>
      </c>
      <c r="CB63" s="323"/>
      <c r="CC63" s="659">
        <f>'Standard Vorgaben'!$F$91+'Standard Vorgaben'!$G$91</f>
        <v>40</v>
      </c>
      <c r="CD63" s="169">
        <f>'Standard Vorgaben'!$C$32</f>
        <v>41.4</v>
      </c>
      <c r="CE63" s="658">
        <f t="shared" si="35"/>
        <v>1656</v>
      </c>
      <c r="CF63" s="484">
        <f t="shared" si="36"/>
        <v>3.9657667434786339E-2</v>
      </c>
      <c r="CG63" s="49"/>
      <c r="CH63" s="73" t="s">
        <v>104</v>
      </c>
      <c r="CI63" s="323"/>
      <c r="CJ63" s="659">
        <f>'Standard Vorgaben'!$F$91+'Standard Vorgaben'!$G$91</f>
        <v>40</v>
      </c>
      <c r="CK63" s="169">
        <f>'Standard Vorgaben'!$C$32</f>
        <v>41.4</v>
      </c>
      <c r="CL63" s="658">
        <f t="shared" si="37"/>
        <v>1656</v>
      </c>
      <c r="CM63" s="484">
        <f t="shared" si="38"/>
        <v>3.9678180183447279E-2</v>
      </c>
      <c r="CN63" s="49"/>
      <c r="CO63" s="73" t="s">
        <v>104</v>
      </c>
      <c r="CP63" s="323"/>
      <c r="CQ63" s="659">
        <f>'Standard Vorgaben'!$F$91+'Standard Vorgaben'!$G$91</f>
        <v>40</v>
      </c>
      <c r="CR63" s="169">
        <f>'Standard Vorgaben'!$C$32</f>
        <v>41.4</v>
      </c>
      <c r="CS63" s="658">
        <f t="shared" si="39"/>
        <v>1656</v>
      </c>
      <c r="CT63" s="484">
        <f t="shared" si="40"/>
        <v>3.9698899065662159E-2</v>
      </c>
      <c r="CU63" s="49"/>
      <c r="CV63" s="73" t="s">
        <v>104</v>
      </c>
      <c r="CW63" s="323"/>
      <c r="CX63" s="659">
        <f>'Standard Vorgaben'!$F$91+'Standard Vorgaben'!$G$91</f>
        <v>40</v>
      </c>
      <c r="CY63" s="169">
        <f>'Standard Vorgaben'!$C$32</f>
        <v>41.4</v>
      </c>
      <c r="CZ63" s="658">
        <f t="shared" si="41"/>
        <v>1656</v>
      </c>
      <c r="DA63" s="484">
        <f t="shared" si="42"/>
        <v>3.9719826360052821E-2</v>
      </c>
      <c r="DB63" s="49"/>
      <c r="DC63" s="73" t="s">
        <v>104</v>
      </c>
      <c r="DD63" s="323"/>
      <c r="DE63" s="659">
        <f>'Standard Vorgaben'!$F$91+'Standard Vorgaben'!$G$91</f>
        <v>40</v>
      </c>
      <c r="DF63" s="169">
        <f>'Standard Vorgaben'!$C$32</f>
        <v>41.4</v>
      </c>
      <c r="DG63" s="658">
        <f t="shared" si="43"/>
        <v>1656</v>
      </c>
      <c r="DH63" s="484">
        <f t="shared" si="44"/>
        <v>3.4738939209457656E-2</v>
      </c>
    </row>
    <row r="64" spans="1:112" x14ac:dyDescent="0.2">
      <c r="A64" s="106" t="s">
        <v>95</v>
      </c>
      <c r="B64" s="505">
        <f>('Standard Vorgaben'!$F$33*D55)+('Standard Vorgaben'!$F$33*D62)</f>
        <v>0</v>
      </c>
      <c r="C64" s="124" t="s">
        <v>93</v>
      </c>
      <c r="D64" s="366">
        <f>SUM(D51:D55)+C56*D56+C57*D57+C58*D58+C59*D59+C60*D60+C61*D61+D62+D63</f>
        <v>89.4</v>
      </c>
      <c r="E64" s="169"/>
      <c r="F64" s="162">
        <f>SUM(F51:F63)</f>
        <v>2996.58</v>
      </c>
      <c r="G64" s="655">
        <f t="shared" si="16"/>
        <v>0.31672262538336365</v>
      </c>
      <c r="H64" s="106" t="s">
        <v>95</v>
      </c>
      <c r="I64" s="505">
        <f>('Standard Vorgaben'!$F$33*K55)+('Standard Vorgaben'!$F$33*K62)</f>
        <v>90</v>
      </c>
      <c r="J64" s="124" t="s">
        <v>93</v>
      </c>
      <c r="K64" s="366">
        <f>SUM(K51:K55)+J56*K56+J57*K57+J58*K58+J59*K59+J60*K60+J61*K61+K62+K63</f>
        <v>210.4</v>
      </c>
      <c r="L64" s="169"/>
      <c r="M64" s="162">
        <f>SUM(M51:M63)</f>
        <v>5945.28</v>
      </c>
      <c r="N64" s="655">
        <f t="shared" si="17"/>
        <v>0.4323710064180839</v>
      </c>
      <c r="O64" s="106" t="s">
        <v>95</v>
      </c>
      <c r="P64" s="505">
        <f>('Standard Vorgaben'!$F$33*R55)+('Standard Vorgaben'!$F$33*R62)</f>
        <v>189</v>
      </c>
      <c r="Q64" s="124" t="s">
        <v>93</v>
      </c>
      <c r="R64" s="366">
        <f>SUM(R51:R55)+Q56*R56+Q57*R57+Q58*R58+Q59*R59+Q60*R60+Q61*R61+R62+R63</f>
        <v>348.4</v>
      </c>
      <c r="S64" s="169"/>
      <c r="T64" s="162">
        <f>SUM(T51:T63)</f>
        <v>9356.880000000001</v>
      </c>
      <c r="U64" s="655">
        <f t="shared" si="18"/>
        <v>0.46049901916385255</v>
      </c>
      <c r="V64" s="106" t="s">
        <v>95</v>
      </c>
      <c r="W64" s="505">
        <f>('Standard Vorgaben'!$F$33*Y55)+('Standard Vorgaben'!$F$33*Y62)</f>
        <v>279</v>
      </c>
      <c r="X64" s="124" t="s">
        <v>93</v>
      </c>
      <c r="Y64" s="366">
        <f>SUM(Y51:Y55)+X56*Y56+X57*Y57+X58*Y58+X59*Y59+X60*Y60+X61*Y61+Y62+Y63</f>
        <v>448.4</v>
      </c>
      <c r="Z64" s="169"/>
      <c r="AA64" s="162">
        <f>SUM(AA51:AA63)</f>
        <v>11618.880000000001</v>
      </c>
      <c r="AB64" s="484">
        <f t="shared" si="20"/>
        <v>0.48062449929586482</v>
      </c>
      <c r="AC64" s="106" t="s">
        <v>95</v>
      </c>
      <c r="AD64" s="505">
        <f>('Standard Vorgaben'!$F$33*AF55)+('Standard Vorgaben'!$F$33*AF62)</f>
        <v>495</v>
      </c>
      <c r="AE64" s="124" t="s">
        <v>93</v>
      </c>
      <c r="AF64" s="366">
        <f>SUM(AF51:AF55)+AE56*AF56+AE57*AF57+AE58*AF58+AE59*AF59+AE60*AF60+AE61*AF61+AF62+AF63</f>
        <v>750.4</v>
      </c>
      <c r="AG64" s="169"/>
      <c r="AH64" s="162">
        <f>SUM(AH51:AH63)</f>
        <v>19254.28</v>
      </c>
      <c r="AI64" s="655">
        <f t="shared" si="22"/>
        <v>0.55178032453438486</v>
      </c>
      <c r="AJ64" s="106" t="s">
        <v>95</v>
      </c>
      <c r="AK64" s="505">
        <f>('Standard Vorgaben'!$F$33*AM55)+('Standard Vorgaben'!$F$33*AM62)</f>
        <v>585</v>
      </c>
      <c r="AL64" s="124" t="s">
        <v>93</v>
      </c>
      <c r="AM64" s="366">
        <f>SUM(AM51:AM55)+AL56*AM56+AL57*AM57+AL58*AM58+AL59*AM59+AL60*AM60+AL61*AM61+AM62+AM63</f>
        <v>850.4</v>
      </c>
      <c r="AN64" s="169"/>
      <c r="AO64" s="162">
        <f>SUM(AO51:AO63)</f>
        <v>21516.28</v>
      </c>
      <c r="AP64" s="484">
        <f t="shared" si="24"/>
        <v>0.56042618021954849</v>
      </c>
      <c r="AQ64" s="106" t="s">
        <v>95</v>
      </c>
      <c r="AR64" s="505">
        <f>('Standard Vorgaben'!$F$33*AT55)+('Standard Vorgaben'!$F$33*AT62)</f>
        <v>675</v>
      </c>
      <c r="AS64" s="124" t="s">
        <v>93</v>
      </c>
      <c r="AT64" s="366">
        <f>SUM(AT51:AT55)+AS56*AT56+AS57*AT57+AS58*AT58+AS59*AT59+AS60*AT60+AS61*AT61+AT62+AT63</f>
        <v>950.4</v>
      </c>
      <c r="AU64" s="169"/>
      <c r="AV64" s="162">
        <f>SUM(AV51:AV63)</f>
        <v>23778.28</v>
      </c>
      <c r="AW64" s="655">
        <f t="shared" si="26"/>
        <v>0.56800966450296098</v>
      </c>
      <c r="AX64" s="106" t="s">
        <v>95</v>
      </c>
      <c r="AY64" s="505">
        <f>('Standard Vorgaben'!$F$33*BA55)+('Standard Vorgaben'!$F$33*BA62)</f>
        <v>675</v>
      </c>
      <c r="AZ64" s="124" t="s">
        <v>93</v>
      </c>
      <c r="BA64" s="366">
        <f>SUM(BA51:BA55)+AZ56*BA56+AZ57*BA57+AZ58*BA58+AZ59*BA59+AZ60*BA60+AZ61*BA61+BA62+BA63</f>
        <v>950.4</v>
      </c>
      <c r="BB64" s="169"/>
      <c r="BC64" s="162">
        <f>SUM(BC51:BC63)</f>
        <v>23778.28</v>
      </c>
      <c r="BD64" s="655">
        <f t="shared" si="28"/>
        <v>0.56828988161969085</v>
      </c>
      <c r="BE64" s="106" t="s">
        <v>95</v>
      </c>
      <c r="BF64" s="505">
        <f>('Standard Vorgaben'!$F$33*BH55)+('Standard Vorgaben'!$F$33*BH62)</f>
        <v>675</v>
      </c>
      <c r="BG64" s="124" t="s">
        <v>93</v>
      </c>
      <c r="BH64" s="366">
        <f>SUM(BH51:BH55)+BG56*BH56+BG57*BH57+BG58*BH58+BG59*BH59+BG60*BH60+BG61*BH61+BH62+BH63</f>
        <v>950.4</v>
      </c>
      <c r="BI64" s="169"/>
      <c r="BJ64" s="162">
        <f>SUM(BJ51:BJ63)</f>
        <v>23778.28</v>
      </c>
      <c r="BK64" s="655">
        <f t="shared" si="30"/>
        <v>0.56857290105362168</v>
      </c>
      <c r="BL64" s="106" t="s">
        <v>95</v>
      </c>
      <c r="BM64" s="505">
        <f>('Standard Vorgaben'!$F$33*BO55)+('Standard Vorgaben'!$F$33*BO62)</f>
        <v>675</v>
      </c>
      <c r="BN64" s="124" t="s">
        <v>93</v>
      </c>
      <c r="BO64" s="366">
        <f>SUM(BO51:BO55)+BN56*BO56+BN57*BO57+BN58*BO58+BN59*BO59+BN60*BO60+BN61*BO61+BO62+BO63</f>
        <v>950.4</v>
      </c>
      <c r="BP64" s="169"/>
      <c r="BQ64" s="162">
        <f>SUM(BQ51:BQ63)</f>
        <v>23778.28</v>
      </c>
      <c r="BR64" s="655">
        <f t="shared" si="32"/>
        <v>0.56885875352153259</v>
      </c>
      <c r="BS64" s="106" t="s">
        <v>95</v>
      </c>
      <c r="BT64" s="505">
        <f>('Standard Vorgaben'!$F$33*BV55)+('Standard Vorgaben'!$F$33*BV62)</f>
        <v>675</v>
      </c>
      <c r="BU64" s="124" t="s">
        <v>93</v>
      </c>
      <c r="BV64" s="366">
        <f>SUM(BV51:BV55)+BU56*BV56+BU57*BV57+BU58*BV58+BU59*BV59+BU60*BV60+BU61*BV61+BV62+BV63</f>
        <v>950.4</v>
      </c>
      <c r="BW64" s="169"/>
      <c r="BX64" s="162">
        <f>SUM(BX51:BX63)</f>
        <v>23778.28</v>
      </c>
      <c r="BY64" s="655">
        <f t="shared" si="34"/>
        <v>0.56914747012852862</v>
      </c>
      <c r="BZ64" s="106" t="s">
        <v>95</v>
      </c>
      <c r="CA64" s="505">
        <f>('Standard Vorgaben'!$F$33*CC55)+('Standard Vorgaben'!$F$33*CC62)</f>
        <v>675</v>
      </c>
      <c r="CB64" s="124" t="s">
        <v>93</v>
      </c>
      <c r="CC64" s="366">
        <f>SUM(CC51:CC55)+CB56*CC56+CB57*CC57+CB58*CC58+CB59*CC59+CB60*CC60+CB61*CC61+CC62+CC63</f>
        <v>950.4</v>
      </c>
      <c r="CD64" s="169"/>
      <c r="CE64" s="162">
        <f>SUM(CE51:CE63)</f>
        <v>23778.28</v>
      </c>
      <c r="CF64" s="655">
        <f t="shared" si="36"/>
        <v>0.56943908237393193</v>
      </c>
      <c r="CG64" s="106" t="s">
        <v>95</v>
      </c>
      <c r="CH64" s="505">
        <f>('Standard Vorgaben'!$F$33*CJ55)+('Standard Vorgaben'!$F$33*CJ62)</f>
        <v>675</v>
      </c>
      <c r="CI64" s="124" t="s">
        <v>93</v>
      </c>
      <c r="CJ64" s="366">
        <f>SUM(CJ51:CJ55)+CI56*CJ56+CI57*CJ57+CI58*CJ58+CI59*CJ59+CI60*CJ60+CI61*CJ61+CJ62+CJ63</f>
        <v>950.4</v>
      </c>
      <c r="CK64" s="169"/>
      <c r="CL64" s="162">
        <f>SUM(CL51:CL63)</f>
        <v>23778.28</v>
      </c>
      <c r="CM64" s="655">
        <f t="shared" si="38"/>
        <v>0.56973362215728307</v>
      </c>
      <c r="CN64" s="106" t="s">
        <v>95</v>
      </c>
      <c r="CO64" s="505">
        <f>('Standard Vorgaben'!$F$33*CQ55)+('Standard Vorgaben'!$F$33*CQ62)</f>
        <v>675</v>
      </c>
      <c r="CP64" s="124" t="s">
        <v>93</v>
      </c>
      <c r="CQ64" s="366">
        <f>SUM(CQ51:CQ55)+CP56*CQ56+CP57*CQ57+CP58*CQ58+CP59*CQ59+CP60*CQ60+CP61*CQ61+CQ62+CQ63</f>
        <v>950.4</v>
      </c>
      <c r="CR64" s="169"/>
      <c r="CS64" s="162">
        <f>SUM(CS51:CS63)</f>
        <v>23778.28</v>
      </c>
      <c r="CT64" s="655">
        <f t="shared" si="40"/>
        <v>0.57003112178445237</v>
      </c>
      <c r="CU64" s="106" t="s">
        <v>95</v>
      </c>
      <c r="CV64" s="505">
        <f>('Standard Vorgaben'!$F$33*CX55)+('Standard Vorgaben'!$F$33*CX62)</f>
        <v>675</v>
      </c>
      <c r="CW64" s="124" t="s">
        <v>93</v>
      </c>
      <c r="CX64" s="366">
        <f>SUM(CX51:CX55)+CW56*CX56+CW57*CX57+CW58*CX58+CW59*CX59+CW60*CX60+CW61*CX61+CX62+CX63</f>
        <v>950.4</v>
      </c>
      <c r="CY64" s="169"/>
      <c r="CZ64" s="162">
        <f>SUM(CZ51:CZ63)</f>
        <v>23778.28</v>
      </c>
      <c r="DA64" s="655">
        <f t="shared" si="42"/>
        <v>0.57033161397386278</v>
      </c>
      <c r="DB64" s="106" t="s">
        <v>95</v>
      </c>
      <c r="DC64" s="505">
        <f>('Standard Vorgaben'!$F$33*DE55)+('Standard Vorgaben'!$F$33*DE62)</f>
        <v>675</v>
      </c>
      <c r="DD64" s="124" t="s">
        <v>93</v>
      </c>
      <c r="DE64" s="366">
        <f>SUM(DE51:DE55)+DD56*DE56+DD57*DE57+DD58*DE58+DD59*DE59+DD60*DE60+DD61*DE61+DE62+DE63</f>
        <v>950.4</v>
      </c>
      <c r="DF64" s="169"/>
      <c r="DG64" s="162">
        <f>SUM(DG51:DG63)</f>
        <v>23778.28</v>
      </c>
      <c r="DH64" s="655">
        <f t="shared" si="44"/>
        <v>0.49881172912165628</v>
      </c>
    </row>
    <row r="65" spans="1:256" ht="15.75" customHeight="1" x14ac:dyDescent="0.2">
      <c r="A65" s="49" t="s">
        <v>72</v>
      </c>
      <c r="B65" s="73" t="s">
        <v>69</v>
      </c>
      <c r="C65" s="323"/>
      <c r="D65" s="323"/>
      <c r="E65" s="169"/>
      <c r="F65" s="93">
        <f>'Standard Vorgaben'!$C$42</f>
        <v>660</v>
      </c>
      <c r="G65" s="484">
        <f t="shared" si="16"/>
        <v>6.975850227693571E-2</v>
      </c>
      <c r="H65" s="49" t="s">
        <v>72</v>
      </c>
      <c r="I65" s="73" t="s">
        <v>69</v>
      </c>
      <c r="J65" s="323"/>
      <c r="K65" s="323"/>
      <c r="L65" s="169"/>
      <c r="M65" s="93">
        <f>'Standard Vorgaben'!$C$42</f>
        <v>660</v>
      </c>
      <c r="N65" s="484">
        <f t="shared" si="17"/>
        <v>4.7998557550853013E-2</v>
      </c>
      <c r="O65" s="49" t="s">
        <v>72</v>
      </c>
      <c r="P65" s="73" t="s">
        <v>69</v>
      </c>
      <c r="Q65" s="323"/>
      <c r="R65" s="323"/>
      <c r="S65" s="169"/>
      <c r="T65" s="93">
        <f>'Standard Vorgaben'!$C$42</f>
        <v>660</v>
      </c>
      <c r="U65" s="484">
        <f t="shared" si="18"/>
        <v>3.2481911988626835E-2</v>
      </c>
      <c r="V65" s="49" t="s">
        <v>72</v>
      </c>
      <c r="W65" s="73" t="s">
        <v>69</v>
      </c>
      <c r="X65" s="323"/>
      <c r="Y65" s="323"/>
      <c r="Z65" s="169"/>
      <c r="AA65" s="93">
        <f>'Standard Vorgaben'!$C$42</f>
        <v>660</v>
      </c>
      <c r="AB65" s="484">
        <f t="shared" si="20"/>
        <v>2.7301441234892757E-2</v>
      </c>
      <c r="AC65" s="49" t="s">
        <v>72</v>
      </c>
      <c r="AD65" s="73" t="s">
        <v>69</v>
      </c>
      <c r="AE65" s="323"/>
      <c r="AF65" s="323"/>
      <c r="AG65" s="169"/>
      <c r="AH65" s="93">
        <f>'Standard Vorgaben'!$C$42</f>
        <v>660</v>
      </c>
      <c r="AI65" s="484">
        <f t="shared" si="22"/>
        <v>1.89139772659738E-2</v>
      </c>
      <c r="AJ65" s="49" t="s">
        <v>72</v>
      </c>
      <c r="AK65" s="73" t="s">
        <v>69</v>
      </c>
      <c r="AL65" s="323"/>
      <c r="AM65" s="323"/>
      <c r="AN65" s="169"/>
      <c r="AO65" s="93">
        <f>'Standard Vorgaben'!$C$42</f>
        <v>660</v>
      </c>
      <c r="AP65" s="484">
        <f t="shared" si="24"/>
        <v>1.7190763410073768E-2</v>
      </c>
      <c r="AQ65" s="49" t="s">
        <v>72</v>
      </c>
      <c r="AR65" s="73" t="s">
        <v>69</v>
      </c>
      <c r="AS65" s="323"/>
      <c r="AT65" s="323"/>
      <c r="AU65" s="169"/>
      <c r="AV65" s="93">
        <f>'Standard Vorgaben'!$C$42</f>
        <v>660</v>
      </c>
      <c r="AW65" s="484">
        <f t="shared" si="26"/>
        <v>1.5765916566377144E-2</v>
      </c>
      <c r="AX65" s="49" t="s">
        <v>72</v>
      </c>
      <c r="AY65" s="73" t="s">
        <v>69</v>
      </c>
      <c r="AZ65" s="323"/>
      <c r="BA65" s="323"/>
      <c r="BB65" s="169"/>
      <c r="BC65" s="93">
        <f>'Standard Vorgaben'!$C$42</f>
        <v>660</v>
      </c>
      <c r="BD65" s="484">
        <f t="shared" si="28"/>
        <v>1.5773694391225772E-2</v>
      </c>
      <c r="BE65" s="49" t="s">
        <v>72</v>
      </c>
      <c r="BF65" s="73" t="s">
        <v>69</v>
      </c>
      <c r="BG65" s="323"/>
      <c r="BH65" s="323"/>
      <c r="BI65" s="169"/>
      <c r="BJ65" s="93">
        <f>'Standard Vorgaben'!$C$42</f>
        <v>660</v>
      </c>
      <c r="BK65" s="484">
        <f t="shared" si="30"/>
        <v>1.5781549998376262E-2</v>
      </c>
      <c r="BL65" s="49" t="s">
        <v>72</v>
      </c>
      <c r="BM65" s="73" t="s">
        <v>69</v>
      </c>
      <c r="BN65" s="323"/>
      <c r="BO65" s="323"/>
      <c r="BP65" s="169"/>
      <c r="BQ65" s="93">
        <f>'Standard Vorgaben'!$C$42</f>
        <v>660</v>
      </c>
      <c r="BR65" s="484">
        <f t="shared" si="32"/>
        <v>1.578948424041653E-2</v>
      </c>
      <c r="BS65" s="49" t="s">
        <v>72</v>
      </c>
      <c r="BT65" s="73" t="s">
        <v>69</v>
      </c>
      <c r="BU65" s="323"/>
      <c r="BV65" s="323"/>
      <c r="BW65" s="169"/>
      <c r="BX65" s="93">
        <f>'Standard Vorgaben'!$C$42</f>
        <v>660</v>
      </c>
      <c r="BY65" s="484">
        <f t="shared" si="34"/>
        <v>1.5797497980713025E-2</v>
      </c>
      <c r="BZ65" s="49" t="s">
        <v>72</v>
      </c>
      <c r="CA65" s="73" t="s">
        <v>69</v>
      </c>
      <c r="CB65" s="323"/>
      <c r="CC65" s="323"/>
      <c r="CD65" s="169"/>
      <c r="CE65" s="93">
        <f>'Standard Vorgaben'!$C$42</f>
        <v>660</v>
      </c>
      <c r="CF65" s="484">
        <f t="shared" si="36"/>
        <v>1.5805592093574263E-2</v>
      </c>
      <c r="CG65" s="49" t="s">
        <v>72</v>
      </c>
      <c r="CH65" s="73" t="s">
        <v>69</v>
      </c>
      <c r="CI65" s="323"/>
      <c r="CJ65" s="323"/>
      <c r="CK65" s="169"/>
      <c r="CL65" s="93">
        <f>'Standard Vorgaben'!$C$42</f>
        <v>660</v>
      </c>
      <c r="CM65" s="484">
        <f t="shared" si="38"/>
        <v>1.5813767464417393E-2</v>
      </c>
      <c r="CN65" s="49" t="s">
        <v>72</v>
      </c>
      <c r="CO65" s="73" t="s">
        <v>69</v>
      </c>
      <c r="CP65" s="323"/>
      <c r="CQ65" s="323"/>
      <c r="CR65" s="169"/>
      <c r="CS65" s="93">
        <f>'Standard Vorgaben'!$C$42</f>
        <v>660</v>
      </c>
      <c r="CT65" s="484">
        <f t="shared" si="40"/>
        <v>1.5822024989937816E-2</v>
      </c>
      <c r="CU65" s="49" t="s">
        <v>72</v>
      </c>
      <c r="CV65" s="73" t="s">
        <v>69</v>
      </c>
      <c r="CW65" s="323"/>
      <c r="CX65" s="323"/>
      <c r="CY65" s="169"/>
      <c r="CZ65" s="93">
        <f>'Standard Vorgaben'!$C$42</f>
        <v>660</v>
      </c>
      <c r="DA65" s="484">
        <f t="shared" si="42"/>
        <v>1.5830365578281921E-2</v>
      </c>
      <c r="DB65" s="49" t="s">
        <v>72</v>
      </c>
      <c r="DC65" s="73" t="s">
        <v>69</v>
      </c>
      <c r="DD65" s="323"/>
      <c r="DE65" s="323"/>
      <c r="DF65" s="169"/>
      <c r="DG65" s="93">
        <f>'Standard Vorgaben'!$C$42</f>
        <v>660</v>
      </c>
      <c r="DH65" s="484">
        <f t="shared" si="44"/>
        <v>1.3845229395073703E-2</v>
      </c>
    </row>
    <row r="66" spans="1:256" ht="14.25" customHeight="1" x14ac:dyDescent="0.2">
      <c r="A66" s="64"/>
      <c r="B66" s="73" t="s">
        <v>172</v>
      </c>
      <c r="C66" s="506">
        <f>'Standard Vorgaben'!$C$41</f>
        <v>0.6</v>
      </c>
      <c r="D66" s="507">
        <f>'Standard Vorgaben'!$C$40</f>
        <v>1.4999999999999999E-2</v>
      </c>
      <c r="E66" s="508">
        <f>(F72)*(-1)</f>
        <v>63543.933666666664</v>
      </c>
      <c r="F66" s="176">
        <f>D66*E66*C66</f>
        <v>571.89540299999999</v>
      </c>
      <c r="G66" s="484">
        <f t="shared" si="16"/>
        <v>6.0446313291431158E-2</v>
      </c>
      <c r="H66" s="64"/>
      <c r="I66" s="73" t="s">
        <v>172</v>
      </c>
      <c r="J66" s="506">
        <f>'Standard Vorgaben'!$C$41</f>
        <v>0.6</v>
      </c>
      <c r="K66" s="507">
        <f>'Standard Vorgaben'!$C$40</f>
        <v>1.4999999999999999E-2</v>
      </c>
      <c r="L66" s="508">
        <f>(M72)*(-1)</f>
        <v>71905.145969933335</v>
      </c>
      <c r="M66" s="176">
        <f>K66*L66*J66</f>
        <v>647.14631372939994</v>
      </c>
      <c r="N66" s="484">
        <f t="shared" si="17"/>
        <v>4.7063772096004521E-2</v>
      </c>
      <c r="P66" s="73" t="s">
        <v>172</v>
      </c>
      <c r="Q66" s="506">
        <f>'Standard Vorgaben'!$C$41</f>
        <v>0.6</v>
      </c>
      <c r="R66" s="507">
        <f>'Standard Vorgaben'!$C$40</f>
        <v>1.4999999999999999E-2</v>
      </c>
      <c r="S66" s="508">
        <f>(T72)*(-1)</f>
        <v>77931.559183929407</v>
      </c>
      <c r="T66" s="176">
        <f>R66*S66*Q66</f>
        <v>701.38403265536465</v>
      </c>
      <c r="U66" s="484">
        <f t="shared" si="18"/>
        <v>3.4518627907484431E-2</v>
      </c>
      <c r="W66" s="73" t="s">
        <v>172</v>
      </c>
      <c r="X66" s="506">
        <f>'Standard Vorgaben'!$C$41</f>
        <v>0.6</v>
      </c>
      <c r="Y66" s="507">
        <f>'Standard Vorgaben'!$C$40</f>
        <v>1.4999999999999999E-2</v>
      </c>
      <c r="Z66" s="508">
        <f>(AA72)*(-1)</f>
        <v>87214.56011685144</v>
      </c>
      <c r="AA66" s="176">
        <f>Y66*Z66*X66</f>
        <v>784.93104105166287</v>
      </c>
      <c r="AB66" s="484">
        <f t="shared" si="20"/>
        <v>3.2469316198053287E-2</v>
      </c>
      <c r="AD66" s="73" t="s">
        <v>172</v>
      </c>
      <c r="AE66" s="506">
        <f>'Standard Vorgaben'!$C$41</f>
        <v>0.6</v>
      </c>
      <c r="AF66" s="507">
        <f>'Standard Vorgaben'!$C$40</f>
        <v>1.4999999999999999E-2</v>
      </c>
      <c r="AG66" s="508">
        <f>(AH72)*(-1)</f>
        <v>93729.108058169775</v>
      </c>
      <c r="AH66" s="176">
        <f>AF66*AG66*AE66</f>
        <v>843.56197252352797</v>
      </c>
      <c r="AI66" s="484">
        <f t="shared" si="22"/>
        <v>2.4174412076893977E-2</v>
      </c>
      <c r="AK66" s="73" t="s">
        <v>172</v>
      </c>
      <c r="AL66" s="506">
        <f>'Standard Vorgaben'!$C$41</f>
        <v>0.6</v>
      </c>
      <c r="AM66" s="507">
        <f>'Standard Vorgaben'!$C$40</f>
        <v>1.4999999999999999E-2</v>
      </c>
      <c r="AN66" s="508">
        <f>(AO72)*(-1)</f>
        <v>97715.936930959972</v>
      </c>
      <c r="AO66" s="176">
        <f>AM66*AN66*AL66</f>
        <v>879.44343237863973</v>
      </c>
      <c r="AP66" s="484">
        <f t="shared" si="24"/>
        <v>2.2906521179643036E-2</v>
      </c>
      <c r="AR66" s="73" t="s">
        <v>172</v>
      </c>
      <c r="AS66" s="506">
        <f>'Standard Vorgaben'!$C$41</f>
        <v>0.6</v>
      </c>
      <c r="AT66" s="507">
        <f>'Standard Vorgaben'!$C$40</f>
        <v>1.4999999999999999E-2</v>
      </c>
      <c r="AU66" s="508">
        <f>(AV72)*(-1)</f>
        <v>98576.647263605264</v>
      </c>
      <c r="AV66" s="176">
        <f>AT66*AU66*AS66</f>
        <v>887.18982537244733</v>
      </c>
      <c r="AW66" s="484">
        <f t="shared" si="26"/>
        <v>2.1192970856607138E-2</v>
      </c>
      <c r="AY66" s="73" t="s">
        <v>172</v>
      </c>
      <c r="AZ66" s="506">
        <f>'Standard Vorgaben'!$C$41</f>
        <v>0.6</v>
      </c>
      <c r="BA66" s="507">
        <f>'Standard Vorgaben'!$C$40</f>
        <v>1.4999999999999999E-2</v>
      </c>
      <c r="BB66" s="508">
        <f>(BC72)*(-1)</f>
        <v>96283.103989244381</v>
      </c>
      <c r="BC66" s="176">
        <f>BA66*BB66*AZ66</f>
        <v>866.54793590319935</v>
      </c>
      <c r="BD66" s="484">
        <f t="shared" si="28"/>
        <v>2.0710094418612979E-2</v>
      </c>
      <c r="BF66" s="73" t="s">
        <v>172</v>
      </c>
      <c r="BG66" s="506">
        <f>'Standard Vorgaben'!$C$41</f>
        <v>0.6</v>
      </c>
      <c r="BH66" s="507">
        <f>'Standard Vorgaben'!$C$40</f>
        <v>1.4999999999999999E-2</v>
      </c>
      <c r="BI66" s="508">
        <f>(BJ72)*(-1)</f>
        <v>93968.918825414265</v>
      </c>
      <c r="BJ66" s="176">
        <f>BH66*BI66*BG66</f>
        <v>845.72026942872833</v>
      </c>
      <c r="BK66" s="484">
        <f t="shared" si="30"/>
        <v>2.0222388964590485E-2</v>
      </c>
      <c r="BM66" s="73" t="s">
        <v>172</v>
      </c>
      <c r="BN66" s="506">
        <f>'Standard Vorgaben'!$C$41</f>
        <v>0.6</v>
      </c>
      <c r="BO66" s="507">
        <f>'Standard Vorgaben'!$C$40</f>
        <v>1.4999999999999999E-2</v>
      </c>
      <c r="BP66" s="508">
        <f>(BQ72)*(-1)</f>
        <v>91633.905995109642</v>
      </c>
      <c r="BQ66" s="176">
        <f>BO66*BP66*BN66</f>
        <v>824.7051539559867</v>
      </c>
      <c r="BR66" s="484">
        <f t="shared" si="32"/>
        <v>1.9729801562694455E-2</v>
      </c>
      <c r="BT66" s="73" t="s">
        <v>172</v>
      </c>
      <c r="BU66" s="506">
        <f>'Standard Vorgaben'!$C$41</f>
        <v>0.6</v>
      </c>
      <c r="BV66" s="507">
        <f>'Standard Vorgaben'!$C$40</f>
        <v>1.4999999999999999E-2</v>
      </c>
      <c r="BW66" s="508">
        <f>(BX72)*(-1)</f>
        <v>89277.878049332299</v>
      </c>
      <c r="BX66" s="176">
        <f>BV66*BW66*BU66</f>
        <v>803.50090244399064</v>
      </c>
      <c r="BY66" s="484">
        <f t="shared" si="34"/>
        <v>1.9232278611909143E-2</v>
      </c>
      <c r="CA66" s="73" t="s">
        <v>172</v>
      </c>
      <c r="CB66" s="506">
        <f>'Standard Vorgaben'!$C$41</f>
        <v>0.6</v>
      </c>
      <c r="CC66" s="507">
        <f>'Standard Vorgaben'!$C$40</f>
        <v>1.4999999999999999E-2</v>
      </c>
      <c r="CD66" s="508">
        <f>(CE72)*(-1)</f>
        <v>86900.645852042959</v>
      </c>
      <c r="CE66" s="176">
        <f>CC66*CD66*CB66</f>
        <v>782.10581266838653</v>
      </c>
      <c r="CF66" s="484">
        <f t="shared" si="36"/>
        <v>1.8729765831893827E-2</v>
      </c>
      <c r="CH66" s="73" t="s">
        <v>172</v>
      </c>
      <c r="CI66" s="506">
        <f>'Standard Vorgaben'!$C$41</f>
        <v>0.6</v>
      </c>
      <c r="CJ66" s="507">
        <f>'Standard Vorgaben'!$C$40</f>
        <v>1.4999999999999999E-2</v>
      </c>
      <c r="CK66" s="508">
        <f>(CL72)*(-1)</f>
        <v>84502.018564978003</v>
      </c>
      <c r="CL66" s="176">
        <f>CJ66*CK66*CI66</f>
        <v>760.51816708480203</v>
      </c>
      <c r="CM66" s="484">
        <f t="shared" si="38"/>
        <v>1.8222208252642414E-2</v>
      </c>
      <c r="CO66" s="73" t="s">
        <v>172</v>
      </c>
      <c r="CP66" s="506">
        <f>'Standard Vorgaben'!$C$41</f>
        <v>0.6</v>
      </c>
      <c r="CQ66" s="507">
        <f>'Standard Vorgaben'!$C$40</f>
        <v>1.4999999999999999E-2</v>
      </c>
      <c r="CR66" s="508">
        <f>(CS72)*(-1)</f>
        <v>82081.80363232948</v>
      </c>
      <c r="CS66" s="176">
        <f>CQ66*CR66*CP66</f>
        <v>738.73623269096527</v>
      </c>
      <c r="CT66" s="484">
        <f t="shared" si="40"/>
        <v>1.7709550203952984E-2</v>
      </c>
      <c r="CV66" s="73" t="s">
        <v>172</v>
      </c>
      <c r="CW66" s="506">
        <f>'Standard Vorgaben'!$C$41</f>
        <v>0.6</v>
      </c>
      <c r="CX66" s="507">
        <f>'Standard Vorgaben'!$C$40</f>
        <v>1.4999999999999999E-2</v>
      </c>
      <c r="CY66" s="508">
        <f>(CZ72)*(-1)</f>
        <v>79639.80676528711</v>
      </c>
      <c r="CZ66" s="176">
        <f>CX66*CY66*CW66</f>
        <v>716.7582608875839</v>
      </c>
      <c r="DA66" s="484">
        <f t="shared" si="42"/>
        <v>1.7191735304703065E-2</v>
      </c>
      <c r="DC66" s="73" t="s">
        <v>172</v>
      </c>
      <c r="DD66" s="506">
        <f>'Standard Vorgaben'!$C$41</f>
        <v>0.6</v>
      </c>
      <c r="DE66" s="507">
        <f>'Standard Vorgaben'!$C$40</f>
        <v>1.4999999999999999E-2</v>
      </c>
      <c r="DF66" s="508">
        <f>(DG72)*(-1)</f>
        <v>77175.831926441359</v>
      </c>
      <c r="DG66" s="176">
        <f>DE66*DF66*DD66</f>
        <v>694.58248733797211</v>
      </c>
      <c r="DH66" s="484">
        <f t="shared" si="44"/>
        <v>1.457068768332591E-2</v>
      </c>
    </row>
    <row r="67" spans="1:256" x14ac:dyDescent="0.2">
      <c r="A67" s="64"/>
      <c r="B67" s="73"/>
      <c r="C67" s="506"/>
      <c r="D67" s="507"/>
      <c r="E67" s="508"/>
      <c r="F67" s="94">
        <f>SUM(F65:F66)</f>
        <v>1231.895403</v>
      </c>
      <c r="G67" s="655">
        <f t="shared" si="16"/>
        <v>0.13020481556836688</v>
      </c>
      <c r="H67" s="64"/>
      <c r="I67" s="73"/>
      <c r="J67" s="506"/>
      <c r="K67" s="507"/>
      <c r="L67" s="508"/>
      <c r="M67" s="94">
        <f>SUM(M65:M66)</f>
        <v>1307.1463137293999</v>
      </c>
      <c r="N67" s="655">
        <f t="shared" si="17"/>
        <v>9.5062329646857527E-2</v>
      </c>
      <c r="P67" s="73"/>
      <c r="Q67" s="506"/>
      <c r="R67" s="507"/>
      <c r="S67" s="508"/>
      <c r="T67" s="94">
        <f>SUM(T65:T66)</f>
        <v>1361.3840326553645</v>
      </c>
      <c r="U67" s="655">
        <f t="shared" si="18"/>
        <v>6.7000539896111252E-2</v>
      </c>
      <c r="W67" s="73"/>
      <c r="X67" s="506"/>
      <c r="Y67" s="507"/>
      <c r="Z67" s="508"/>
      <c r="AA67" s="94">
        <f>SUM(AA65:AA66)</f>
        <v>1444.9310410516628</v>
      </c>
      <c r="AB67" s="484">
        <f t="shared" si="20"/>
        <v>5.9770757432946041E-2</v>
      </c>
      <c r="AD67" s="73"/>
      <c r="AE67" s="506"/>
      <c r="AF67" s="507"/>
      <c r="AG67" s="508"/>
      <c r="AH67" s="94">
        <f>SUM(AH65:AH66)</f>
        <v>1503.5619725235279</v>
      </c>
      <c r="AI67" s="655">
        <f t="shared" si="22"/>
        <v>4.3088389342867774E-2</v>
      </c>
      <c r="AK67" s="73"/>
      <c r="AL67" s="506"/>
      <c r="AM67" s="507"/>
      <c r="AN67" s="508"/>
      <c r="AO67" s="94">
        <f>SUM(AO65:AO66)</f>
        <v>1539.4434323786397</v>
      </c>
      <c r="AP67" s="484">
        <f t="shared" si="24"/>
        <v>4.00972845897168E-2</v>
      </c>
      <c r="AR67" s="73"/>
      <c r="AS67" s="506"/>
      <c r="AT67" s="507"/>
      <c r="AU67" s="508"/>
      <c r="AV67" s="94">
        <f>SUM(AV65:AV66)</f>
        <v>1547.1898253724473</v>
      </c>
      <c r="AW67" s="655">
        <f t="shared" si="26"/>
        <v>3.6958887422984282E-2</v>
      </c>
      <c r="AY67" s="73"/>
      <c r="AZ67" s="506"/>
      <c r="BA67" s="507"/>
      <c r="BB67" s="508"/>
      <c r="BC67" s="94">
        <f>SUM(BC65:BC66)</f>
        <v>1526.5479359031992</v>
      </c>
      <c r="BD67" s="655">
        <f t="shared" si="28"/>
        <v>3.6483788809838748E-2</v>
      </c>
      <c r="BF67" s="73"/>
      <c r="BG67" s="506"/>
      <c r="BH67" s="507"/>
      <c r="BI67" s="508"/>
      <c r="BJ67" s="94">
        <f>SUM(BJ65:BJ66)</f>
        <v>1505.7202694287284</v>
      </c>
      <c r="BK67" s="655">
        <f t="shared" si="30"/>
        <v>3.6003938962966747E-2</v>
      </c>
      <c r="BM67" s="73"/>
      <c r="BN67" s="506"/>
      <c r="BO67" s="507"/>
      <c r="BP67" s="508"/>
      <c r="BQ67" s="94">
        <f>SUM(BQ65:BQ66)</f>
        <v>1484.7051539559866</v>
      </c>
      <c r="BR67" s="655">
        <f t="shared" si="32"/>
        <v>3.5519285803110978E-2</v>
      </c>
      <c r="BT67" s="73"/>
      <c r="BU67" s="506"/>
      <c r="BV67" s="507"/>
      <c r="BW67" s="508"/>
      <c r="BX67" s="94">
        <f>SUM(BX65:BX66)</f>
        <v>1463.5009024439905</v>
      </c>
      <c r="BY67" s="655">
        <f t="shared" si="34"/>
        <v>3.5029776592622165E-2</v>
      </c>
      <c r="CA67" s="73"/>
      <c r="CB67" s="506"/>
      <c r="CC67" s="507"/>
      <c r="CD67" s="508"/>
      <c r="CE67" s="94">
        <f>SUM(CE65:CE66)</f>
        <v>1442.1058126683865</v>
      </c>
      <c r="CF67" s="655">
        <f t="shared" si="36"/>
        <v>3.4535357925468094E-2</v>
      </c>
      <c r="CH67" s="73"/>
      <c r="CI67" s="506"/>
      <c r="CJ67" s="507"/>
      <c r="CK67" s="508"/>
      <c r="CL67" s="94">
        <f>SUM(CL65:CL66)</f>
        <v>1420.5181670848019</v>
      </c>
      <c r="CM67" s="655">
        <f t="shared" si="38"/>
        <v>3.403597571705981E-2</v>
      </c>
      <c r="CO67" s="73"/>
      <c r="CP67" s="506"/>
      <c r="CQ67" s="507"/>
      <c r="CR67" s="508"/>
      <c r="CS67" s="94">
        <f>SUM(CS65:CS66)</f>
        <v>1398.7362326909652</v>
      </c>
      <c r="CT67" s="655">
        <f t="shared" si="40"/>
        <v>3.35315751938908E-2</v>
      </c>
      <c r="CV67" s="73"/>
      <c r="CW67" s="506"/>
      <c r="CX67" s="507"/>
      <c r="CY67" s="508"/>
      <c r="CZ67" s="94">
        <f>SUM(CZ65:CZ66)</f>
        <v>1376.7582608875839</v>
      </c>
      <c r="DA67" s="655">
        <f t="shared" si="42"/>
        <v>3.3022100882984982E-2</v>
      </c>
      <c r="DC67" s="73"/>
      <c r="DD67" s="506"/>
      <c r="DE67" s="507"/>
      <c r="DF67" s="508"/>
      <c r="DG67" s="94">
        <f>SUM(DG65:DG66)</f>
        <v>1354.582487337972</v>
      </c>
      <c r="DH67" s="655">
        <f t="shared" si="44"/>
        <v>2.8415917078399612E-2</v>
      </c>
    </row>
    <row r="68" spans="1:256" ht="13.5" customHeight="1" x14ac:dyDescent="0.2">
      <c r="A68" s="395" t="s">
        <v>35</v>
      </c>
      <c r="B68" s="341"/>
      <c r="C68" s="490"/>
      <c r="D68" s="490"/>
      <c r="E68" s="455"/>
      <c r="F68" s="491">
        <f>F67+F64+F49+F35</f>
        <v>6023.6954030000006</v>
      </c>
      <c r="G68" s="484">
        <f t="shared" si="16"/>
        <v>0.6366726810390041</v>
      </c>
      <c r="H68" s="395" t="s">
        <v>35</v>
      </c>
      <c r="I68" s="341"/>
      <c r="J68" s="490"/>
      <c r="K68" s="490"/>
      <c r="L68" s="455"/>
      <c r="M68" s="491">
        <f>M67+M64+M49+M35</f>
        <v>9562.8963137294013</v>
      </c>
      <c r="N68" s="484">
        <f t="shared" si="17"/>
        <v>0.69546246828391034</v>
      </c>
      <c r="O68" s="395" t="s">
        <v>35</v>
      </c>
      <c r="P68" s="341"/>
      <c r="Q68" s="490"/>
      <c r="R68" s="490"/>
      <c r="S68" s="455"/>
      <c r="T68" s="491">
        <f>T67+T64+T49+T35</f>
        <v>14269.484032655366</v>
      </c>
      <c r="U68" s="484">
        <f t="shared" si="18"/>
        <v>0.70227291586640528</v>
      </c>
      <c r="V68" s="395" t="s">
        <v>35</v>
      </c>
      <c r="W68" s="341"/>
      <c r="X68" s="490"/>
      <c r="Y68" s="490"/>
      <c r="Z68" s="455"/>
      <c r="AA68" s="491">
        <f>AA67+AA64+AA49+AA35</f>
        <v>17275.031041051661</v>
      </c>
      <c r="AB68" s="484">
        <f t="shared" si="20"/>
        <v>0.71459582545184874</v>
      </c>
      <c r="AC68" s="395" t="s">
        <v>35</v>
      </c>
      <c r="AD68" s="341"/>
      <c r="AE68" s="490"/>
      <c r="AF68" s="490"/>
      <c r="AG68" s="455"/>
      <c r="AH68" s="491">
        <f>AH67+AH64+AH49+AH35</f>
        <v>26407.061972523526</v>
      </c>
      <c r="AI68" s="484">
        <f t="shared" si="22"/>
        <v>0.75676146940828981</v>
      </c>
      <c r="AJ68" s="395" t="s">
        <v>35</v>
      </c>
      <c r="AK68" s="341"/>
      <c r="AL68" s="490"/>
      <c r="AM68" s="490"/>
      <c r="AN68" s="455"/>
      <c r="AO68" s="491">
        <f>AO67+AO64+AO49+AO35</f>
        <v>29364.943432378641</v>
      </c>
      <c r="AP68" s="484">
        <f t="shared" si="24"/>
        <v>0.76485726529730413</v>
      </c>
      <c r="AQ68" s="395" t="s">
        <v>35</v>
      </c>
      <c r="AR68" s="341"/>
      <c r="AS68" s="490"/>
      <c r="AT68" s="490"/>
      <c r="AU68" s="455"/>
      <c r="AV68" s="491">
        <f>AV67+AV64+AV49+AV35</f>
        <v>32294.689825372447</v>
      </c>
      <c r="AW68" s="484">
        <f t="shared" si="26"/>
        <v>0.77144755352098604</v>
      </c>
      <c r="AX68" s="395" t="s">
        <v>35</v>
      </c>
      <c r="AY68" s="341"/>
      <c r="AZ68" s="490"/>
      <c r="BA68" s="490"/>
      <c r="BB68" s="455"/>
      <c r="BC68" s="491">
        <f>BC67+BC64+BC49+BC35</f>
        <v>32274.0479359032</v>
      </c>
      <c r="BD68" s="484">
        <f t="shared" si="28"/>
        <v>0.7713348013768303</v>
      </c>
      <c r="BE68" s="395" t="s">
        <v>35</v>
      </c>
      <c r="BF68" s="341"/>
      <c r="BG68" s="490"/>
      <c r="BH68" s="490"/>
      <c r="BI68" s="455"/>
      <c r="BJ68" s="491">
        <f>BJ67+BJ64+BJ49+BJ35</f>
        <v>32253.22026942873</v>
      </c>
      <c r="BK68" s="484">
        <f t="shared" si="30"/>
        <v>0.77122092165247302</v>
      </c>
      <c r="BL68" s="395" t="s">
        <v>35</v>
      </c>
      <c r="BM68" s="341"/>
      <c r="BN68" s="490"/>
      <c r="BO68" s="490"/>
      <c r="BP68" s="455"/>
      <c r="BQ68" s="491">
        <f>BQ67+BQ64+BQ49+BQ35</f>
        <v>32232.205153955987</v>
      </c>
      <c r="BR68" s="484">
        <f t="shared" si="32"/>
        <v>0.77110590198827345</v>
      </c>
      <c r="BS68" s="395" t="s">
        <v>35</v>
      </c>
      <c r="BT68" s="341"/>
      <c r="BU68" s="490"/>
      <c r="BV68" s="490"/>
      <c r="BW68" s="455"/>
      <c r="BX68" s="491">
        <f>BX67+BX64+BX49+BX35</f>
        <v>32211.00090244399</v>
      </c>
      <c r="BY68" s="484">
        <f t="shared" si="34"/>
        <v>0.77098972986833991</v>
      </c>
      <c r="BZ68" s="395" t="s">
        <v>35</v>
      </c>
      <c r="CA68" s="341"/>
      <c r="CB68" s="490"/>
      <c r="CC68" s="490"/>
      <c r="CD68" s="455"/>
      <c r="CE68" s="491">
        <f>CE67+CE64+CE49+CE35</f>
        <v>32189.605812668386</v>
      </c>
      <c r="CF68" s="484">
        <f t="shared" si="36"/>
        <v>0.77087239261815699</v>
      </c>
      <c r="CG68" s="395" t="s">
        <v>35</v>
      </c>
      <c r="CH68" s="341"/>
      <c r="CI68" s="490"/>
      <c r="CJ68" s="490"/>
      <c r="CK68" s="455"/>
      <c r="CL68" s="491">
        <f>CL67+CL64+CL49+CL35</f>
        <v>32168.018167084803</v>
      </c>
      <c r="CM68" s="484">
        <f t="shared" si="38"/>
        <v>0.77075387740217172</v>
      </c>
      <c r="CN68" s="395" t="s">
        <v>35</v>
      </c>
      <c r="CO68" s="341"/>
      <c r="CP68" s="490"/>
      <c r="CQ68" s="490"/>
      <c r="CR68" s="455"/>
      <c r="CS68" s="491">
        <f>CS67+CS64+CS49+CS35</f>
        <v>32146.236232690964</v>
      </c>
      <c r="CT68" s="484">
        <f t="shared" si="40"/>
        <v>0.77063417122133471</v>
      </c>
      <c r="CU68" s="395" t="s">
        <v>35</v>
      </c>
      <c r="CV68" s="341"/>
      <c r="CW68" s="490"/>
      <c r="CX68" s="490"/>
      <c r="CY68" s="455"/>
      <c r="CZ68" s="491">
        <f>CZ67+CZ64+CZ49+CZ35</f>
        <v>32124.258260887585</v>
      </c>
      <c r="DA68" s="484">
        <f t="shared" si="42"/>
        <v>0.77051326091059624</v>
      </c>
      <c r="DB68" s="395" t="s">
        <v>35</v>
      </c>
      <c r="DC68" s="341"/>
      <c r="DD68" s="490"/>
      <c r="DE68" s="490"/>
      <c r="DF68" s="455"/>
      <c r="DG68" s="491">
        <f>DG67+DG64+DG49+DG35</f>
        <v>32102.082487337972</v>
      </c>
      <c r="DH68" s="484">
        <f t="shared" si="44"/>
        <v>0.67342529711632193</v>
      </c>
    </row>
    <row r="69" spans="1:256" ht="17.25" customHeight="1" x14ac:dyDescent="0.25">
      <c r="A69" s="340" t="s">
        <v>307</v>
      </c>
      <c r="B69" s="346"/>
      <c r="C69" s="509"/>
      <c r="D69" s="509"/>
      <c r="E69" s="510"/>
      <c r="F69" s="343">
        <f>F68+F34</f>
        <v>9461.2123032666677</v>
      </c>
      <c r="G69" s="484">
        <f t="shared" si="16"/>
        <v>1</v>
      </c>
      <c r="H69" s="340" t="s">
        <v>292</v>
      </c>
      <c r="I69" s="346"/>
      <c r="J69" s="509"/>
      <c r="K69" s="509"/>
      <c r="L69" s="510"/>
      <c r="M69" s="343">
        <f>M68+M34</f>
        <v>13750.413213996067</v>
      </c>
      <c r="N69" s="484">
        <f t="shared" si="17"/>
        <v>1</v>
      </c>
      <c r="O69" s="340" t="s">
        <v>293</v>
      </c>
      <c r="P69" s="346"/>
      <c r="Q69" s="509"/>
      <c r="R69" s="509"/>
      <c r="S69" s="510"/>
      <c r="T69" s="343">
        <f>T68+T34</f>
        <v>20319.000932922034</v>
      </c>
      <c r="U69" s="484">
        <f t="shared" si="18"/>
        <v>1</v>
      </c>
      <c r="V69" s="340" t="s">
        <v>294</v>
      </c>
      <c r="W69" s="346"/>
      <c r="X69" s="509"/>
      <c r="Y69" s="509"/>
      <c r="Z69" s="510"/>
      <c r="AA69" s="343">
        <f>AA68+AA34</f>
        <v>24174.547941318328</v>
      </c>
      <c r="AB69" s="484">
        <f t="shared" si="20"/>
        <v>1</v>
      </c>
      <c r="AC69" s="340" t="s">
        <v>295</v>
      </c>
      <c r="AD69" s="346"/>
      <c r="AE69" s="509"/>
      <c r="AF69" s="509"/>
      <c r="AG69" s="510"/>
      <c r="AH69" s="343">
        <f>AH68+AH34</f>
        <v>34894.828872790196</v>
      </c>
      <c r="AI69" s="484">
        <f t="shared" si="22"/>
        <v>1</v>
      </c>
      <c r="AJ69" s="340" t="s">
        <v>296</v>
      </c>
      <c r="AK69" s="346"/>
      <c r="AL69" s="509"/>
      <c r="AM69" s="509"/>
      <c r="AN69" s="510"/>
      <c r="AO69" s="343">
        <f>AO68+AO34</f>
        <v>38392.710332645307</v>
      </c>
      <c r="AP69" s="484">
        <f t="shared" si="24"/>
        <v>1</v>
      </c>
      <c r="AQ69" s="340" t="s">
        <v>297</v>
      </c>
      <c r="AR69" s="346"/>
      <c r="AS69" s="509"/>
      <c r="AT69" s="509"/>
      <c r="AU69" s="510"/>
      <c r="AV69" s="343">
        <f>AV68+AV34</f>
        <v>41862.456725639116</v>
      </c>
      <c r="AW69" s="484">
        <f t="shared" si="26"/>
        <v>1</v>
      </c>
      <c r="AX69" s="340" t="s">
        <v>298</v>
      </c>
      <c r="AY69" s="346"/>
      <c r="AZ69" s="509"/>
      <c r="BA69" s="509"/>
      <c r="BB69" s="510"/>
      <c r="BC69" s="343">
        <f>BC68+BC34</f>
        <v>41841.81483616987</v>
      </c>
      <c r="BD69" s="484">
        <f t="shared" si="28"/>
        <v>1</v>
      </c>
      <c r="BE69" s="340" t="s">
        <v>299</v>
      </c>
      <c r="BF69" s="346"/>
      <c r="BG69" s="509"/>
      <c r="BH69" s="509"/>
      <c r="BI69" s="510"/>
      <c r="BJ69" s="343">
        <f>BJ68+BJ34</f>
        <v>41820.987169695392</v>
      </c>
      <c r="BK69" s="484">
        <f t="shared" si="30"/>
        <v>1</v>
      </c>
      <c r="BL69" s="340" t="s">
        <v>300</v>
      </c>
      <c r="BM69" s="346"/>
      <c r="BN69" s="509"/>
      <c r="BO69" s="509"/>
      <c r="BP69" s="510"/>
      <c r="BQ69" s="343">
        <f>BQ68+BQ34</f>
        <v>41799.972054222657</v>
      </c>
      <c r="BR69" s="484">
        <f t="shared" si="32"/>
        <v>1</v>
      </c>
      <c r="BS69" s="340" t="s">
        <v>301</v>
      </c>
      <c r="BT69" s="346"/>
      <c r="BU69" s="509"/>
      <c r="BV69" s="509"/>
      <c r="BW69" s="510"/>
      <c r="BX69" s="343">
        <f>BX68+BX34</f>
        <v>41778.767802710659</v>
      </c>
      <c r="BY69" s="484">
        <f t="shared" si="34"/>
        <v>1</v>
      </c>
      <c r="BZ69" s="340" t="s">
        <v>302</v>
      </c>
      <c r="CA69" s="346"/>
      <c r="CB69" s="509"/>
      <c r="CC69" s="509"/>
      <c r="CD69" s="510"/>
      <c r="CE69" s="343">
        <f>CE68+CE34</f>
        <v>41757.372712935052</v>
      </c>
      <c r="CF69" s="484">
        <f t="shared" si="36"/>
        <v>1</v>
      </c>
      <c r="CG69" s="340" t="s">
        <v>303</v>
      </c>
      <c r="CH69" s="346"/>
      <c r="CI69" s="509"/>
      <c r="CJ69" s="509"/>
      <c r="CK69" s="510"/>
      <c r="CL69" s="343">
        <f>CL68+CL34</f>
        <v>41735.785067351469</v>
      </c>
      <c r="CM69" s="484">
        <f t="shared" si="38"/>
        <v>1</v>
      </c>
      <c r="CN69" s="340" t="s">
        <v>304</v>
      </c>
      <c r="CO69" s="346"/>
      <c r="CP69" s="509"/>
      <c r="CQ69" s="509"/>
      <c r="CR69" s="510"/>
      <c r="CS69" s="343">
        <f>CS68+CS34</f>
        <v>41714.00313295763</v>
      </c>
      <c r="CT69" s="484">
        <f t="shared" si="40"/>
        <v>1</v>
      </c>
      <c r="CU69" s="340" t="s">
        <v>305</v>
      </c>
      <c r="CV69" s="346"/>
      <c r="CW69" s="509"/>
      <c r="CX69" s="509"/>
      <c r="CY69" s="510"/>
      <c r="CZ69" s="343">
        <f>CZ68+CZ34</f>
        <v>41692.025161154248</v>
      </c>
      <c r="DA69" s="484">
        <f t="shared" si="42"/>
        <v>1</v>
      </c>
      <c r="DB69" s="340" t="s">
        <v>306</v>
      </c>
      <c r="DC69" s="346"/>
      <c r="DD69" s="509"/>
      <c r="DE69" s="509"/>
      <c r="DF69" s="510"/>
      <c r="DG69" s="343">
        <f>DG68+DG34+DC75</f>
        <v>47669.849387604641</v>
      </c>
      <c r="DH69" s="484">
        <f t="shared" si="44"/>
        <v>1</v>
      </c>
    </row>
    <row r="70" spans="1:256" x14ac:dyDescent="0.2">
      <c r="A70" s="76" t="s">
        <v>277</v>
      </c>
      <c r="C70" s="64"/>
      <c r="D70" s="64"/>
      <c r="E70" s="64"/>
      <c r="F70" s="486">
        <f>F12</f>
        <v>1100</v>
      </c>
      <c r="G70" s="511"/>
      <c r="H70" s="76" t="s">
        <v>277</v>
      </c>
      <c r="I70" s="64"/>
      <c r="M70" s="486">
        <f>M12</f>
        <v>7724</v>
      </c>
      <c r="N70" s="511"/>
      <c r="O70" s="76" t="s">
        <v>277</v>
      </c>
      <c r="R70" s="64"/>
      <c r="T70" s="486">
        <f>T12</f>
        <v>11036</v>
      </c>
      <c r="U70" s="511"/>
      <c r="V70" s="76" t="s">
        <v>277</v>
      </c>
      <c r="AA70" s="486">
        <f>AA12</f>
        <v>17660</v>
      </c>
      <c r="AB70" s="511"/>
      <c r="AC70" s="76" t="s">
        <v>277</v>
      </c>
      <c r="AH70" s="486">
        <f>AH12</f>
        <v>30908</v>
      </c>
      <c r="AI70" s="511"/>
      <c r="AJ70" s="76" t="s">
        <v>277</v>
      </c>
      <c r="AO70" s="486">
        <f>AO12</f>
        <v>37532</v>
      </c>
      <c r="AP70" s="511"/>
      <c r="AQ70" s="76" t="s">
        <v>277</v>
      </c>
      <c r="AV70" s="486">
        <f>AV12</f>
        <v>44156</v>
      </c>
      <c r="AW70" s="511"/>
      <c r="AX70" s="76" t="s">
        <v>277</v>
      </c>
      <c r="BC70" s="486">
        <f>BC12</f>
        <v>44156</v>
      </c>
      <c r="BD70" s="511"/>
      <c r="BE70" s="76" t="s">
        <v>277</v>
      </c>
      <c r="BJ70" s="486">
        <f>BJ12</f>
        <v>44156</v>
      </c>
      <c r="BK70" s="511"/>
      <c r="BL70" s="76" t="s">
        <v>277</v>
      </c>
      <c r="BQ70" s="486">
        <f>BQ12</f>
        <v>44156</v>
      </c>
      <c r="BR70" s="511"/>
      <c r="BS70" s="76" t="s">
        <v>277</v>
      </c>
      <c r="BX70" s="486">
        <f>BX12</f>
        <v>44156</v>
      </c>
      <c r="BY70" s="511"/>
      <c r="BZ70" s="76" t="s">
        <v>277</v>
      </c>
      <c r="CE70" s="486">
        <f>CE12</f>
        <v>44156</v>
      </c>
      <c r="CF70" s="511"/>
      <c r="CG70" s="76" t="s">
        <v>277</v>
      </c>
      <c r="CL70" s="486">
        <f>CL12</f>
        <v>44156</v>
      </c>
      <c r="CM70" s="511"/>
      <c r="CN70" s="76" t="s">
        <v>277</v>
      </c>
      <c r="CS70" s="486">
        <f>CS12</f>
        <v>44156</v>
      </c>
      <c r="CT70" s="511"/>
      <c r="CU70" s="76" t="s">
        <v>277</v>
      </c>
      <c r="CZ70" s="486">
        <f>CZ12</f>
        <v>44156</v>
      </c>
      <c r="DA70" s="511"/>
      <c r="DB70" s="76" t="s">
        <v>277</v>
      </c>
      <c r="DG70" s="486">
        <f>DG12</f>
        <v>44156</v>
      </c>
      <c r="DH70" s="511"/>
    </row>
    <row r="71" spans="1:256" x14ac:dyDescent="0.2">
      <c r="A71" s="76" t="s">
        <v>322</v>
      </c>
      <c r="C71" s="64"/>
      <c r="D71" s="64"/>
      <c r="E71" s="64"/>
      <c r="F71" s="486">
        <f>F70-F69</f>
        <v>-8361.2123032666677</v>
      </c>
      <c r="G71" s="511"/>
      <c r="H71" s="76" t="s">
        <v>322</v>
      </c>
      <c r="I71" s="64"/>
      <c r="M71" s="486">
        <f>M70-M69</f>
        <v>-6026.4132139960675</v>
      </c>
      <c r="N71" s="511"/>
      <c r="O71" s="76" t="s">
        <v>322</v>
      </c>
      <c r="R71" s="64"/>
      <c r="T71" s="486">
        <f>T70-T69</f>
        <v>-9283.0009329220338</v>
      </c>
      <c r="U71" s="511"/>
      <c r="V71" s="76" t="s">
        <v>322</v>
      </c>
      <c r="AA71" s="486">
        <f>AA70-AA69</f>
        <v>-6514.5479413183275</v>
      </c>
      <c r="AB71" s="511"/>
      <c r="AC71" s="76" t="s">
        <v>322</v>
      </c>
      <c r="AH71" s="486">
        <f>AH70-AH69</f>
        <v>-3986.8288727901963</v>
      </c>
      <c r="AI71" s="511"/>
      <c r="AJ71" s="76" t="s">
        <v>322</v>
      </c>
      <c r="AO71" s="486">
        <f>AO70-AO69</f>
        <v>-860.71033264530706</v>
      </c>
      <c r="AP71" s="511"/>
      <c r="AQ71" s="76" t="s">
        <v>322</v>
      </c>
      <c r="AV71" s="486">
        <f>AV70-AV69</f>
        <v>2293.5432743608835</v>
      </c>
      <c r="AW71" s="511"/>
      <c r="AX71" s="76" t="s">
        <v>322</v>
      </c>
      <c r="BC71" s="486">
        <f>BC70-BC69</f>
        <v>2314.1851638301305</v>
      </c>
      <c r="BD71" s="511"/>
      <c r="BE71" s="76" t="s">
        <v>322</v>
      </c>
      <c r="BJ71" s="486">
        <f>BJ70-BJ69</f>
        <v>2335.0128303046076</v>
      </c>
      <c r="BK71" s="511"/>
      <c r="BL71" s="76" t="s">
        <v>322</v>
      </c>
      <c r="BQ71" s="486">
        <f>BQ70-BQ69</f>
        <v>2356.0279457773431</v>
      </c>
      <c r="BR71" s="511"/>
      <c r="BS71" s="76" t="s">
        <v>322</v>
      </c>
      <c r="BX71" s="486">
        <f>BX70-BX69</f>
        <v>2377.2321972893405</v>
      </c>
      <c r="BY71" s="511"/>
      <c r="BZ71" s="76" t="s">
        <v>322</v>
      </c>
      <c r="CE71" s="486">
        <f>CE70-CE69</f>
        <v>2398.6272870649482</v>
      </c>
      <c r="CF71" s="511"/>
      <c r="CG71" s="76" t="s">
        <v>322</v>
      </c>
      <c r="CL71" s="486">
        <f>CL70-CL69</f>
        <v>2420.2149326485305</v>
      </c>
      <c r="CM71" s="511"/>
      <c r="CN71" s="76" t="s">
        <v>322</v>
      </c>
      <c r="CS71" s="486">
        <f>CS70-CS69</f>
        <v>2441.9968670423696</v>
      </c>
      <c r="CT71" s="511"/>
      <c r="CU71" s="76" t="s">
        <v>322</v>
      </c>
      <c r="CZ71" s="486">
        <f>CZ70-CZ69</f>
        <v>2463.9748388457519</v>
      </c>
      <c r="DA71" s="511"/>
      <c r="DB71" s="76" t="s">
        <v>322</v>
      </c>
      <c r="DG71" s="486">
        <f>DG70-DG69</f>
        <v>-3513.8493876046414</v>
      </c>
      <c r="DH71" s="511"/>
    </row>
    <row r="72" spans="1:256" x14ac:dyDescent="0.2">
      <c r="A72" s="49" t="s">
        <v>395</v>
      </c>
      <c r="F72" s="176">
        <f>'Standard Erstellung'!G171*(-1)</f>
        <v>-63543.933666666664</v>
      </c>
      <c r="G72" s="512"/>
      <c r="H72" s="49" t="s">
        <v>308</v>
      </c>
      <c r="I72" s="64"/>
      <c r="J72" s="120"/>
      <c r="K72" s="120"/>
      <c r="L72" s="482"/>
      <c r="M72" s="878">
        <f>F73</f>
        <v>-71905.145969933335</v>
      </c>
      <c r="N72" s="512"/>
      <c r="O72" s="49" t="s">
        <v>309</v>
      </c>
      <c r="Q72" s="120"/>
      <c r="R72" s="120"/>
      <c r="S72" s="482"/>
      <c r="T72" s="878">
        <f>M73</f>
        <v>-77931.559183929407</v>
      </c>
      <c r="U72" s="512"/>
      <c r="V72" s="49" t="s">
        <v>310</v>
      </c>
      <c r="X72" s="120"/>
      <c r="Y72" s="120"/>
      <c r="Z72" s="482"/>
      <c r="AA72" s="878">
        <f>T73</f>
        <v>-87214.56011685144</v>
      </c>
      <c r="AB72" s="512"/>
      <c r="AC72" s="49" t="s">
        <v>311</v>
      </c>
      <c r="AE72" s="120"/>
      <c r="AF72" s="120"/>
      <c r="AG72" s="482"/>
      <c r="AH72" s="878">
        <f>AA73</f>
        <v>-93729.108058169775</v>
      </c>
      <c r="AI72" s="512"/>
      <c r="AJ72" s="49" t="s">
        <v>312</v>
      </c>
      <c r="AL72" s="120"/>
      <c r="AM72" s="120"/>
      <c r="AN72" s="482"/>
      <c r="AO72" s="878">
        <f>AH73</f>
        <v>-97715.936930959972</v>
      </c>
      <c r="AP72" s="512"/>
      <c r="AQ72" s="49" t="s">
        <v>313</v>
      </c>
      <c r="AS72" s="120"/>
      <c r="AT72" s="120"/>
      <c r="AU72" s="482"/>
      <c r="AV72" s="878">
        <f>AO73</f>
        <v>-98576.647263605264</v>
      </c>
      <c r="AW72" s="512"/>
      <c r="AX72" s="49" t="s">
        <v>314</v>
      </c>
      <c r="AZ72" s="120"/>
      <c r="BA72" s="120"/>
      <c r="BB72" s="482"/>
      <c r="BC72" s="878">
        <f>AV73</f>
        <v>-96283.103989244381</v>
      </c>
      <c r="BD72" s="512"/>
      <c r="BE72" s="49" t="s">
        <v>315</v>
      </c>
      <c r="BG72" s="120"/>
      <c r="BH72" s="120"/>
      <c r="BI72" s="482"/>
      <c r="BJ72" s="878">
        <f>BC73</f>
        <v>-93968.918825414265</v>
      </c>
      <c r="BK72" s="512"/>
      <c r="BL72" s="49" t="s">
        <v>316</v>
      </c>
      <c r="BN72" s="120"/>
      <c r="BO72" s="120"/>
      <c r="BP72" s="482"/>
      <c r="BQ72" s="878">
        <f>BJ73</f>
        <v>-91633.905995109642</v>
      </c>
      <c r="BR72" s="512"/>
      <c r="BS72" s="49" t="s">
        <v>317</v>
      </c>
      <c r="BU72" s="120"/>
      <c r="BV72" s="120"/>
      <c r="BW72" s="482"/>
      <c r="BX72" s="878">
        <f>BQ73</f>
        <v>-89277.878049332299</v>
      </c>
      <c r="BY72" s="512"/>
      <c r="BZ72" s="49" t="s">
        <v>318</v>
      </c>
      <c r="CB72" s="120"/>
      <c r="CC72" s="120"/>
      <c r="CD72" s="482"/>
      <c r="CE72" s="878">
        <f>BX73</f>
        <v>-86900.645852042959</v>
      </c>
      <c r="CF72" s="512"/>
      <c r="CG72" s="49" t="s">
        <v>319</v>
      </c>
      <c r="CI72" s="120"/>
      <c r="CJ72" s="120"/>
      <c r="CK72" s="482"/>
      <c r="CL72" s="878">
        <f>CE73</f>
        <v>-84502.018564978003</v>
      </c>
      <c r="CM72" s="512"/>
      <c r="CN72" s="49" t="s">
        <v>320</v>
      </c>
      <c r="CP72" s="120"/>
      <c r="CQ72" s="120"/>
      <c r="CR72" s="482"/>
      <c r="CS72" s="878">
        <f>CL73</f>
        <v>-82081.80363232948</v>
      </c>
      <c r="CT72" s="512"/>
      <c r="CU72" s="49" t="s">
        <v>321</v>
      </c>
      <c r="CW72" s="120"/>
      <c r="CX72" s="120"/>
      <c r="CY72" s="482"/>
      <c r="CZ72" s="878">
        <f>CS73</f>
        <v>-79639.80676528711</v>
      </c>
      <c r="DA72" s="512"/>
      <c r="DB72" s="49" t="s">
        <v>70</v>
      </c>
      <c r="DD72" s="120"/>
      <c r="DE72" s="120"/>
      <c r="DF72" s="482"/>
      <c r="DG72" s="878">
        <f>CZ73</f>
        <v>-77175.831926441359</v>
      </c>
      <c r="DH72" s="512"/>
    </row>
    <row r="73" spans="1:256" s="51" customFormat="1" ht="21.6" customHeight="1" x14ac:dyDescent="0.25">
      <c r="A73" s="50" t="s">
        <v>637</v>
      </c>
      <c r="F73" s="126">
        <f>((F69)*(-1))+F72+F70</f>
        <v>-71905.145969933335</v>
      </c>
      <c r="G73" s="52"/>
      <c r="H73" s="50" t="s">
        <v>638</v>
      </c>
      <c r="M73" s="126">
        <f>((M69)*(-1))+M72+M70</f>
        <v>-77931.559183929407</v>
      </c>
      <c r="N73" s="52"/>
      <c r="O73" s="50" t="s">
        <v>639</v>
      </c>
      <c r="T73" s="126">
        <f>((T69)*(-1))+T72+T70</f>
        <v>-87214.56011685144</v>
      </c>
      <c r="U73" s="52"/>
      <c r="V73" s="50" t="s">
        <v>640</v>
      </c>
      <c r="AA73" s="1201">
        <f>((AA69)*(-1))+AA72+AA70</f>
        <v>-93729.108058169775</v>
      </c>
      <c r="AB73" s="52"/>
      <c r="AC73" s="50" t="s">
        <v>641</v>
      </c>
      <c r="AH73" s="126">
        <f>((AH69)*(-1))+AH72+AH70</f>
        <v>-97715.936930959972</v>
      </c>
      <c r="AI73" s="52"/>
      <c r="AJ73" s="50" t="s">
        <v>642</v>
      </c>
      <c r="AO73" s="126">
        <f>((AO69)*(-1))+AO72+AO70</f>
        <v>-98576.647263605264</v>
      </c>
      <c r="AP73" s="52"/>
      <c r="AQ73" s="50" t="s">
        <v>643</v>
      </c>
      <c r="AV73" s="126">
        <f>((AV69)*(-1))+AV72+AV70</f>
        <v>-96283.103989244381</v>
      </c>
      <c r="AW73" s="52"/>
      <c r="AX73" s="50" t="s">
        <v>644</v>
      </c>
      <c r="BC73" s="126">
        <f>((BC69)*(-1))+BC72+BC70</f>
        <v>-93968.918825414265</v>
      </c>
      <c r="BD73" s="52"/>
      <c r="BE73" s="50" t="s">
        <v>645</v>
      </c>
      <c r="BJ73" s="126">
        <f>((BJ69)*(-1))+BJ72+BJ70</f>
        <v>-91633.905995109642</v>
      </c>
      <c r="BK73" s="52"/>
      <c r="BL73" s="50" t="s">
        <v>646</v>
      </c>
      <c r="BQ73" s="126">
        <f>((BQ69)*(-1))+BQ72+BQ70</f>
        <v>-89277.878049332299</v>
      </c>
      <c r="BR73" s="52"/>
      <c r="BS73" s="50" t="s">
        <v>647</v>
      </c>
      <c r="BX73" s="126">
        <f>((BX69)*(-1))+BX72+BX70</f>
        <v>-86900.645852042959</v>
      </c>
      <c r="BY73" s="52"/>
      <c r="BZ73" s="50" t="s">
        <v>648</v>
      </c>
      <c r="CE73" s="126">
        <f>((CE69)*(-1))+CE72+CE70</f>
        <v>-84502.018564978003</v>
      </c>
      <c r="CF73" s="52"/>
      <c r="CG73" s="50" t="s">
        <v>649</v>
      </c>
      <c r="CL73" s="126">
        <f>((CL69)*(-1))+CL72+CL70</f>
        <v>-82081.80363232948</v>
      </c>
      <c r="CM73" s="52"/>
      <c r="CN73" s="50" t="s">
        <v>650</v>
      </c>
      <c r="CS73" s="126">
        <f>((CS69)*(-1))+CS72+CS70</f>
        <v>-79639.80676528711</v>
      </c>
      <c r="CT73" s="52"/>
      <c r="CU73" s="50" t="s">
        <v>651</v>
      </c>
      <c r="CZ73" s="126">
        <f>((CZ69)*(-1))+CZ72+CZ70</f>
        <v>-77175.831926441359</v>
      </c>
      <c r="DA73" s="52"/>
      <c r="DB73" s="50" t="s">
        <v>652</v>
      </c>
      <c r="DG73" s="126">
        <f>((DG69)*(-1))+DG72+DG70</f>
        <v>-80689.681314046</v>
      </c>
      <c r="DH73" s="52"/>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X73" s="127"/>
      <c r="FY73" s="127"/>
      <c r="FZ73" s="127"/>
      <c r="GA73" s="127"/>
      <c r="GB73" s="127"/>
      <c r="GC73" s="127"/>
      <c r="GD73" s="127"/>
      <c r="GE73" s="127"/>
      <c r="GF73" s="127"/>
      <c r="GG73" s="127"/>
      <c r="GH73" s="127"/>
      <c r="GI73" s="127"/>
      <c r="GJ73" s="127"/>
      <c r="GK73" s="127"/>
      <c r="GL73" s="127"/>
      <c r="GM73" s="127"/>
      <c r="GN73" s="127"/>
      <c r="GO73" s="127"/>
      <c r="GP73" s="127"/>
      <c r="GQ73" s="127"/>
      <c r="GR73" s="127"/>
      <c r="GS73" s="127"/>
      <c r="GT73" s="127"/>
      <c r="GU73" s="127"/>
      <c r="GV73" s="127"/>
      <c r="GW73" s="127"/>
      <c r="GX73" s="127"/>
      <c r="GY73" s="127"/>
      <c r="GZ73" s="127"/>
      <c r="HA73" s="127"/>
      <c r="HB73" s="127"/>
      <c r="HC73" s="127"/>
      <c r="HD73" s="127"/>
      <c r="HE73" s="127"/>
      <c r="HF73" s="127"/>
      <c r="HG73" s="127"/>
      <c r="HH73" s="127"/>
      <c r="HI73" s="127"/>
      <c r="HJ73" s="127"/>
      <c r="HK73" s="127"/>
      <c r="HL73" s="127"/>
      <c r="HM73" s="127"/>
      <c r="HN73" s="127"/>
      <c r="HO73" s="127"/>
      <c r="HP73" s="127"/>
      <c r="HQ73" s="127"/>
      <c r="HR73" s="127"/>
      <c r="HS73" s="127"/>
      <c r="HT73" s="127"/>
      <c r="HU73" s="127"/>
      <c r="HV73" s="127"/>
      <c r="HW73" s="127"/>
      <c r="HX73" s="127"/>
      <c r="HY73" s="127"/>
      <c r="HZ73" s="127"/>
      <c r="IA73" s="127"/>
      <c r="IB73" s="127"/>
      <c r="IC73" s="127"/>
      <c r="ID73" s="127"/>
      <c r="IE73" s="127"/>
      <c r="IF73" s="127"/>
      <c r="IG73" s="127"/>
      <c r="IH73" s="127"/>
      <c r="II73" s="127"/>
      <c r="IJ73" s="127"/>
      <c r="IK73" s="127"/>
      <c r="IL73" s="127"/>
      <c r="IM73" s="127"/>
      <c r="IN73" s="127"/>
      <c r="IO73" s="127"/>
      <c r="IP73" s="127"/>
      <c r="IQ73" s="127"/>
      <c r="IR73" s="22"/>
      <c r="IS73" s="22"/>
      <c r="IT73" s="22"/>
      <c r="IU73" s="22"/>
      <c r="IV73" s="22"/>
    </row>
    <row r="74" spans="1:256" s="518" customFormat="1" x14ac:dyDescent="0.2">
      <c r="A74" s="513" t="s">
        <v>71</v>
      </c>
      <c r="B74" s="513"/>
      <c r="C74" s="177"/>
      <c r="D74" s="177"/>
      <c r="E74" s="177"/>
      <c r="F74" s="177">
        <f>F73*(-1)</f>
        <v>71905.145969933335</v>
      </c>
      <c r="G74" s="177"/>
      <c r="H74" s="513" t="s">
        <v>71</v>
      </c>
      <c r="I74" s="513"/>
      <c r="J74" s="177"/>
      <c r="K74" s="177"/>
      <c r="L74" s="177"/>
      <c r="M74" s="177">
        <f>M73*(-1)</f>
        <v>77931.559183929407</v>
      </c>
      <c r="N74" s="177"/>
      <c r="O74" s="513" t="s">
        <v>71</v>
      </c>
      <c r="P74" s="513"/>
      <c r="Q74" s="177"/>
      <c r="R74" s="177"/>
      <c r="S74" s="177"/>
      <c r="T74" s="177">
        <f>T73*(-1)</f>
        <v>87214.56011685144</v>
      </c>
      <c r="U74" s="177"/>
      <c r="V74" s="514" t="s">
        <v>71</v>
      </c>
      <c r="W74" s="513"/>
      <c r="X74" s="177"/>
      <c r="Y74" s="177"/>
      <c r="Z74" s="177"/>
      <c r="AA74" s="515">
        <f>(AA73)*(-1)</f>
        <v>93729.108058169775</v>
      </c>
      <c r="AB74" s="177"/>
      <c r="AC74" s="514" t="s">
        <v>71</v>
      </c>
      <c r="AD74" s="513"/>
      <c r="AE74" s="177"/>
      <c r="AF74" s="177"/>
      <c r="AG74" s="177"/>
      <c r="AH74" s="177">
        <f>(AA74)-($AA$74/'Standard Vorgaben'!$B$29)</f>
        <v>87034.171768300512</v>
      </c>
      <c r="AI74" s="177"/>
      <c r="AJ74" s="514" t="s">
        <v>71</v>
      </c>
      <c r="AK74" s="513"/>
      <c r="AL74" s="177"/>
      <c r="AM74" s="177"/>
      <c r="AN74" s="177"/>
      <c r="AO74" s="177">
        <f>(AH74)-($AA$74/'Standard Vorgaben'!$B$29)</f>
        <v>80339.235478431248</v>
      </c>
      <c r="AP74" s="177"/>
      <c r="AQ74" s="514" t="s">
        <v>71</v>
      </c>
      <c r="AR74" s="513"/>
      <c r="AS74" s="177"/>
      <c r="AT74" s="177"/>
      <c r="AU74" s="177"/>
      <c r="AV74" s="177">
        <f>(AO74)-($AA$74/'Standard Vorgaben'!$B$29)</f>
        <v>73644.299188561985</v>
      </c>
      <c r="AW74" s="177"/>
      <c r="AX74" s="514" t="s">
        <v>71</v>
      </c>
      <c r="AY74" s="513"/>
      <c r="AZ74" s="177"/>
      <c r="BA74" s="177"/>
      <c r="BB74" s="177"/>
      <c r="BC74" s="177">
        <f>(AV74)-($AA$74/'Standard Vorgaben'!$B$29)</f>
        <v>66949.362898692722</v>
      </c>
      <c r="BD74" s="177"/>
      <c r="BE74" s="514" t="s">
        <v>71</v>
      </c>
      <c r="BF74" s="513"/>
      <c r="BG74" s="177"/>
      <c r="BH74" s="177"/>
      <c r="BI74" s="177"/>
      <c r="BJ74" s="177">
        <f>(BC74)-($AA$74/'Standard Vorgaben'!$B$29)</f>
        <v>60254.426608823451</v>
      </c>
      <c r="BK74" s="177"/>
      <c r="BL74" s="514" t="s">
        <v>71</v>
      </c>
      <c r="BM74" s="513"/>
      <c r="BN74" s="177"/>
      <c r="BO74" s="177"/>
      <c r="BP74" s="177"/>
      <c r="BQ74" s="177">
        <f>(BJ74)-($AA$74/'Standard Vorgaben'!$B$29)</f>
        <v>53559.49031895418</v>
      </c>
      <c r="BR74" s="177"/>
      <c r="BS74" s="514" t="s">
        <v>71</v>
      </c>
      <c r="BT74" s="513"/>
      <c r="BU74" s="177"/>
      <c r="BV74" s="177"/>
      <c r="BW74" s="177"/>
      <c r="BX74" s="177">
        <f>(BQ74)-($AA$74/'Standard Vorgaben'!$B$29)</f>
        <v>46864.554029084909</v>
      </c>
      <c r="BY74" s="177"/>
      <c r="BZ74" s="514" t="s">
        <v>71</v>
      </c>
      <c r="CA74" s="513"/>
      <c r="CB74" s="177"/>
      <c r="CC74" s="177"/>
      <c r="CD74" s="177"/>
      <c r="CE74" s="177">
        <f>(BX74)-($AA$74/'Standard Vorgaben'!$B$29)</f>
        <v>40169.617739215639</v>
      </c>
      <c r="CF74" s="177"/>
      <c r="CG74" s="514" t="s">
        <v>71</v>
      </c>
      <c r="CH74" s="513"/>
      <c r="CI74" s="177"/>
      <c r="CJ74" s="177"/>
      <c r="CK74" s="177"/>
      <c r="CL74" s="177">
        <f>(CE74)-($AA$74/'Standard Vorgaben'!$B$29)</f>
        <v>33474.681449346368</v>
      </c>
      <c r="CM74" s="177"/>
      <c r="CN74" s="514" t="s">
        <v>71</v>
      </c>
      <c r="CO74" s="513"/>
      <c r="CP74" s="177"/>
      <c r="CQ74" s="177"/>
      <c r="CR74" s="177"/>
      <c r="CS74" s="177">
        <f>(CL74)-($AA$74/'Standard Vorgaben'!$B$29)</f>
        <v>26779.745159477097</v>
      </c>
      <c r="CT74" s="177"/>
      <c r="CU74" s="514" t="s">
        <v>71</v>
      </c>
      <c r="CV74" s="513"/>
      <c r="CW74" s="177"/>
      <c r="CX74" s="177"/>
      <c r="CY74" s="177"/>
      <c r="CZ74" s="177">
        <f>(CS74)-($AA$74/'Standard Vorgaben'!$B$29)</f>
        <v>20084.808869607827</v>
      </c>
      <c r="DA74" s="177"/>
      <c r="DB74" s="514" t="s">
        <v>71</v>
      </c>
      <c r="DC74" s="513"/>
      <c r="DD74" s="177"/>
      <c r="DE74" s="177"/>
      <c r="DF74" s="177"/>
      <c r="DG74" s="177">
        <f>(CZ74)-($AA$74/'Standard Vorgaben'!$B$29)</f>
        <v>13389.872579738556</v>
      </c>
      <c r="DH74" s="177"/>
    </row>
    <row r="75" spans="1:256" x14ac:dyDescent="0.2">
      <c r="A75" s="64"/>
      <c r="C75" s="64"/>
      <c r="D75" s="64"/>
      <c r="E75" s="64"/>
      <c r="F75" s="64"/>
      <c r="G75" s="73"/>
      <c r="H75" s="64"/>
      <c r="I75" s="64"/>
      <c r="O75" s="76"/>
      <c r="P75" s="76"/>
      <c r="Q75" s="76"/>
      <c r="R75" s="76"/>
      <c r="S75" s="76"/>
      <c r="T75" s="519"/>
      <c r="CV75" s="183"/>
      <c r="DA75" s="520"/>
      <c r="DB75" s="64" t="s">
        <v>145</v>
      </c>
      <c r="DC75" s="183">
        <f>'Standard Vorgaben'!C38</f>
        <v>6000</v>
      </c>
    </row>
    <row r="76" spans="1:256" s="171" customFormat="1" ht="15.75" x14ac:dyDescent="0.25">
      <c r="B76" s="521"/>
      <c r="R76" s="500"/>
      <c r="V76" s="194"/>
      <c r="AA76" s="195"/>
    </row>
    <row r="77" spans="1:256" s="98" customFormat="1" x14ac:dyDescent="0.2">
      <c r="A77" s="171"/>
      <c r="B77" s="184"/>
      <c r="D77" s="324"/>
      <c r="E77" s="485"/>
      <c r="F77" s="182"/>
      <c r="G77" s="324"/>
      <c r="I77" s="171"/>
      <c r="J77" s="324"/>
      <c r="K77" s="324"/>
      <c r="L77" s="485"/>
      <c r="M77" s="182"/>
      <c r="N77" s="324"/>
      <c r="O77" s="171"/>
      <c r="P77" s="171"/>
      <c r="Q77" s="171"/>
      <c r="R77" s="500"/>
      <c r="S77" s="171"/>
      <c r="T77" s="522"/>
      <c r="U77" s="324"/>
      <c r="W77" s="171"/>
      <c r="X77" s="324"/>
      <c r="Y77" s="500"/>
      <c r="Z77" s="485"/>
      <c r="AA77" s="182"/>
      <c r="AB77" s="324"/>
      <c r="AD77" s="171"/>
      <c r="AE77" s="324"/>
      <c r="AF77" s="500"/>
      <c r="AG77" s="485"/>
      <c r="AH77" s="182"/>
      <c r="AI77" s="324"/>
      <c r="AK77" s="171"/>
      <c r="AL77" s="324"/>
      <c r="AM77" s="500"/>
      <c r="AN77" s="485"/>
      <c r="AO77" s="182"/>
      <c r="AP77" s="324"/>
      <c r="AR77" s="171"/>
      <c r="AS77" s="324"/>
      <c r="AT77" s="500"/>
      <c r="AU77" s="485"/>
      <c r="AV77" s="182"/>
      <c r="AW77" s="324"/>
      <c r="BM77" s="171"/>
      <c r="BN77" s="324"/>
      <c r="BO77" s="500"/>
      <c r="BP77" s="485"/>
      <c r="BQ77" s="182"/>
      <c r="BR77" s="324"/>
      <c r="BT77" s="171"/>
      <c r="BU77" s="324"/>
      <c r="BV77" s="500"/>
      <c r="BW77" s="485"/>
      <c r="BX77" s="182"/>
      <c r="BY77" s="324"/>
    </row>
    <row r="78" spans="1:256" s="98" customFormat="1" ht="20.25" customHeight="1" x14ac:dyDescent="0.2">
      <c r="C78" s="523"/>
      <c r="D78" s="324"/>
      <c r="E78" s="485"/>
      <c r="F78" s="182"/>
      <c r="G78" s="324"/>
      <c r="I78" s="171"/>
      <c r="J78" s="324"/>
      <c r="K78" s="324"/>
      <c r="L78" s="485"/>
      <c r="M78" s="182"/>
      <c r="N78" s="324"/>
      <c r="P78" s="171"/>
      <c r="Q78" s="324"/>
      <c r="R78" s="524"/>
      <c r="S78" s="485"/>
      <c r="T78" s="182"/>
      <c r="U78" s="324"/>
      <c r="W78" s="171"/>
      <c r="X78" s="324"/>
      <c r="Y78" s="524"/>
      <c r="Z78" s="485"/>
      <c r="AA78" s="182"/>
      <c r="AB78" s="324"/>
      <c r="AD78" s="171"/>
      <c r="AE78" s="324"/>
      <c r="AF78" s="524"/>
      <c r="AG78" s="485"/>
      <c r="AH78" s="182"/>
      <c r="AI78" s="324"/>
      <c r="AK78" s="171"/>
      <c r="AL78" s="324"/>
      <c r="AM78" s="524"/>
      <c r="AN78" s="485"/>
      <c r="AO78" s="182"/>
      <c r="AP78" s="324"/>
      <c r="AR78" s="171"/>
      <c r="AS78" s="324"/>
      <c r="AT78" s="524"/>
      <c r="AU78" s="485"/>
      <c r="AV78" s="182"/>
      <c r="AW78" s="324"/>
      <c r="BM78" s="171"/>
      <c r="BN78" s="324"/>
      <c r="BO78" s="524"/>
      <c r="BP78" s="485"/>
      <c r="BQ78" s="182"/>
      <c r="BR78" s="324"/>
      <c r="BT78" s="171"/>
      <c r="BU78" s="324"/>
      <c r="BV78" s="524"/>
      <c r="BW78" s="485"/>
      <c r="BX78" s="182"/>
      <c r="BY78" s="324"/>
    </row>
    <row r="79" spans="1:256" s="171" customFormat="1" x14ac:dyDescent="0.2">
      <c r="B79" s="485"/>
      <c r="C79" s="525"/>
      <c r="D79" s="324"/>
      <c r="F79" s="182"/>
      <c r="G79" s="324"/>
      <c r="H79" s="324"/>
      <c r="I79" s="324"/>
      <c r="O79" s="324"/>
      <c r="P79" s="324"/>
      <c r="R79" s="500"/>
    </row>
    <row r="80" spans="1:256" s="171" customFormat="1" x14ac:dyDescent="0.2">
      <c r="A80" s="526"/>
      <c r="B80" s="473"/>
      <c r="C80" s="324"/>
      <c r="D80" s="324"/>
      <c r="F80" s="182"/>
      <c r="G80" s="324"/>
      <c r="H80" s="324"/>
      <c r="I80" s="324"/>
      <c r="O80" s="324"/>
      <c r="P80" s="324"/>
      <c r="R80" s="500"/>
    </row>
    <row r="81" spans="1:77" s="171" customFormat="1" x14ac:dyDescent="0.2">
      <c r="A81" s="98"/>
      <c r="B81" s="473"/>
      <c r="C81" s="324"/>
      <c r="D81" s="324"/>
      <c r="E81" s="527"/>
      <c r="F81" s="182"/>
      <c r="G81" s="324"/>
      <c r="H81" s="324"/>
      <c r="I81" s="324"/>
      <c r="O81" s="324"/>
      <c r="P81" s="324"/>
      <c r="R81" s="500"/>
    </row>
    <row r="82" spans="1:77" s="171" customFormat="1" x14ac:dyDescent="0.2">
      <c r="A82" s="98"/>
      <c r="B82" s="473"/>
      <c r="C82" s="324"/>
      <c r="G82" s="324"/>
      <c r="H82" s="98"/>
      <c r="N82" s="324"/>
      <c r="O82" s="98"/>
      <c r="R82" s="500"/>
      <c r="U82" s="324"/>
      <c r="V82" s="98"/>
      <c r="Y82" s="500"/>
      <c r="AB82" s="324"/>
      <c r="AC82" s="98"/>
      <c r="AF82" s="500"/>
      <c r="AI82" s="324"/>
      <c r="AJ82" s="98"/>
      <c r="AM82" s="500"/>
      <c r="AP82" s="324"/>
      <c r="AQ82" s="98"/>
      <c r="AT82" s="500"/>
      <c r="AW82" s="324"/>
      <c r="BL82" s="98"/>
      <c r="BO82" s="500"/>
      <c r="BR82" s="324"/>
      <c r="BS82" s="98"/>
      <c r="BV82" s="500"/>
      <c r="BY82" s="324"/>
    </row>
    <row r="83" spans="1:77" s="171" customFormat="1" x14ac:dyDescent="0.2">
      <c r="A83" s="98"/>
      <c r="B83" s="473"/>
      <c r="C83" s="324"/>
      <c r="D83" s="324"/>
      <c r="E83" s="485"/>
      <c r="F83" s="182"/>
      <c r="G83" s="324"/>
      <c r="H83" s="324"/>
      <c r="I83" s="324"/>
      <c r="O83" s="324"/>
      <c r="P83" s="324"/>
      <c r="R83" s="500"/>
    </row>
    <row r="84" spans="1:77" s="171" customFormat="1" x14ac:dyDescent="0.2">
      <c r="A84" s="98"/>
      <c r="B84" s="473"/>
      <c r="C84" s="324"/>
      <c r="D84" s="324"/>
      <c r="E84" s="485"/>
      <c r="F84" s="182"/>
      <c r="G84" s="324"/>
      <c r="H84" s="324"/>
      <c r="I84" s="324"/>
      <c r="O84" s="324"/>
      <c r="P84" s="324"/>
      <c r="R84" s="500"/>
    </row>
    <row r="85" spans="1:77" s="171" customFormat="1" x14ac:dyDescent="0.2">
      <c r="A85" s="98"/>
      <c r="B85" s="473"/>
      <c r="C85" s="324"/>
      <c r="D85" s="324"/>
      <c r="E85" s="485"/>
      <c r="F85" s="182"/>
      <c r="G85" s="324"/>
      <c r="H85" s="324"/>
      <c r="I85" s="324"/>
      <c r="O85" s="324"/>
      <c r="P85" s="324"/>
      <c r="R85" s="500"/>
    </row>
    <row r="86" spans="1:77" s="171" customFormat="1" x14ac:dyDescent="0.2">
      <c r="A86" s="98"/>
      <c r="B86" s="473"/>
      <c r="C86" s="324"/>
    </row>
    <row r="87" spans="1:77" s="171" customFormat="1" x14ac:dyDescent="0.2">
      <c r="A87" s="98"/>
      <c r="B87" s="473"/>
      <c r="C87" s="324"/>
      <c r="D87" s="324"/>
      <c r="E87" s="485"/>
      <c r="F87" s="182"/>
      <c r="G87" s="324"/>
      <c r="H87" s="324"/>
      <c r="I87" s="324"/>
      <c r="O87" s="324"/>
      <c r="P87" s="324"/>
      <c r="R87" s="500"/>
    </row>
    <row r="88" spans="1:77" s="171" customFormat="1" x14ac:dyDescent="0.2">
      <c r="A88" s="98"/>
      <c r="B88" s="473"/>
      <c r="C88" s="324"/>
      <c r="D88" s="324"/>
      <c r="E88" s="485"/>
      <c r="F88" s="182"/>
      <c r="G88" s="324"/>
      <c r="H88" s="324"/>
      <c r="I88" s="324"/>
      <c r="O88" s="324"/>
      <c r="P88" s="324"/>
      <c r="R88" s="500"/>
    </row>
    <row r="89" spans="1:77" s="171" customFormat="1" x14ac:dyDescent="0.2">
      <c r="A89" s="98"/>
      <c r="B89" s="473"/>
      <c r="C89" s="324"/>
      <c r="D89" s="324"/>
      <c r="E89" s="485"/>
      <c r="F89" s="182"/>
      <c r="G89" s="324"/>
      <c r="H89" s="324"/>
      <c r="I89" s="324"/>
      <c r="O89" s="324"/>
      <c r="P89" s="324"/>
      <c r="R89" s="500"/>
    </row>
    <row r="90" spans="1:77" s="171" customFormat="1" x14ac:dyDescent="0.2">
      <c r="A90" s="98"/>
      <c r="B90" s="473"/>
      <c r="C90" s="324"/>
      <c r="D90" s="525"/>
      <c r="E90" s="524"/>
      <c r="F90" s="182"/>
      <c r="G90" s="324"/>
      <c r="H90" s="324"/>
      <c r="I90" s="324"/>
      <c r="O90" s="324"/>
      <c r="P90" s="324"/>
      <c r="R90" s="500"/>
    </row>
    <row r="91" spans="1:77" s="171" customFormat="1" x14ac:dyDescent="0.2">
      <c r="A91" s="98"/>
      <c r="B91" s="473"/>
      <c r="C91" s="324"/>
      <c r="D91" s="324"/>
      <c r="E91" s="485"/>
      <c r="F91" s="182"/>
      <c r="G91" s="324"/>
      <c r="H91" s="324"/>
      <c r="I91" s="324"/>
      <c r="O91" s="324"/>
      <c r="P91" s="324"/>
      <c r="R91" s="500"/>
    </row>
    <row r="92" spans="1:77" s="171" customFormat="1" x14ac:dyDescent="0.2">
      <c r="A92" s="98"/>
      <c r="B92" s="473"/>
      <c r="C92" s="324"/>
      <c r="D92" s="324"/>
      <c r="E92" s="485"/>
      <c r="F92" s="182"/>
      <c r="G92" s="324"/>
      <c r="H92" s="324"/>
      <c r="I92" s="324"/>
      <c r="O92" s="324"/>
      <c r="P92" s="324"/>
      <c r="R92" s="500"/>
    </row>
    <row r="93" spans="1:77" s="171" customFormat="1" x14ac:dyDescent="0.2">
      <c r="A93" s="98"/>
      <c r="B93" s="473"/>
      <c r="C93" s="324"/>
      <c r="D93" s="324"/>
      <c r="E93" s="485"/>
      <c r="F93" s="182"/>
      <c r="G93" s="324"/>
      <c r="H93" s="324"/>
      <c r="I93" s="324"/>
      <c r="O93" s="324"/>
      <c r="P93" s="324"/>
      <c r="R93" s="500"/>
    </row>
    <row r="94" spans="1:77" s="171" customFormat="1" x14ac:dyDescent="0.2">
      <c r="A94" s="98"/>
      <c r="B94" s="473"/>
      <c r="C94" s="324"/>
      <c r="D94" s="324"/>
      <c r="E94" s="485"/>
      <c r="F94" s="182"/>
      <c r="G94" s="324"/>
      <c r="H94" s="324"/>
      <c r="I94" s="324"/>
      <c r="O94" s="324"/>
      <c r="P94" s="324"/>
      <c r="R94" s="500"/>
    </row>
    <row r="95" spans="1:77" s="171" customFormat="1" x14ac:dyDescent="0.2">
      <c r="A95" s="98"/>
      <c r="B95" s="473"/>
      <c r="C95" s="324"/>
      <c r="D95" s="324"/>
      <c r="E95" s="485"/>
      <c r="F95" s="182"/>
      <c r="G95" s="324"/>
      <c r="H95" s="324"/>
      <c r="I95" s="324"/>
      <c r="O95" s="324"/>
      <c r="P95" s="324"/>
      <c r="R95" s="500"/>
    </row>
    <row r="96" spans="1:77" s="171" customFormat="1" x14ac:dyDescent="0.2">
      <c r="A96" s="98"/>
      <c r="B96" s="473"/>
      <c r="C96" s="324"/>
      <c r="D96" s="324"/>
      <c r="E96" s="524"/>
      <c r="F96" s="182"/>
      <c r="G96" s="324"/>
      <c r="H96" s="324"/>
      <c r="I96" s="324"/>
      <c r="O96" s="324"/>
      <c r="P96" s="324"/>
      <c r="R96" s="500"/>
    </row>
    <row r="97" spans="1:18" s="171" customFormat="1" x14ac:dyDescent="0.2">
      <c r="A97" s="98"/>
      <c r="B97" s="473"/>
      <c r="C97" s="324"/>
      <c r="D97" s="324"/>
      <c r="E97" s="485"/>
      <c r="F97" s="182"/>
      <c r="G97" s="324"/>
      <c r="H97" s="324"/>
      <c r="I97" s="324"/>
      <c r="O97" s="324"/>
      <c r="P97" s="324"/>
      <c r="R97" s="500"/>
    </row>
    <row r="98" spans="1:18" s="171" customFormat="1" x14ac:dyDescent="0.2">
      <c r="A98" s="98"/>
      <c r="B98" s="473"/>
      <c r="C98" s="324"/>
      <c r="D98" s="324"/>
      <c r="E98" s="485"/>
      <c r="F98" s="182"/>
      <c r="G98" s="324"/>
      <c r="H98" s="324"/>
      <c r="I98" s="324"/>
      <c r="O98" s="324"/>
      <c r="P98" s="324"/>
      <c r="R98" s="500"/>
    </row>
    <row r="99" spans="1:18" s="171" customFormat="1" x14ac:dyDescent="0.2">
      <c r="A99" s="98"/>
      <c r="B99" s="473"/>
      <c r="C99" s="324"/>
      <c r="D99" s="324"/>
      <c r="E99" s="485"/>
      <c r="F99" s="182"/>
      <c r="G99" s="324"/>
      <c r="H99" s="324"/>
      <c r="I99" s="324"/>
      <c r="O99" s="324"/>
      <c r="P99" s="324"/>
      <c r="R99" s="500"/>
    </row>
    <row r="100" spans="1:18" s="171" customFormat="1" x14ac:dyDescent="0.2">
      <c r="A100" s="98"/>
      <c r="B100" s="324"/>
      <c r="C100" s="324"/>
      <c r="D100" s="324"/>
      <c r="E100" s="485"/>
      <c r="F100" s="182"/>
      <c r="G100" s="324"/>
      <c r="H100" s="324"/>
      <c r="I100" s="324"/>
      <c r="O100" s="324"/>
      <c r="P100" s="324"/>
      <c r="R100" s="500"/>
    </row>
    <row r="101" spans="1:18" s="171" customFormat="1" x14ac:dyDescent="0.2">
      <c r="A101" s="98"/>
      <c r="C101" s="324"/>
      <c r="D101" s="324"/>
      <c r="E101" s="485"/>
      <c r="F101" s="182"/>
      <c r="G101" s="324"/>
      <c r="H101" s="324"/>
      <c r="I101" s="324"/>
      <c r="O101" s="324"/>
      <c r="P101" s="324"/>
      <c r="R101" s="500"/>
    </row>
    <row r="102" spans="1:18" s="171" customFormat="1" x14ac:dyDescent="0.2">
      <c r="A102" s="98"/>
      <c r="C102" s="324"/>
      <c r="D102" s="324"/>
      <c r="E102" s="485"/>
      <c r="F102" s="182"/>
      <c r="G102" s="324"/>
      <c r="H102" s="324"/>
      <c r="I102" s="324"/>
      <c r="O102" s="324"/>
      <c r="P102" s="324"/>
      <c r="R102" s="500"/>
    </row>
    <row r="103" spans="1:18" s="171" customFormat="1" x14ac:dyDescent="0.2">
      <c r="A103" s="98"/>
      <c r="C103" s="324"/>
      <c r="D103" s="324"/>
      <c r="E103" s="485"/>
      <c r="F103" s="182"/>
      <c r="G103" s="324"/>
      <c r="H103" s="324"/>
      <c r="I103" s="324"/>
      <c r="O103" s="324"/>
      <c r="P103" s="324"/>
      <c r="R103" s="500"/>
    </row>
    <row r="104" spans="1:18" s="171" customFormat="1" x14ac:dyDescent="0.2">
      <c r="A104" s="98"/>
      <c r="C104" s="324"/>
      <c r="D104" s="324"/>
      <c r="E104" s="485"/>
      <c r="F104" s="182"/>
      <c r="G104" s="324"/>
      <c r="H104" s="324"/>
      <c r="I104" s="324"/>
      <c r="O104" s="324"/>
      <c r="P104" s="324"/>
      <c r="R104" s="500"/>
    </row>
    <row r="105" spans="1:18" s="171" customFormat="1" x14ac:dyDescent="0.2">
      <c r="A105" s="98"/>
      <c r="C105" s="324"/>
      <c r="D105" s="324"/>
      <c r="E105" s="485"/>
      <c r="F105" s="182"/>
      <c r="G105" s="324"/>
      <c r="H105" s="324"/>
      <c r="I105" s="324"/>
      <c r="O105" s="324"/>
      <c r="P105" s="324"/>
      <c r="R105" s="500"/>
    </row>
    <row r="106" spans="1:18" s="171" customFormat="1" x14ac:dyDescent="0.2">
      <c r="A106" s="98"/>
      <c r="C106" s="324"/>
      <c r="D106" s="324"/>
      <c r="E106" s="485"/>
      <c r="F106" s="182"/>
      <c r="G106" s="324"/>
      <c r="H106" s="324"/>
      <c r="I106" s="324"/>
      <c r="O106" s="324"/>
      <c r="P106" s="324"/>
      <c r="R106" s="500"/>
    </row>
    <row r="107" spans="1:18" x14ac:dyDescent="0.2">
      <c r="O107" s="120"/>
      <c r="P107" s="120"/>
    </row>
    <row r="108" spans="1:18" x14ac:dyDescent="0.2">
      <c r="O108" s="120"/>
      <c r="P108" s="120"/>
    </row>
    <row r="109" spans="1:18" x14ac:dyDescent="0.2">
      <c r="O109" s="120"/>
      <c r="P109" s="120"/>
    </row>
    <row r="110" spans="1:18" x14ac:dyDescent="0.2">
      <c r="O110" s="120"/>
      <c r="P110" s="120"/>
    </row>
    <row r="111" spans="1:18" x14ac:dyDescent="0.2">
      <c r="O111" s="120"/>
      <c r="P111" s="120"/>
    </row>
    <row r="112" spans="1:18" x14ac:dyDescent="0.2">
      <c r="O112" s="120"/>
      <c r="P112" s="120"/>
    </row>
    <row r="113" spans="15:16" x14ac:dyDescent="0.2">
      <c r="O113" s="120"/>
      <c r="P113" s="120"/>
    </row>
    <row r="114" spans="15:16" x14ac:dyDescent="0.2">
      <c r="O114" s="120"/>
      <c r="P114" s="120"/>
    </row>
    <row r="115" spans="15:16" x14ac:dyDescent="0.2">
      <c r="O115" s="120"/>
      <c r="P115" s="120"/>
    </row>
    <row r="116" spans="15:16" x14ac:dyDescent="0.2">
      <c r="O116" s="120"/>
      <c r="P116" s="120"/>
    </row>
    <row r="117" spans="15:16" x14ac:dyDescent="0.2">
      <c r="O117" s="120"/>
      <c r="P117" s="120"/>
    </row>
    <row r="118" spans="15:16" x14ac:dyDescent="0.2">
      <c r="O118" s="120"/>
      <c r="P118" s="120"/>
    </row>
    <row r="119" spans="15:16" x14ac:dyDescent="0.2">
      <c r="O119" s="120"/>
      <c r="P119" s="120"/>
    </row>
    <row r="120" spans="15:16" x14ac:dyDescent="0.2">
      <c r="O120" s="120"/>
      <c r="P120" s="120"/>
    </row>
    <row r="121" spans="15:16" x14ac:dyDescent="0.2">
      <c r="O121" s="120"/>
      <c r="P121" s="120"/>
    </row>
    <row r="122" spans="15:16" x14ac:dyDescent="0.2">
      <c r="O122" s="120"/>
      <c r="P122" s="120"/>
    </row>
    <row r="123" spans="15:16" x14ac:dyDescent="0.2">
      <c r="O123" s="120"/>
      <c r="P123" s="120"/>
    </row>
    <row r="124" spans="15:16" x14ac:dyDescent="0.2">
      <c r="O124" s="120"/>
      <c r="P124" s="120"/>
    </row>
    <row r="125" spans="15:16" x14ac:dyDescent="0.2">
      <c r="O125" s="120"/>
      <c r="P125" s="120"/>
    </row>
    <row r="126" spans="15:16" x14ac:dyDescent="0.2">
      <c r="O126" s="120"/>
      <c r="P126" s="120"/>
    </row>
    <row r="127" spans="15:16" x14ac:dyDescent="0.2">
      <c r="O127" s="120"/>
      <c r="P127" s="120"/>
    </row>
    <row r="128" spans="15:16" x14ac:dyDescent="0.2">
      <c r="O128" s="120"/>
      <c r="P128" s="120"/>
    </row>
    <row r="129" spans="15:16" x14ac:dyDescent="0.2">
      <c r="O129" s="120"/>
      <c r="P129" s="120"/>
    </row>
    <row r="130" spans="15:16" x14ac:dyDescent="0.2">
      <c r="O130" s="120"/>
      <c r="P130" s="120"/>
    </row>
    <row r="131" spans="15:16" x14ac:dyDescent="0.2">
      <c r="O131" s="120"/>
      <c r="P131" s="120"/>
    </row>
    <row r="132" spans="15:16" x14ac:dyDescent="0.2">
      <c r="O132" s="120"/>
      <c r="P132" s="120"/>
    </row>
    <row r="133" spans="15:16" x14ac:dyDescent="0.2">
      <c r="O133" s="120"/>
      <c r="P133" s="120"/>
    </row>
    <row r="134" spans="15:16" x14ac:dyDescent="0.2">
      <c r="O134" s="120"/>
      <c r="P134" s="120"/>
    </row>
    <row r="135" spans="15:16" x14ac:dyDescent="0.2">
      <c r="O135" s="120"/>
      <c r="P135" s="120"/>
    </row>
    <row r="136" spans="15:16" x14ac:dyDescent="0.2">
      <c r="O136" s="120"/>
      <c r="P136" s="120"/>
    </row>
    <row r="137" spans="15:16" x14ac:dyDescent="0.2">
      <c r="O137" s="120"/>
      <c r="P137" s="120"/>
    </row>
    <row r="138" spans="15:16" x14ac:dyDescent="0.2">
      <c r="O138" s="120"/>
      <c r="P138" s="120"/>
    </row>
    <row r="139" spans="15:16" x14ac:dyDescent="0.2">
      <c r="O139" s="120"/>
      <c r="P139" s="120"/>
    </row>
    <row r="140" spans="15:16" x14ac:dyDescent="0.2">
      <c r="O140" s="120"/>
      <c r="P140" s="120"/>
    </row>
    <row r="141" spans="15:16" x14ac:dyDescent="0.2">
      <c r="O141" s="120"/>
      <c r="P141" s="120"/>
    </row>
    <row r="142" spans="15:16" x14ac:dyDescent="0.2">
      <c r="O142" s="120"/>
      <c r="P142" s="120"/>
    </row>
    <row r="143" spans="15:16" x14ac:dyDescent="0.2">
      <c r="O143" s="120"/>
      <c r="P143" s="120"/>
    </row>
    <row r="144" spans="15:16" x14ac:dyDescent="0.2">
      <c r="O144" s="120"/>
      <c r="P144" s="120"/>
    </row>
    <row r="145" spans="15:16" x14ac:dyDescent="0.2">
      <c r="O145" s="120"/>
      <c r="P145" s="120"/>
    </row>
    <row r="146" spans="15:16" x14ac:dyDescent="0.2">
      <c r="O146" s="120"/>
      <c r="P146" s="120"/>
    </row>
    <row r="147" spans="15:16" x14ac:dyDescent="0.2">
      <c r="O147" s="120"/>
      <c r="P147" s="120"/>
    </row>
    <row r="148" spans="15:16" x14ac:dyDescent="0.2">
      <c r="O148" s="120"/>
      <c r="P148" s="120"/>
    </row>
    <row r="149" spans="15:16" x14ac:dyDescent="0.2">
      <c r="O149" s="120"/>
      <c r="P149" s="120"/>
    </row>
    <row r="150" spans="15:16" x14ac:dyDescent="0.2">
      <c r="O150" s="120"/>
      <c r="P150" s="120"/>
    </row>
    <row r="151" spans="15:16" x14ac:dyDescent="0.2">
      <c r="O151" s="120"/>
      <c r="P151" s="120"/>
    </row>
    <row r="152" spans="15:16" x14ac:dyDescent="0.2">
      <c r="O152" s="120"/>
      <c r="P152" s="120"/>
    </row>
    <row r="153" spans="15:16" x14ac:dyDescent="0.2">
      <c r="O153" s="120"/>
      <c r="P153" s="120"/>
    </row>
    <row r="154" spans="15:16" x14ac:dyDescent="0.2">
      <c r="O154" s="120"/>
      <c r="P154" s="120"/>
    </row>
    <row r="155" spans="15:16" x14ac:dyDescent="0.2">
      <c r="O155" s="120"/>
      <c r="P155" s="120"/>
    </row>
    <row r="156" spans="15:16" x14ac:dyDescent="0.2">
      <c r="O156" s="120"/>
      <c r="P156" s="120"/>
    </row>
    <row r="157" spans="15:16" x14ac:dyDescent="0.2">
      <c r="O157" s="120"/>
      <c r="P157" s="120"/>
    </row>
    <row r="158" spans="15:16" x14ac:dyDescent="0.2">
      <c r="O158" s="120"/>
      <c r="P158" s="120"/>
    </row>
    <row r="159" spans="15:16" x14ac:dyDescent="0.2">
      <c r="O159" s="120"/>
      <c r="P159" s="120"/>
    </row>
    <row r="160" spans="15:16" x14ac:dyDescent="0.2">
      <c r="O160" s="120"/>
      <c r="P160" s="120"/>
    </row>
    <row r="161" spans="15:16" x14ac:dyDescent="0.2">
      <c r="O161" s="120"/>
      <c r="P161" s="120"/>
    </row>
    <row r="162" spans="15:16" x14ac:dyDescent="0.2">
      <c r="O162" s="120"/>
      <c r="P162" s="120"/>
    </row>
  </sheetData>
  <mergeCells count="16">
    <mergeCell ref="A46:A47"/>
    <mergeCell ref="H46:H47"/>
    <mergeCell ref="O46:O47"/>
    <mergeCell ref="V46:V47"/>
    <mergeCell ref="AC46:AC47"/>
    <mergeCell ref="AJ46:AJ47"/>
    <mergeCell ref="CG46:CG47"/>
    <mergeCell ref="CN46:CN47"/>
    <mergeCell ref="CU46:CU47"/>
    <mergeCell ref="DB46:DB47"/>
    <mergeCell ref="AQ46:AQ47"/>
    <mergeCell ref="AX46:AX47"/>
    <mergeCell ref="BE46:BE47"/>
    <mergeCell ref="BL46:BL47"/>
    <mergeCell ref="BS46:BS47"/>
    <mergeCell ref="BZ46:BZ47"/>
  </mergeCells>
  <phoneticPr fontId="23" type="noConversion"/>
  <printOptions gridLines="1" gridLinesSet="0"/>
  <pageMargins left="0.78740157480314965" right="0.59055118110236227" top="0.78740157480314965" bottom="0.78740157480314965" header="0.51181102362204722" footer="0.51181102362204722"/>
  <pageSetup paperSize="9" scale="65" orientation="portrait" r:id="rId1"/>
  <headerFooter alignWithMargins="0">
    <oddFooter>&amp;L&amp;6&amp;F&amp;C&amp;6&amp;A  &amp;D&amp;R&amp;6Kontakt: patrik.mouron.faw.admin.ch</oddFooter>
  </headerFooter>
  <colBreaks count="4" manualBreakCount="4">
    <brk id="7" max="1048575" man="1"/>
    <brk id="14" max="1048575" man="1"/>
    <brk id="21" max="1048575" man="1"/>
    <brk id="42" max="1048575" man="1"/>
  </colBreaks>
  <cellWatches>
    <cellWatch r="DG73"/>
  </cellWatche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tandardErtragsphase">
    <tabColor indexed="18"/>
  </sheetPr>
  <dimension ref="A1:K175"/>
  <sheetViews>
    <sheetView topLeftCell="A4" zoomScale="75" zoomScaleNormal="75" workbookViewId="0">
      <selection activeCell="F22" sqref="F22"/>
    </sheetView>
  </sheetViews>
  <sheetFormatPr baseColWidth="10" defaultRowHeight="12.75" x14ac:dyDescent="0.2"/>
  <cols>
    <col min="1" max="1" width="37.7109375" customWidth="1"/>
    <col min="2" max="2" width="28.28515625" customWidth="1"/>
    <col min="3" max="3" width="24.7109375" customWidth="1"/>
    <col min="4" max="4" width="14.7109375" customWidth="1"/>
    <col min="5" max="5" width="12.7109375" customWidth="1"/>
    <col min="6" max="6" width="19.7109375" bestFit="1" customWidth="1"/>
    <col min="7" max="7" width="10.7109375" customWidth="1"/>
    <col min="8" max="8" width="6.5703125" customWidth="1"/>
    <col min="9" max="9" width="15.5703125" customWidth="1"/>
    <col min="10" max="10" width="13.7109375" style="10" customWidth="1"/>
    <col min="11" max="11" width="11.42578125" style="16" customWidth="1"/>
  </cols>
  <sheetData>
    <row r="1" spans="1:9" ht="32.1" customHeight="1" x14ac:dyDescent="0.4">
      <c r="A1" s="199" t="str">
        <f>'Standard Vorgaben'!$A$1</f>
        <v>Arbokost 2023</v>
      </c>
      <c r="B1" s="614" t="str">
        <f>'Standard Erstellung'!B1</f>
        <v>Tafelzwetschge</v>
      </c>
      <c r="C1" s="615"/>
      <c r="D1" s="615"/>
      <c r="E1" s="611"/>
      <c r="F1" s="616"/>
      <c r="G1" s="611"/>
      <c r="H1" s="54"/>
    </row>
    <row r="2" spans="1:9" ht="21.6" customHeight="1" x14ac:dyDescent="0.3">
      <c r="A2" s="189" t="str">
        <f>'Standard Vorgaben'!$A$2</f>
        <v>Standard 1ha</v>
      </c>
      <c r="B2" s="617">
        <f>'Standard Erstellung'!B2</f>
        <v>1125</v>
      </c>
      <c r="C2" s="618"/>
      <c r="D2" s="618"/>
      <c r="E2" s="618"/>
      <c r="F2" s="618"/>
      <c r="G2" s="619"/>
      <c r="H2" s="1"/>
      <c r="I2" s="1"/>
    </row>
    <row r="3" spans="1:9" ht="21.6" customHeight="1" x14ac:dyDescent="0.3">
      <c r="A3" s="808">
        <f>'Standard Vorgaben'!B2</f>
        <v>0</v>
      </c>
      <c r="B3" s="617"/>
      <c r="C3" s="618"/>
      <c r="D3" s="618"/>
      <c r="E3" s="618"/>
      <c r="F3" s="618"/>
      <c r="G3" s="619"/>
      <c r="H3" s="1"/>
      <c r="I3" s="1"/>
    </row>
    <row r="4" spans="1:9" ht="21.6" customHeight="1" x14ac:dyDescent="0.25">
      <c r="A4" s="808"/>
      <c r="B4" s="617"/>
      <c r="C4" s="618"/>
      <c r="D4" s="618"/>
      <c r="E4" s="618"/>
      <c r="F4" s="618"/>
      <c r="G4" s="371" t="s">
        <v>114</v>
      </c>
      <c r="H4" s="1"/>
      <c r="I4" s="1"/>
    </row>
    <row r="5" spans="1:9" ht="26.25" x14ac:dyDescent="0.4">
      <c r="A5" s="1192" t="s">
        <v>87</v>
      </c>
      <c r="B5" s="1155" t="s">
        <v>367</v>
      </c>
      <c r="C5" s="1165"/>
      <c r="D5" s="1193"/>
      <c r="E5" s="1194"/>
      <c r="F5" s="1194"/>
      <c r="G5" s="573"/>
    </row>
    <row r="6" spans="1:9" ht="18.75" x14ac:dyDescent="0.3">
      <c r="B6" s="188"/>
      <c r="C6" s="26" t="s">
        <v>76</v>
      </c>
      <c r="D6" s="26" t="s">
        <v>57</v>
      </c>
      <c r="E6" s="27" t="s">
        <v>177</v>
      </c>
      <c r="F6" s="28" t="s">
        <v>59</v>
      </c>
      <c r="G6" s="771"/>
      <c r="I6" s="2"/>
    </row>
    <row r="7" spans="1:9" x14ac:dyDescent="0.2">
      <c r="B7" s="98"/>
      <c r="C7" s="88"/>
      <c r="D7" s="47"/>
      <c r="E7" s="45"/>
      <c r="F7" s="46"/>
      <c r="G7" s="781"/>
      <c r="I7" s="1"/>
    </row>
    <row r="8" spans="1:9" x14ac:dyDescent="0.2">
      <c r="B8" s="98" t="str">
        <f>'Standard Vorgaben'!B45</f>
        <v>Tafelzwetschgen 33 mm</v>
      </c>
      <c r="C8" s="88">
        <f>D8/$B$2</f>
        <v>20.000000000000007</v>
      </c>
      <c r="D8" s="47">
        <f>D10*G8</f>
        <v>22500.000000000007</v>
      </c>
      <c r="E8" s="1227">
        <f>'Standard Vorgaben'!B64</f>
        <v>1.84</v>
      </c>
      <c r="F8" s="46">
        <f>D8*E8</f>
        <v>41400.000000000015</v>
      </c>
      <c r="G8" s="896">
        <f>'Standard Vorgaben'!B85</f>
        <v>0.90000000000000024</v>
      </c>
      <c r="I8" s="1"/>
    </row>
    <row r="9" spans="1:9" x14ac:dyDescent="0.2">
      <c r="B9" s="80" t="str">
        <f>'Standard Vorgaben'!C45</f>
        <v>Sortierabgang</v>
      </c>
      <c r="C9" s="89">
        <f>D9/$B$2</f>
        <v>2.2222222222222223</v>
      </c>
      <c r="D9" s="90">
        <f>D10*G9</f>
        <v>2500</v>
      </c>
      <c r="E9" s="1196">
        <f>'Standard Vorgaben'!C64</f>
        <v>0</v>
      </c>
      <c r="F9" s="91">
        <f>D9*E9</f>
        <v>0</v>
      </c>
      <c r="G9" s="897">
        <f>'Standard Vorgaben'!C85</f>
        <v>9.9999999999999992E-2</v>
      </c>
    </row>
    <row r="10" spans="1:9" ht="19.5" customHeight="1" x14ac:dyDescent="0.2">
      <c r="B10" s="98"/>
      <c r="C10" s="66">
        <f>SUM(C8:C9)</f>
        <v>22.222222222222229</v>
      </c>
      <c r="D10" s="478">
        <f>'Standard Vorgaben'!D64</f>
        <v>25000</v>
      </c>
      <c r="E10" s="67">
        <f>(E8*G8)+(E9*G9)</f>
        <v>1.6560000000000006</v>
      </c>
      <c r="F10" s="92">
        <f>D10*E10</f>
        <v>41400.000000000015</v>
      </c>
      <c r="G10" s="781">
        <f>SUM(G7:G9)</f>
        <v>1.0000000000000002</v>
      </c>
    </row>
    <row r="11" spans="1:9" ht="15" customHeight="1" x14ac:dyDescent="0.2">
      <c r="A11" s="40"/>
      <c r="B11" s="98" t="str">
        <f>'Standard Vorgaben'!A39</f>
        <v>Direktzahlungen ÖLN</v>
      </c>
      <c r="C11" s="65"/>
      <c r="D11" s="66"/>
      <c r="E11" s="67"/>
      <c r="F11" s="94">
        <f>'Standard Vorgaben'!C39</f>
        <v>1100</v>
      </c>
      <c r="G11" s="781"/>
      <c r="H11" s="1"/>
    </row>
    <row r="12" spans="1:9" ht="15.75" customHeight="1" x14ac:dyDescent="0.25">
      <c r="A12" s="375" t="s">
        <v>339</v>
      </c>
      <c r="B12" s="376"/>
      <c r="C12" s="376"/>
      <c r="D12" s="376"/>
      <c r="E12" s="376"/>
      <c r="F12" s="377">
        <f>SUM(F10:F11)</f>
        <v>42500.000000000015</v>
      </c>
      <c r="G12" s="376"/>
    </row>
    <row r="13" spans="1:9" x14ac:dyDescent="0.2">
      <c r="A13" s="4"/>
      <c r="B13" s="4"/>
      <c r="C13" s="26" t="s">
        <v>11</v>
      </c>
      <c r="D13" s="26" t="s">
        <v>153</v>
      </c>
      <c r="E13" s="27" t="s">
        <v>58</v>
      </c>
      <c r="F13" s="32" t="s">
        <v>13</v>
      </c>
      <c r="G13" s="771" t="s">
        <v>60</v>
      </c>
    </row>
    <row r="14" spans="1:9" x14ac:dyDescent="0.2">
      <c r="A14" s="3" t="s">
        <v>29</v>
      </c>
      <c r="B14" s="17" t="str">
        <f>'Standard Vorgaben'!B99</f>
        <v>Ammonsalpeter</v>
      </c>
      <c r="C14" s="891">
        <f>'Standard Vorgaben'!B111</f>
        <v>3</v>
      </c>
      <c r="D14" s="10">
        <f>'Standard Vorgaben'!B110</f>
        <v>220</v>
      </c>
      <c r="E14" s="23">
        <f>'Standard Vorgaben'!$B$100</f>
        <v>0.9</v>
      </c>
      <c r="F14" s="1311">
        <f>D14*E14</f>
        <v>198</v>
      </c>
      <c r="G14" s="783">
        <f>F14/$F$66</f>
        <v>4.1462838186053421E-3</v>
      </c>
    </row>
    <row r="15" spans="1:9" x14ac:dyDescent="0.2">
      <c r="A15" s="3"/>
      <c r="B15" s="17" t="str">
        <f>'Standard Vorgaben'!C99</f>
        <v>Grunddünger (Terbona)</v>
      </c>
      <c r="C15" s="891">
        <f>'Standard Vorgaben'!C111</f>
        <v>1</v>
      </c>
      <c r="D15" s="10">
        <f>'Standard Vorgaben'!C110</f>
        <v>300</v>
      </c>
      <c r="E15" s="23">
        <f>'Standard Vorgaben'!$C$100</f>
        <v>1.08</v>
      </c>
      <c r="F15" s="1311">
        <f>D15*E15</f>
        <v>324</v>
      </c>
      <c r="G15" s="783">
        <f>F15/$F$66</f>
        <v>6.7848280668087423E-3</v>
      </c>
    </row>
    <row r="16" spans="1:9" x14ac:dyDescent="0.2">
      <c r="A16" s="3"/>
      <c r="B16" s="17" t="str">
        <f>'Standard Vorgaben'!D99</f>
        <v xml:space="preserve">Triplesuperphosphat </v>
      </c>
      <c r="C16" s="891">
        <f>'Standard Vorgaben'!D111</f>
        <v>0</v>
      </c>
      <c r="D16" s="10">
        <f>'Standard Vorgaben'!D110</f>
        <v>35</v>
      </c>
      <c r="E16" s="23">
        <f>'Standard Vorgaben'!D100</f>
        <v>0.79</v>
      </c>
      <c r="F16" s="1311">
        <f>D16*E16</f>
        <v>27.650000000000002</v>
      </c>
      <c r="G16" s="783">
        <f>F16/$F$66</f>
        <v>5.7901387668907937E-4</v>
      </c>
    </row>
    <row r="17" spans="1:11" ht="13.5" thickBot="1" x14ac:dyDescent="0.25">
      <c r="A17" s="3"/>
      <c r="B17" s="17" t="str">
        <f>'Standard Vorgaben'!E99</f>
        <v>Patentkali</v>
      </c>
      <c r="C17" s="822">
        <f>'Standard Vorgaben'!E111</f>
        <v>0</v>
      </c>
      <c r="D17" s="10">
        <f>'Standard Vorgaben'!E110</f>
        <v>180</v>
      </c>
      <c r="E17" s="23">
        <f>'Standard Vorgaben'!E100</f>
        <v>0.67</v>
      </c>
      <c r="F17" s="802">
        <f>D17*E17</f>
        <v>120.60000000000001</v>
      </c>
      <c r="G17" s="783">
        <f>F17/$F$66</f>
        <v>2.5254637804232542E-3</v>
      </c>
    </row>
    <row r="18" spans="1:11" ht="15" x14ac:dyDescent="0.25">
      <c r="A18" s="357"/>
      <c r="B18" s="17"/>
      <c r="C18" s="10">
        <f>SUM(C14:C17)</f>
        <v>4</v>
      </c>
      <c r="D18" s="10"/>
      <c r="E18" s="23"/>
      <c r="F18" s="817">
        <f>SUM(F14:F17)</f>
        <v>670.25</v>
      </c>
      <c r="G18" s="783">
        <f>F18/$F$66</f>
        <v>1.4035589542526417E-2</v>
      </c>
    </row>
    <row r="19" spans="1:11" x14ac:dyDescent="0.2">
      <c r="A19" s="49" t="str">
        <f>'Standard Vorgaben'!$A$116</f>
        <v>Fungiziden</v>
      </c>
      <c r="B19" s="64"/>
      <c r="C19" s="323"/>
      <c r="D19" s="529"/>
      <c r="E19" s="169"/>
      <c r="F19" s="483">
        <f>'Standard Vorgaben'!$E$116</f>
        <v>1200</v>
      </c>
      <c r="G19" s="783">
        <f t="shared" ref="G19:G32" si="0">F19/$F$66</f>
        <v>2.5128992840032376E-2</v>
      </c>
      <c r="H19" s="49"/>
    </row>
    <row r="20" spans="1:11" x14ac:dyDescent="0.2">
      <c r="A20" s="49" t="str">
        <f>'Standard Vorgaben'!$A$117</f>
        <v>Insektiziden</v>
      </c>
      <c r="B20" s="64"/>
      <c r="C20" s="323"/>
      <c r="D20" s="529"/>
      <c r="E20" s="169"/>
      <c r="F20" s="483">
        <f>'Standard Vorgaben'!$E$117</f>
        <v>1200</v>
      </c>
      <c r="G20" s="783">
        <f t="shared" si="0"/>
        <v>2.5128992840032376E-2</v>
      </c>
      <c r="H20" s="49"/>
    </row>
    <row r="21" spans="1:11" ht="13.5" thickBot="1" x14ac:dyDescent="0.25">
      <c r="A21" s="49" t="str">
        <f>'Standard Vorgaben'!$A$118</f>
        <v>Herbiziden</v>
      </c>
      <c r="B21" s="64"/>
      <c r="C21" s="323"/>
      <c r="D21" s="529"/>
      <c r="E21" s="169"/>
      <c r="F21" s="656">
        <f>'Standard Vorgaben'!$E$118</f>
        <v>160</v>
      </c>
      <c r="G21" s="783">
        <f t="shared" si="0"/>
        <v>3.3505323786709837E-3</v>
      </c>
    </row>
    <row r="22" spans="1:11" x14ac:dyDescent="0.2">
      <c r="A22" s="124"/>
      <c r="B22" s="64"/>
      <c r="C22" s="323"/>
      <c r="D22" s="888"/>
      <c r="E22" s="169"/>
      <c r="F22" s="483">
        <f>SUM(F19:F21)</f>
        <v>2560</v>
      </c>
      <c r="G22" s="783">
        <f t="shared" si="0"/>
        <v>5.3608518058735739E-2</v>
      </c>
    </row>
    <row r="23" spans="1:11" ht="15" x14ac:dyDescent="0.25">
      <c r="A23" s="357"/>
      <c r="B23" s="326"/>
      <c r="C23" s="170"/>
      <c r="D23" s="323"/>
      <c r="E23" s="169"/>
      <c r="F23" s="818"/>
      <c r="G23" s="783">
        <f t="shared" si="0"/>
        <v>0</v>
      </c>
    </row>
    <row r="24" spans="1:11" ht="15" x14ac:dyDescent="0.25">
      <c r="A24" s="73" t="str">
        <f>'Standard Hagel'!A76</f>
        <v>Hagelversicherung</v>
      </c>
      <c r="B24" s="326">
        <f>'Varianten eingeben'!B32</f>
        <v>0</v>
      </c>
      <c r="C24" s="170">
        <f>'Standard Hagel'!D79</f>
        <v>0.112</v>
      </c>
      <c r="D24" s="1186">
        <f>'Standard Hagel'!C95</f>
        <v>41400</v>
      </c>
      <c r="E24" s="169">
        <f>'Standard Hagel'!E79</f>
        <v>0.8</v>
      </c>
      <c r="F24" s="818">
        <f>B24*C24*D24*E24</f>
        <v>0</v>
      </c>
      <c r="G24" s="783">
        <f t="shared" si="0"/>
        <v>0</v>
      </c>
    </row>
    <row r="25" spans="1:11" ht="15" x14ac:dyDescent="0.25">
      <c r="A25" s="171" t="s">
        <v>450</v>
      </c>
      <c r="B25" s="326"/>
      <c r="C25" s="170"/>
      <c r="D25" s="323"/>
      <c r="E25" s="169"/>
      <c r="F25" s="818">
        <f>'Standard Vorgaben'!C188</f>
        <v>2107.5169002666662</v>
      </c>
      <c r="G25" s="783">
        <f t="shared" si="0"/>
        <v>4.4133147580873569E-2</v>
      </c>
    </row>
    <row r="26" spans="1:11" x14ac:dyDescent="0.2">
      <c r="A26" s="3" t="s">
        <v>671</v>
      </c>
      <c r="B26" s="73" t="str">
        <f>'Standard Vorgaben'!F38</f>
        <v>Zwetschgen</v>
      </c>
      <c r="C26" s="4" t="s">
        <v>670</v>
      </c>
      <c r="D26" s="323"/>
      <c r="E26" s="169">
        <f>'Standard Vorgaben'!G38</f>
        <v>470</v>
      </c>
      <c r="F26" s="93">
        <f>E26</f>
        <v>470</v>
      </c>
      <c r="G26" s="783">
        <f t="shared" si="0"/>
        <v>9.842188862346014E-3</v>
      </c>
    </row>
    <row r="27" spans="1:11" x14ac:dyDescent="0.2">
      <c r="A27" s="80"/>
      <c r="B27" s="73"/>
      <c r="C27" s="73"/>
      <c r="D27" s="323"/>
      <c r="E27" s="169">
        <f>'Standard Vorgaben'!G39</f>
        <v>0</v>
      </c>
      <c r="F27" s="93">
        <f>E27*D9/100</f>
        <v>0</v>
      </c>
      <c r="G27" s="783">
        <f t="shared" si="0"/>
        <v>0</v>
      </c>
    </row>
    <row r="28" spans="1:11" ht="13.5" thickBot="1" x14ac:dyDescent="0.25">
      <c r="A28" s="124" t="str">
        <f>'Standard Vorgaben'!E40</f>
        <v>Aktion und Gebindekosten</v>
      </c>
      <c r="B28" s="124"/>
      <c r="C28" s="379" t="str">
        <f>'Standard Vorgaben'!F40</f>
        <v>Tafelzwetschgen 33 mm</v>
      </c>
      <c r="D28" s="73"/>
      <c r="E28" s="380">
        <f>'Standard Vorgaben'!G40</f>
        <v>0.15</v>
      </c>
      <c r="F28" s="658">
        <f>D8*E28</f>
        <v>3375.0000000000009</v>
      </c>
      <c r="G28" s="783">
        <f t="shared" si="0"/>
        <v>7.0675292362591083E-2</v>
      </c>
    </row>
    <row r="29" spans="1:11" ht="15" x14ac:dyDescent="0.25">
      <c r="A29" s="370"/>
      <c r="B29" s="73"/>
      <c r="C29" s="73"/>
      <c r="D29" s="73"/>
      <c r="E29" s="169"/>
      <c r="F29" s="818">
        <f>SUM(F26:F28)</f>
        <v>3845.0000000000009</v>
      </c>
      <c r="G29" s="783">
        <f t="shared" si="0"/>
        <v>8.0517481224937099E-2</v>
      </c>
    </row>
    <row r="30" spans="1:11" ht="20.65" customHeight="1" x14ac:dyDescent="0.2">
      <c r="A30" s="381" t="s">
        <v>231</v>
      </c>
      <c r="B30" s="382" t="s">
        <v>326</v>
      </c>
      <c r="C30" s="218">
        <f>'Standard 1.-16. Standjahr'!AA74</f>
        <v>93729.108058169775</v>
      </c>
      <c r="D30" s="383">
        <f>'Standard Vorgaben'!B29</f>
        <v>14</v>
      </c>
      <c r="E30" s="209"/>
      <c r="F30" s="819">
        <f>C30/D30</f>
        <v>6694.9362898692698</v>
      </c>
      <c r="G30" s="783">
        <f t="shared" si="0"/>
        <v>0.14019750507716486</v>
      </c>
    </row>
    <row r="31" spans="1:11" s="60" customFormat="1" ht="15" x14ac:dyDescent="0.25">
      <c r="A31" s="80" t="s">
        <v>202</v>
      </c>
      <c r="B31" s="384">
        <f>'Standard Vorgaben'!E159+'Standard Vorgaben'!E160</f>
        <v>250</v>
      </c>
      <c r="C31" s="385" t="s">
        <v>146</v>
      </c>
      <c r="D31" s="124"/>
      <c r="E31" s="386">
        <f>(PMT('Standard Vorgaben'!C40,'Standard Vorgaben'!B29,,'Standard Vorgaben'!C38))*(-1)</f>
        <v>388.33991172735006</v>
      </c>
      <c r="F31" s="818">
        <f>B31+E31</f>
        <v>638.33991172735</v>
      </c>
      <c r="G31" s="783">
        <f t="shared" si="0"/>
        <v>1.3367365892752898E-2</v>
      </c>
      <c r="J31" s="137"/>
      <c r="K31" s="142"/>
    </row>
    <row r="32" spans="1:11" ht="15.75" x14ac:dyDescent="0.25">
      <c r="A32" s="353" t="s">
        <v>263</v>
      </c>
      <c r="B32" s="354"/>
      <c r="C32" s="355"/>
      <c r="D32" s="355"/>
      <c r="E32" s="356"/>
      <c r="F32" s="782">
        <f>F31+F30+F29+F22+F18+F24+F25</f>
        <v>16516.043101863288</v>
      </c>
      <c r="G32" s="783">
        <f t="shared" si="0"/>
        <v>0.34585960737699062</v>
      </c>
    </row>
    <row r="33" spans="1:11" ht="24" customHeight="1" x14ac:dyDescent="0.2">
      <c r="A33" s="14" t="s">
        <v>219</v>
      </c>
      <c r="C33" s="151" t="s">
        <v>65</v>
      </c>
      <c r="D33" s="358">
        <f>'Standard Vorgaben'!C157</f>
        <v>25</v>
      </c>
      <c r="E33" s="48">
        <f>'Standard Vorgaben'!D157</f>
        <v>17.82</v>
      </c>
      <c r="F33" s="61">
        <f>D33*E33</f>
        <v>445.5</v>
      </c>
      <c r="G33" s="783">
        <f>F33/$F$66</f>
        <v>9.3291385918620202E-3</v>
      </c>
      <c r="J33" s="147" t="s">
        <v>127</v>
      </c>
    </row>
    <row r="34" spans="1:11" ht="18" customHeight="1" x14ac:dyDescent="0.2">
      <c r="C34" s="37" t="s">
        <v>11</v>
      </c>
      <c r="D34" s="96" t="s">
        <v>115</v>
      </c>
      <c r="E34" s="9" t="s">
        <v>116</v>
      </c>
      <c r="F34" s="97" t="s">
        <v>22</v>
      </c>
      <c r="G34" s="783"/>
      <c r="J34" s="37" t="s">
        <v>116</v>
      </c>
      <c r="K34" s="143" t="s">
        <v>22</v>
      </c>
    </row>
    <row r="35" spans="1:11" x14ac:dyDescent="0.2">
      <c r="A35" s="14" t="s">
        <v>108</v>
      </c>
      <c r="B35" s="4" t="str">
        <f>'Standard Vorgaben'!B131</f>
        <v>Anbaugebläsespritze 500 l</v>
      </c>
      <c r="C35" s="326">
        <f>'Standard Vorgaben'!$E$120</f>
        <v>13</v>
      </c>
      <c r="D35" s="35">
        <f>'Standard Vorgaben'!C131</f>
        <v>1</v>
      </c>
      <c r="E35" s="48">
        <f>'Standard Vorgaben'!D131</f>
        <v>37</v>
      </c>
      <c r="F35" s="33">
        <f>C35*D35*E35</f>
        <v>481</v>
      </c>
      <c r="G35" s="783">
        <f t="shared" ref="G35:G47" si="1">F35/$F$66</f>
        <v>1.0072537963379645E-2</v>
      </c>
      <c r="J35" s="135">
        <f>'Standard Vorgaben'!G131</f>
        <v>11.67</v>
      </c>
      <c r="K35" s="16">
        <f>C35*D35*J35</f>
        <v>151.71</v>
      </c>
    </row>
    <row r="36" spans="1:11" x14ac:dyDescent="0.2">
      <c r="A36" s="14"/>
      <c r="B36" s="4" t="str">
        <f>'Standard Vorgaben'!B132</f>
        <v>Anbaufeldspritze, 12 m Balken, 600 l Fass Zweireihig</v>
      </c>
      <c r="C36" s="326">
        <f>'Standard Vorgaben'!$E$121</f>
        <v>4</v>
      </c>
      <c r="D36" s="35">
        <f>'Standard Vorgaben'!C132</f>
        <v>1</v>
      </c>
      <c r="E36" s="48">
        <f>'Standard Vorgaben'!D132</f>
        <v>69</v>
      </c>
      <c r="F36" s="33">
        <f>C36*D36*E36</f>
        <v>276</v>
      </c>
      <c r="G36" s="783">
        <f t="shared" si="1"/>
        <v>5.7796683532074468E-3</v>
      </c>
      <c r="J36" s="135">
        <f>'Standard Vorgaben'!G132</f>
        <v>13.22</v>
      </c>
      <c r="K36" s="16">
        <f>C36*D36*J36</f>
        <v>52.88</v>
      </c>
    </row>
    <row r="37" spans="1:11" x14ac:dyDescent="0.2">
      <c r="A37" s="14"/>
      <c r="B37" s="4" t="str">
        <f>'Standard Vorgaben'!B133</f>
        <v>Schleudestreuer 500-1'000 l</v>
      </c>
      <c r="C37" s="323">
        <f>C18</f>
        <v>4</v>
      </c>
      <c r="D37" s="35">
        <f>'Standard Vorgaben'!C133</f>
        <v>1</v>
      </c>
      <c r="E37" s="48">
        <f>'Standard Vorgaben'!D133</f>
        <v>18</v>
      </c>
      <c r="F37" s="33">
        <f>C37*D37*E37</f>
        <v>72</v>
      </c>
      <c r="G37" s="783">
        <f t="shared" si="1"/>
        <v>1.5077395704019426E-3</v>
      </c>
      <c r="J37" s="135">
        <f>'Standard Vorgaben'!G133</f>
        <v>7.03</v>
      </c>
      <c r="K37" s="16">
        <f>C37*D37*J37</f>
        <v>28.12</v>
      </c>
    </row>
    <row r="38" spans="1:11" x14ac:dyDescent="0.2">
      <c r="A38" s="14"/>
      <c r="B38" s="4" t="str">
        <f>'Standard Vorgaben'!B134</f>
        <v>Pneuwagen 2achsig (Ernte)</v>
      </c>
      <c r="C38" s="359">
        <f>'Standard Vorgaben'!C134</f>
        <v>0.1</v>
      </c>
      <c r="D38" s="35">
        <f>C38*C39</f>
        <v>62.5</v>
      </c>
      <c r="E38" s="48">
        <f>'Standard Vorgaben'!D134</f>
        <v>25</v>
      </c>
      <c r="F38" s="33">
        <f>D38*E38</f>
        <v>1562.5</v>
      </c>
      <c r="G38" s="783">
        <f t="shared" si="1"/>
        <v>3.2720042760458826E-2</v>
      </c>
      <c r="J38" s="135">
        <f>'Standard Vorgaben'!G134</f>
        <v>5</v>
      </c>
      <c r="K38" s="16">
        <f>D38*J38</f>
        <v>312.5</v>
      </c>
    </row>
    <row r="39" spans="1:11" x14ac:dyDescent="0.2">
      <c r="A39" s="14"/>
      <c r="B39" s="285" t="s">
        <v>290</v>
      </c>
      <c r="C39" s="360">
        <f>D59</f>
        <v>625</v>
      </c>
      <c r="D39" s="1"/>
      <c r="E39" s="172"/>
      <c r="F39" s="33"/>
      <c r="G39" s="783">
        <f t="shared" si="1"/>
        <v>0</v>
      </c>
    </row>
    <row r="40" spans="1:11" x14ac:dyDescent="0.2">
      <c r="A40" s="14"/>
      <c r="B40" s="4" t="str">
        <f>'Standard Vorgaben'!B135</f>
        <v>Mulchgerät  ohne Schwenkarm</v>
      </c>
      <c r="C40" s="34">
        <f>'Standard Vorgaben'!E135</f>
        <v>0</v>
      </c>
      <c r="D40" s="39">
        <f>'Standard Vorgaben'!C135</f>
        <v>0.5</v>
      </c>
      <c r="E40" s="48">
        <f>'Standard Vorgaben'!D135</f>
        <v>42</v>
      </c>
      <c r="F40" s="33">
        <f>C40*D40*E40</f>
        <v>0</v>
      </c>
      <c r="G40" s="783">
        <f t="shared" si="1"/>
        <v>0</v>
      </c>
      <c r="J40" s="135">
        <f>'Standard Vorgaben'!G135</f>
        <v>14.5</v>
      </c>
      <c r="K40" s="16">
        <f>C40*D40*J40</f>
        <v>0</v>
      </c>
    </row>
    <row r="41" spans="1:11" ht="13.5" thickBot="1" x14ac:dyDescent="0.25">
      <c r="A41" s="14"/>
      <c r="B41" s="4" t="str">
        <f>'Standard Vorgaben'!B136</f>
        <v>Schnittholzhacker</v>
      </c>
      <c r="C41" s="44">
        <f>'Standard Vorgaben'!E136</f>
        <v>0</v>
      </c>
      <c r="D41" s="338">
        <f>'Standard Vorgaben'!C136</f>
        <v>2</v>
      </c>
      <c r="E41" s="48">
        <f>'Standard Vorgaben'!D136</f>
        <v>68.3</v>
      </c>
      <c r="F41" s="160">
        <f>E41*D41*C41</f>
        <v>0</v>
      </c>
      <c r="G41" s="783">
        <f t="shared" si="1"/>
        <v>0</v>
      </c>
      <c r="J41" s="135">
        <f>'Standard Vorgaben'!G136</f>
        <v>29.05</v>
      </c>
      <c r="K41" s="16">
        <f>C41*D41*J41</f>
        <v>0</v>
      </c>
    </row>
    <row r="42" spans="1:11" x14ac:dyDescent="0.2">
      <c r="A42" s="14"/>
      <c r="B42" s="4" t="s">
        <v>117</v>
      </c>
      <c r="C42" s="34"/>
      <c r="D42" s="361">
        <f>(C35*D35)+(C36*D36)+(C37*D37)+(D38)+(C40*D40)+(C41*D41)</f>
        <v>83.5</v>
      </c>
      <c r="E42" s="48"/>
      <c r="F42" s="93">
        <f>SUM(F35:F41)</f>
        <v>2391.5</v>
      </c>
      <c r="G42" s="783">
        <f t="shared" si="1"/>
        <v>5.0079988647447858E-2</v>
      </c>
      <c r="J42" s="135"/>
    </row>
    <row r="43" spans="1:11" x14ac:dyDescent="0.2">
      <c r="A43" s="123"/>
      <c r="B43" s="80" t="str">
        <f>'Standard Vorgaben'!B129</f>
        <v>Obstbautraktor 4-Rad</v>
      </c>
      <c r="C43" s="34"/>
      <c r="D43" s="362">
        <f>D42</f>
        <v>83.5</v>
      </c>
      <c r="E43" s="48">
        <f>'Standard Vorgaben'!D129</f>
        <v>41</v>
      </c>
      <c r="F43" s="93">
        <f>D43*E43</f>
        <v>3423.5</v>
      </c>
      <c r="G43" s="783">
        <f t="shared" si="1"/>
        <v>7.16909224898757E-2</v>
      </c>
      <c r="H43" s="433">
        <f>D38</f>
        <v>62.5</v>
      </c>
      <c r="I43" t="s">
        <v>118</v>
      </c>
      <c r="J43" s="149">
        <f>'Standard Vorgaben'!G141</f>
        <v>0</v>
      </c>
      <c r="K43" s="148">
        <f>D43*J43</f>
        <v>0</v>
      </c>
    </row>
    <row r="44" spans="1:11" x14ac:dyDescent="0.2">
      <c r="A44" s="123"/>
      <c r="B44" s="73" t="str">
        <f>'Standard Vorgaben'!B129</f>
        <v>Obstbautraktor 4-Rad</v>
      </c>
      <c r="C44" s="112">
        <f>'Standard Vorgaben'!C177</f>
        <v>0</v>
      </c>
      <c r="D44" s="44">
        <v>10</v>
      </c>
      <c r="E44" s="48">
        <f>'Standard Vorgaben'!D129</f>
        <v>41</v>
      </c>
      <c r="F44" s="93">
        <f>C44*D44*E44</f>
        <v>0</v>
      </c>
      <c r="G44" s="783">
        <f t="shared" si="1"/>
        <v>0</v>
      </c>
      <c r="H44" s="433"/>
      <c r="J44" s="149"/>
      <c r="K44" s="119"/>
    </row>
    <row r="45" spans="1:11" x14ac:dyDescent="0.2">
      <c r="A45" s="123"/>
      <c r="B45" s="73" t="str">
        <f>'Standard Vorgaben'!B151</f>
        <v>Hubstapler, Heckanbau, Kippgabel, Seitenschieber, 3 m Hubhöhe</v>
      </c>
      <c r="C45" s="112">
        <f>'Standard Vorgaben'!C177</f>
        <v>0</v>
      </c>
      <c r="D45" s="44">
        <v>10</v>
      </c>
      <c r="E45" s="48">
        <f>'Standard Vorgaben'!D151</f>
        <v>17.5</v>
      </c>
      <c r="F45" s="93">
        <f>C45*D45*E45</f>
        <v>0</v>
      </c>
      <c r="G45" s="783">
        <f t="shared" si="1"/>
        <v>0</v>
      </c>
      <c r="H45" s="433"/>
      <c r="J45" s="149"/>
      <c r="K45" s="119"/>
    </row>
    <row r="46" spans="1:11" ht="13.5" thickBot="1" x14ac:dyDescent="0.25">
      <c r="A46" s="117"/>
      <c r="B46" s="4" t="str">
        <f>'Standard Vorgaben'!B137</f>
        <v>Diverse Kleingeräte</v>
      </c>
      <c r="C46" s="34"/>
      <c r="D46" s="34"/>
      <c r="E46" s="48"/>
      <c r="F46" s="658">
        <f>'Standard Vorgaben'!D137</f>
        <v>500</v>
      </c>
      <c r="G46" s="783">
        <f t="shared" si="1"/>
        <v>1.0470413683346825E-2</v>
      </c>
      <c r="K46" s="150">
        <f>SUM(K35:K43)</f>
        <v>545.21</v>
      </c>
    </row>
    <row r="47" spans="1:11" x14ac:dyDescent="0.2">
      <c r="A47" s="82"/>
      <c r="B47" s="4"/>
      <c r="C47" s="34"/>
      <c r="D47" s="34"/>
      <c r="E47" s="48"/>
      <c r="F47" s="61">
        <f>F46+F43+F42+F44+F45</f>
        <v>6315</v>
      </c>
      <c r="G47" s="783">
        <f t="shared" si="1"/>
        <v>0.13224132482067039</v>
      </c>
    </row>
    <row r="48" spans="1:11" x14ac:dyDescent="0.2">
      <c r="B48" s="17"/>
      <c r="C48" s="44"/>
      <c r="D48" s="96" t="s">
        <v>27</v>
      </c>
      <c r="E48" s="100" t="s">
        <v>21</v>
      </c>
      <c r="F48" s="97" t="s">
        <v>22</v>
      </c>
      <c r="G48" s="783"/>
    </row>
    <row r="49" spans="1:7" x14ac:dyDescent="0.2">
      <c r="A49" s="14" t="s">
        <v>68</v>
      </c>
      <c r="B49" s="4" t="s">
        <v>29</v>
      </c>
      <c r="C49" s="44"/>
      <c r="D49" s="363">
        <f>C37*D37</f>
        <v>4</v>
      </c>
      <c r="E49" s="169">
        <f>'Standard Vorgaben'!$C$36</f>
        <v>32.700000000000003</v>
      </c>
      <c r="F49" s="33">
        <f t="shared" ref="F49:F60" si="2">D49*E49</f>
        <v>130.80000000000001</v>
      </c>
      <c r="G49" s="783">
        <f t="shared" ref="G49:G55" si="3">F49/$F$66</f>
        <v>2.7390602195635294E-3</v>
      </c>
    </row>
    <row r="50" spans="1:7" x14ac:dyDescent="0.2">
      <c r="A50" s="14"/>
      <c r="B50" s="4" t="s">
        <v>167</v>
      </c>
      <c r="C50" s="1"/>
      <c r="D50" s="112">
        <f>((C35*D35)+(C36*D36))+'Standard Vorgaben'!B91+'Standard Vorgaben'!C91</f>
        <v>32</v>
      </c>
      <c r="E50" s="169">
        <f>'Standard Vorgaben'!$C$36</f>
        <v>32.700000000000003</v>
      </c>
      <c r="F50" s="33">
        <f t="shared" si="2"/>
        <v>1046.4000000000001</v>
      </c>
      <c r="G50" s="783">
        <f t="shared" si="3"/>
        <v>2.1912481756508236E-2</v>
      </c>
    </row>
    <row r="51" spans="1:7" x14ac:dyDescent="0.2">
      <c r="A51" s="14"/>
      <c r="B51" s="4" t="str">
        <f>'Standard Vorgaben'!D89</f>
        <v>Baumerziehung (Sommer+Winter)</v>
      </c>
      <c r="C51" s="34"/>
      <c r="D51" s="141">
        <f>'Standard Vorgaben'!D91</f>
        <v>100</v>
      </c>
      <c r="E51" s="169">
        <f>'Standard Vorgaben'!$C$36</f>
        <v>32.700000000000003</v>
      </c>
      <c r="F51" s="33">
        <f t="shared" si="2"/>
        <v>3270.0000000000005</v>
      </c>
      <c r="G51" s="783">
        <f t="shared" si="3"/>
        <v>6.8476505489088235E-2</v>
      </c>
    </row>
    <row r="52" spans="1:7" x14ac:dyDescent="0.2">
      <c r="A52" s="14"/>
      <c r="B52" s="4" t="s">
        <v>105</v>
      </c>
      <c r="C52" s="34"/>
      <c r="D52" s="323">
        <f>(C40*D40)+(C41*D41)</f>
        <v>0</v>
      </c>
      <c r="E52" s="169">
        <f>'Standard Vorgaben'!$C$36</f>
        <v>32.700000000000003</v>
      </c>
      <c r="F52" s="33">
        <f>D52*E52</f>
        <v>0</v>
      </c>
      <c r="G52" s="783">
        <f t="shared" si="3"/>
        <v>0</v>
      </c>
    </row>
    <row r="53" spans="1:7" x14ac:dyDescent="0.2">
      <c r="A53" s="14"/>
      <c r="B53" s="364" t="str">
        <f>'Standard Vorgaben'!E89</f>
        <v>Behangsregulierung (von Hand)</v>
      </c>
      <c r="C53" s="1"/>
      <c r="D53" s="112">
        <f>'Standard Vorgaben'!E91</f>
        <v>100</v>
      </c>
      <c r="E53" s="169">
        <f>'Standard Vorgaben'!$C$37</f>
        <v>22.75</v>
      </c>
      <c r="F53" s="33">
        <f t="shared" si="2"/>
        <v>2275</v>
      </c>
      <c r="G53" s="783">
        <f t="shared" si="3"/>
        <v>4.7640382259228051E-2</v>
      </c>
    </row>
    <row r="54" spans="1:7" x14ac:dyDescent="0.2">
      <c r="A54" s="14"/>
      <c r="B54" s="670" t="s">
        <v>399</v>
      </c>
      <c r="C54" s="5">
        <f>'Standard Vorgaben'!C177</f>
        <v>0</v>
      </c>
      <c r="D54" s="672">
        <v>15</v>
      </c>
      <c r="E54" s="169">
        <f>'Standard Vorgaben'!$C$37</f>
        <v>22.75</v>
      </c>
      <c r="F54" s="33">
        <f>D54*E54*C54</f>
        <v>0</v>
      </c>
      <c r="G54" s="783">
        <f t="shared" si="3"/>
        <v>0</v>
      </c>
    </row>
    <row r="55" spans="1:7" x14ac:dyDescent="0.2">
      <c r="A55" s="14"/>
      <c r="B55" s="670" t="s">
        <v>400</v>
      </c>
      <c r="C55" s="5">
        <f>'Standard Vorgaben'!C177</f>
        <v>0</v>
      </c>
      <c r="D55" s="672">
        <v>10</v>
      </c>
      <c r="E55" s="169">
        <f>'Standard Vorgaben'!$C$37</f>
        <v>22.75</v>
      </c>
      <c r="F55" s="33">
        <f>D55*E55*C55</f>
        <v>0</v>
      </c>
      <c r="G55" s="783">
        <f t="shared" si="3"/>
        <v>0</v>
      </c>
    </row>
    <row r="56" spans="1:7" x14ac:dyDescent="0.2">
      <c r="A56" s="14"/>
      <c r="B56" s="670" t="s">
        <v>632</v>
      </c>
      <c r="C56" s="5">
        <f>'Standard Vorgaben'!C181</f>
        <v>0</v>
      </c>
      <c r="D56" s="672">
        <v>60</v>
      </c>
      <c r="E56" s="169">
        <f>'Standard Vorgaben'!$C$37</f>
        <v>22.75</v>
      </c>
      <c r="F56" s="33">
        <f>D56*E56*C56</f>
        <v>0</v>
      </c>
      <c r="G56" s="783"/>
    </row>
    <row r="57" spans="1:7" x14ac:dyDescent="0.2">
      <c r="A57" s="14"/>
      <c r="B57" t="s">
        <v>457</v>
      </c>
      <c r="C57" s="5">
        <f>'Standard Vorgaben'!C187</f>
        <v>1</v>
      </c>
      <c r="D57" s="672">
        <f>'Standard Bewässerung'!E110</f>
        <v>10</v>
      </c>
      <c r="E57" s="169">
        <f>'Standard Vorgaben'!C36</f>
        <v>32.700000000000003</v>
      </c>
      <c r="F57" s="33">
        <f>C57*D57*E57</f>
        <v>327</v>
      </c>
      <c r="G57" s="783">
        <f t="shared" ref="G57:G66" si="4">F57/$F$66</f>
        <v>6.8476505489088232E-3</v>
      </c>
    </row>
    <row r="58" spans="1:7" x14ac:dyDescent="0.2">
      <c r="A58" s="14"/>
      <c r="B58" t="s">
        <v>458</v>
      </c>
      <c r="C58" s="5">
        <f>'Standard Vorgaben'!C187</f>
        <v>1</v>
      </c>
      <c r="D58" s="672">
        <f>'Standard Bewässerung'!E109</f>
        <v>4</v>
      </c>
      <c r="E58" s="169">
        <f>'Standard Vorgaben'!C36</f>
        <v>32.700000000000003</v>
      </c>
      <c r="F58" s="33">
        <f>C58*D58*E58</f>
        <v>130.80000000000001</v>
      </c>
      <c r="G58" s="783">
        <f t="shared" si="4"/>
        <v>2.7390602195635294E-3</v>
      </c>
    </row>
    <row r="59" spans="1:7" x14ac:dyDescent="0.2">
      <c r="A59" s="14"/>
      <c r="B59" s="3" t="str">
        <f>'Standard Vorgaben'!D68</f>
        <v>Ernte inkl. Sortieren</v>
      </c>
      <c r="C59" s="387">
        <f>'Standard Vorgaben'!D85</f>
        <v>40</v>
      </c>
      <c r="D59" s="112">
        <f>D10/C59</f>
        <v>625</v>
      </c>
      <c r="E59" s="48">
        <f>'Standard Vorgaben'!C35</f>
        <v>22.62</v>
      </c>
      <c r="F59" s="33">
        <f t="shared" si="2"/>
        <v>14137.5</v>
      </c>
      <c r="G59" s="783">
        <f t="shared" si="4"/>
        <v>0.29605094689663147</v>
      </c>
    </row>
    <row r="60" spans="1:7" ht="13.5" thickBot="1" x14ac:dyDescent="0.25">
      <c r="A60" s="14"/>
      <c r="B60" s="4" t="s">
        <v>104</v>
      </c>
      <c r="C60" s="34"/>
      <c r="D60" s="90">
        <f>'Standard Vorgaben'!F91+'Standard Vorgaben'!G91</f>
        <v>40</v>
      </c>
      <c r="E60" s="48">
        <f>'Standard Vorgaben'!$C$32</f>
        <v>41.4</v>
      </c>
      <c r="F60" s="160">
        <f t="shared" si="2"/>
        <v>1656</v>
      </c>
      <c r="G60" s="783">
        <f t="shared" si="4"/>
        <v>3.4678010119244679E-2</v>
      </c>
    </row>
    <row r="61" spans="1:7" x14ac:dyDescent="0.2">
      <c r="A61" s="106" t="s">
        <v>95</v>
      </c>
      <c r="B61" s="365">
        <f>('Standard Vorgaben'!$F$33*D53)+('Standard Vorgaben'!$F$33*D59)</f>
        <v>652.5</v>
      </c>
      <c r="C61" s="124" t="s">
        <v>93</v>
      </c>
      <c r="D61" s="388">
        <f>SUM(D49:D53)+C54*D54+C55*D55+C56*D56+C57*D57+C58*D58+D59+D60</f>
        <v>915</v>
      </c>
      <c r="E61" s="48"/>
      <c r="F61" s="61">
        <f>SUM(F49:F60)</f>
        <v>22973.5</v>
      </c>
      <c r="G61" s="783">
        <f t="shared" si="4"/>
        <v>0.48108409750873654</v>
      </c>
    </row>
    <row r="62" spans="1:7" x14ac:dyDescent="0.2">
      <c r="A62" s="14" t="s">
        <v>72</v>
      </c>
      <c r="B62" s="4" t="s">
        <v>69</v>
      </c>
      <c r="C62" s="34"/>
      <c r="D62" s="34"/>
      <c r="E62" s="48"/>
      <c r="F62" s="33">
        <f>'Standard Vorgaben'!C42</f>
        <v>660</v>
      </c>
      <c r="G62" s="783">
        <f t="shared" si="4"/>
        <v>1.3820946062017808E-2</v>
      </c>
    </row>
    <row r="63" spans="1:7" ht="13.5" thickBot="1" x14ac:dyDescent="0.25">
      <c r="B63" s="1" t="s">
        <v>230</v>
      </c>
      <c r="C63" s="174">
        <f>'Standard Vorgaben'!C41</f>
        <v>0.6</v>
      </c>
      <c r="D63" s="175">
        <f>'Standard Vorgaben'!C40</f>
        <v>1.4999999999999999E-2</v>
      </c>
      <c r="E63" s="93">
        <f>C30</f>
        <v>93729.108058169775</v>
      </c>
      <c r="F63" s="160">
        <f>$D$63*E63*$C$63</f>
        <v>843.56197252352797</v>
      </c>
      <c r="G63" s="783">
        <f t="shared" si="4"/>
        <v>1.766488563972277E-2</v>
      </c>
    </row>
    <row r="64" spans="1:7" x14ac:dyDescent="0.2">
      <c r="B64" s="1"/>
      <c r="C64" s="1"/>
      <c r="D64" s="1"/>
      <c r="E64" s="1"/>
      <c r="F64" s="162">
        <f>SUM(F62:F63)</f>
        <v>1503.5619725235279</v>
      </c>
      <c r="G64" s="783">
        <f t="shared" si="4"/>
        <v>3.1485831701740574E-2</v>
      </c>
    </row>
    <row r="65" spans="1:11" ht="13.5" thickBot="1" x14ac:dyDescent="0.25">
      <c r="A65" s="353" t="s">
        <v>35</v>
      </c>
      <c r="B65" s="354"/>
      <c r="C65" s="202"/>
      <c r="D65" s="389"/>
      <c r="E65" s="390"/>
      <c r="F65" s="784">
        <f>F64+F61+F47+F33</f>
        <v>31237.561972523526</v>
      </c>
      <c r="G65" s="820">
        <f t="shared" si="4"/>
        <v>0.65414039262300949</v>
      </c>
    </row>
    <row r="66" spans="1:11" s="58" customFormat="1" ht="24.75" customHeight="1" thickBot="1" x14ac:dyDescent="0.35">
      <c r="A66" s="351" t="s">
        <v>254</v>
      </c>
      <c r="B66" s="22"/>
      <c r="C66" s="398"/>
      <c r="D66" s="399"/>
      <c r="E66" s="400"/>
      <c r="F66" s="785">
        <f>F65+F32</f>
        <v>47753.605074386811</v>
      </c>
      <c r="G66" s="820">
        <f t="shared" si="4"/>
        <v>1</v>
      </c>
      <c r="H66" s="71"/>
      <c r="I66" s="71"/>
      <c r="J66" s="138"/>
      <c r="K66" s="144"/>
    </row>
    <row r="67" spans="1:11" s="58" customFormat="1" ht="15" customHeight="1" x14ac:dyDescent="0.3">
      <c r="A67" s="2" t="s">
        <v>340</v>
      </c>
      <c r="B67" s="401"/>
      <c r="C67" s="402"/>
      <c r="D67" s="403"/>
      <c r="E67" s="404"/>
      <c r="F67" s="405">
        <f>F12-F66</f>
        <v>-5253.6050743867963</v>
      </c>
      <c r="G67" s="788"/>
      <c r="H67" s="71"/>
      <c r="I67" s="71"/>
      <c r="J67" s="138"/>
      <c r="K67" s="144"/>
    </row>
    <row r="68" spans="1:11" s="58" customFormat="1" ht="18.75" customHeight="1" x14ac:dyDescent="0.3">
      <c r="A68" s="367" t="s">
        <v>341</v>
      </c>
      <c r="B68" s="401"/>
      <c r="C68" s="402"/>
      <c r="D68" s="403"/>
      <c r="E68" s="404"/>
      <c r="F68" s="406">
        <f>F12/F66</f>
        <v>0.88998516308448039</v>
      </c>
      <c r="G68" s="788"/>
      <c r="H68" s="71"/>
      <c r="I68" s="71"/>
      <c r="J68" s="138"/>
      <c r="K68" s="144"/>
    </row>
    <row r="69" spans="1:11" s="58" customFormat="1" ht="18.75" customHeight="1" x14ac:dyDescent="0.3">
      <c r="A69" s="367" t="s">
        <v>342</v>
      </c>
      <c r="B69" s="401"/>
      <c r="C69" s="402"/>
      <c r="D69" s="403"/>
      <c r="E69" s="404"/>
      <c r="F69" s="407">
        <f>F67+F30</f>
        <v>1441.3312154824735</v>
      </c>
      <c r="G69" s="788"/>
      <c r="H69" s="71"/>
      <c r="I69" s="71"/>
      <c r="J69" s="138"/>
      <c r="K69" s="144"/>
    </row>
    <row r="70" spans="1:11" s="1" customFormat="1" ht="16.5" customHeight="1" x14ac:dyDescent="0.2">
      <c r="A70" s="391" t="s">
        <v>73</v>
      </c>
      <c r="B70" s="341"/>
      <c r="C70" s="392"/>
      <c r="D70" s="393"/>
      <c r="E70" s="342"/>
      <c r="F70" s="394">
        <f>F66-F61</f>
        <v>24780.105074386811</v>
      </c>
      <c r="G70" s="783"/>
      <c r="H70" s="72"/>
      <c r="J70" s="34"/>
      <c r="K70" s="141"/>
    </row>
    <row r="71" spans="1:11" ht="13.5" thickBot="1" x14ac:dyDescent="0.25">
      <c r="A71" s="395" t="s">
        <v>255</v>
      </c>
      <c r="B71" s="395"/>
      <c r="C71" s="395"/>
      <c r="D71" s="395"/>
      <c r="E71" s="395"/>
      <c r="F71" s="396">
        <f>F12-F70</f>
        <v>17719.894925613204</v>
      </c>
      <c r="G71" s="15"/>
      <c r="H71" s="70"/>
    </row>
    <row r="72" spans="1:11" ht="21" thickBot="1" x14ac:dyDescent="0.35">
      <c r="A72" s="397" t="s">
        <v>256</v>
      </c>
      <c r="B72" s="340"/>
      <c r="C72" s="340"/>
      <c r="D72" s="340"/>
      <c r="E72" s="340"/>
      <c r="F72" s="786">
        <f>F71/D61</f>
        <v>19.366005383183829</v>
      </c>
      <c r="G72" s="15"/>
    </row>
    <row r="73" spans="1:11" s="18" customFormat="1" ht="15.75" x14ac:dyDescent="0.25">
      <c r="A73" s="340" t="s">
        <v>94</v>
      </c>
      <c r="B73" s="340"/>
      <c r="C73" s="340"/>
      <c r="D73" s="340"/>
      <c r="E73" s="340"/>
      <c r="F73" s="787">
        <f>(F71-(B61*'Standard Vorgaben'!C34))/(D61-B61)</f>
        <v>14.061504478526491</v>
      </c>
      <c r="G73" s="74"/>
      <c r="J73" s="139"/>
      <c r="K73" s="145"/>
    </row>
    <row r="74" spans="1:11" s="57" customFormat="1" ht="25.5" customHeight="1" x14ac:dyDescent="0.2">
      <c r="A74" s="368" t="s">
        <v>257</v>
      </c>
      <c r="B74" s="436" t="s">
        <v>258</v>
      </c>
      <c r="C74" s="437">
        <f>F74-F11</f>
        <v>24883.956898136727</v>
      </c>
      <c r="D74" s="438" t="s">
        <v>88</v>
      </c>
      <c r="E74" s="439"/>
      <c r="F74" s="94">
        <f>F12-F32</f>
        <v>25983.956898136727</v>
      </c>
      <c r="G74" s="789" t="s">
        <v>174</v>
      </c>
      <c r="J74" s="140"/>
      <c r="K74" s="146"/>
    </row>
    <row r="75" spans="1:11" ht="15.75" customHeight="1" x14ac:dyDescent="0.2">
      <c r="A75" s="440" t="s">
        <v>129</v>
      </c>
      <c r="B75" s="1372" t="s">
        <v>397</v>
      </c>
      <c r="C75" s="1372"/>
      <c r="D75" s="1372"/>
      <c r="E75" s="1372"/>
      <c r="F75" s="441">
        <f>K46+F61+F29+F23+F18</f>
        <v>28033.96</v>
      </c>
      <c r="G75" s="46">
        <f>F12</f>
        <v>42500.000000000015</v>
      </c>
      <c r="I75" t="s">
        <v>168</v>
      </c>
    </row>
    <row r="76" spans="1:11" x14ac:dyDescent="0.2">
      <c r="A76" s="80" t="s">
        <v>147</v>
      </c>
      <c r="B76" s="1" t="s">
        <v>259</v>
      </c>
      <c r="C76" s="1"/>
      <c r="D76" s="1"/>
      <c r="E76" s="1"/>
      <c r="F76" s="442">
        <f>F12/D61</f>
        <v>46.448087431694006</v>
      </c>
      <c r="G76" s="21"/>
    </row>
    <row r="77" spans="1:11" x14ac:dyDescent="0.2">
      <c r="A77" s="80"/>
      <c r="B77" s="1" t="s">
        <v>209</v>
      </c>
      <c r="C77" s="1"/>
      <c r="D77" s="1"/>
      <c r="E77" s="1"/>
      <c r="F77" s="443">
        <f>D8/D61</f>
        <v>24.590163934426236</v>
      </c>
      <c r="G77" s="21"/>
    </row>
    <row r="78" spans="1:11" s="1" customFormat="1" x14ac:dyDescent="0.2">
      <c r="A78" s="80" t="s">
        <v>148</v>
      </c>
      <c r="B78" s="1" t="s">
        <v>260</v>
      </c>
      <c r="F78" s="444">
        <f>(F67+F63)/E63</f>
        <v>-4.7050944932990564E-2</v>
      </c>
      <c r="G78" s="21"/>
      <c r="I78" s="1" t="s">
        <v>169</v>
      </c>
      <c r="J78" s="34"/>
      <c r="K78" s="7">
        <f>F66-F64</f>
        <v>46250.043101863281</v>
      </c>
    </row>
    <row r="79" spans="1:11" ht="20.25" x14ac:dyDescent="0.3">
      <c r="A79" s="538" t="s">
        <v>89</v>
      </c>
      <c r="B79" s="340" t="s">
        <v>90</v>
      </c>
      <c r="C79" s="341"/>
      <c r="D79" s="341"/>
      <c r="E79" s="341"/>
      <c r="F79" s="539">
        <f>F66/D10</f>
        <v>1.9101442029754725</v>
      </c>
      <c r="G79" s="15"/>
      <c r="I79" t="s">
        <v>170</v>
      </c>
      <c r="K79" s="16">
        <f>F12-K78</f>
        <v>-3750.0431018632662</v>
      </c>
    </row>
    <row r="80" spans="1:11" ht="15.75" x14ac:dyDescent="0.25">
      <c r="A80" s="73"/>
      <c r="B80" s="73"/>
      <c r="C80" s="73"/>
      <c r="D80" s="409" t="s">
        <v>262</v>
      </c>
      <c r="E80" s="409" t="s">
        <v>74</v>
      </c>
      <c r="F80" s="410"/>
      <c r="G80" s="15"/>
      <c r="H80" s="36"/>
    </row>
    <row r="81" spans="1:11" ht="15.75" x14ac:dyDescent="0.25">
      <c r="A81" s="2" t="s">
        <v>128</v>
      </c>
      <c r="B81" s="411" t="s">
        <v>261</v>
      </c>
      <c r="C81" s="412" t="str">
        <f>B8</f>
        <v>Tafelzwetschgen 33 mm</v>
      </c>
      <c r="D81" s="413">
        <f>F8/F10</f>
        <v>1</v>
      </c>
      <c r="E81" s="414">
        <f>D81*F66</f>
        <v>47753.605074386811</v>
      </c>
      <c r="F81" s="408">
        <f>E81/D8</f>
        <v>2.1223824477505242</v>
      </c>
      <c r="G81" s="15"/>
    </row>
    <row r="82" spans="1:11" s="1" customFormat="1" ht="15.75" x14ac:dyDescent="0.25">
      <c r="A82" s="415"/>
      <c r="B82" s="415"/>
      <c r="C82" s="416" t="str">
        <f>B9</f>
        <v>Sortierabgang</v>
      </c>
      <c r="D82" s="417">
        <f>F9/F10</f>
        <v>0</v>
      </c>
      <c r="E82" s="418">
        <f>D82*F66</f>
        <v>0</v>
      </c>
      <c r="F82" s="419">
        <f>E82/D9</f>
        <v>0</v>
      </c>
      <c r="G82" s="21"/>
      <c r="J82" s="34"/>
      <c r="K82" s="141"/>
    </row>
    <row r="83" spans="1:11" s="15" customFormat="1" x14ac:dyDescent="0.2">
      <c r="J83" s="11"/>
      <c r="K83" s="119"/>
    </row>
    <row r="84" spans="1:11" x14ac:dyDescent="0.2">
      <c r="F84" s="36"/>
      <c r="G84" s="15"/>
    </row>
    <row r="85" spans="1:11" ht="32.25" customHeight="1" x14ac:dyDescent="0.25">
      <c r="A85" s="1373" t="s">
        <v>422</v>
      </c>
      <c r="B85" s="1373"/>
      <c r="C85" s="1373"/>
      <c r="D85" s="1373"/>
      <c r="E85" s="1373"/>
      <c r="F85" s="1373"/>
      <c r="G85" s="21"/>
    </row>
    <row r="86" spans="1:11" x14ac:dyDescent="0.2">
      <c r="F86" s="36"/>
      <c r="G86" s="15"/>
    </row>
    <row r="87" spans="1:11" s="211" customFormat="1" ht="21.75" customHeight="1" x14ac:dyDescent="0.2">
      <c r="A87" s="210" t="s">
        <v>221</v>
      </c>
      <c r="B87" s="213" t="s">
        <v>75</v>
      </c>
      <c r="C87" s="212" t="s">
        <v>225</v>
      </c>
      <c r="G87" s="289"/>
      <c r="J87" s="213"/>
      <c r="K87" s="214"/>
    </row>
    <row r="88" spans="1:11" x14ac:dyDescent="0.2">
      <c r="A88" s="1" t="s">
        <v>223</v>
      </c>
      <c r="B88" s="33">
        <f>F61</f>
        <v>22973.5</v>
      </c>
      <c r="C88" s="258">
        <f>B88/$B$91</f>
        <v>0.48108409750873654</v>
      </c>
      <c r="G88" s="15"/>
    </row>
    <row r="89" spans="1:11" x14ac:dyDescent="0.2">
      <c r="A89" s="1" t="s">
        <v>224</v>
      </c>
      <c r="B89" s="33">
        <f>F64</f>
        <v>1503.5619725235279</v>
      </c>
      <c r="C89" s="258">
        <f>B89/$B$91</f>
        <v>3.1485831701740574E-2</v>
      </c>
      <c r="G89" s="15"/>
    </row>
    <row r="90" spans="1:11" x14ac:dyDescent="0.2">
      <c r="A90" s="166" t="s">
        <v>222</v>
      </c>
      <c r="B90" s="91">
        <f>F66-B88-B89</f>
        <v>23276.543101863284</v>
      </c>
      <c r="C90" s="422">
        <f>B90/$B$91</f>
        <v>0.48743007078952294</v>
      </c>
      <c r="G90" s="15"/>
    </row>
    <row r="91" spans="1:11" x14ac:dyDescent="0.2">
      <c r="A91" s="1" t="str">
        <f>A66</f>
        <v>Produktionskosten pro ha</v>
      </c>
      <c r="B91" s="33">
        <f>F66</f>
        <v>47753.605074386811</v>
      </c>
      <c r="C91" s="258">
        <f>B91/$B$91</f>
        <v>1</v>
      </c>
      <c r="D91" s="10"/>
      <c r="G91" s="15"/>
    </row>
    <row r="92" spans="1:11" x14ac:dyDescent="0.2">
      <c r="F92" s="36"/>
      <c r="G92" s="15"/>
    </row>
    <row r="93" spans="1:11" s="211" customFormat="1" ht="30.75" customHeight="1" x14ac:dyDescent="0.2">
      <c r="A93" s="217" t="s">
        <v>279</v>
      </c>
      <c r="B93" s="213" t="s">
        <v>75</v>
      </c>
      <c r="C93" s="215" t="s">
        <v>325</v>
      </c>
      <c r="D93" s="216"/>
      <c r="G93" s="289"/>
      <c r="J93" s="213"/>
      <c r="K93" s="214"/>
    </row>
    <row r="94" spans="1:11" x14ac:dyDescent="0.2">
      <c r="A94" s="73" t="str">
        <f>B62</f>
        <v>für Boden</v>
      </c>
      <c r="B94" s="33">
        <f>F62</f>
        <v>660</v>
      </c>
      <c r="C94" s="423">
        <f>B94/$B$96</f>
        <v>0.43895762998865834</v>
      </c>
      <c r="G94" s="15"/>
    </row>
    <row r="95" spans="1:11" x14ac:dyDescent="0.2">
      <c r="A95" s="415" t="str">
        <f>B63</f>
        <v xml:space="preserve">für Investition Obstanlage </v>
      </c>
      <c r="B95" s="91">
        <f>F63</f>
        <v>843.56197252352797</v>
      </c>
      <c r="C95" s="424">
        <f>B95/$B$96</f>
        <v>0.56104237001134172</v>
      </c>
      <c r="G95" s="15"/>
    </row>
    <row r="96" spans="1:11" x14ac:dyDescent="0.2">
      <c r="A96" s="425" t="s">
        <v>224</v>
      </c>
      <c r="B96" s="33">
        <f>SUM(B94:B95)</f>
        <v>1503.5619725235279</v>
      </c>
      <c r="C96" s="423">
        <f>B96/$B$96</f>
        <v>1</v>
      </c>
      <c r="G96" s="15"/>
    </row>
    <row r="97" spans="1:11" x14ac:dyDescent="0.2">
      <c r="F97" s="36"/>
      <c r="G97" s="15"/>
    </row>
    <row r="98" spans="1:11" s="211" customFormat="1" ht="30.75" customHeight="1" x14ac:dyDescent="0.2">
      <c r="A98" s="217" t="s">
        <v>233</v>
      </c>
      <c r="B98" s="213" t="s">
        <v>75</v>
      </c>
      <c r="C98" s="215" t="s">
        <v>325</v>
      </c>
      <c r="D98" s="216"/>
      <c r="G98" s="289"/>
      <c r="J98" s="213"/>
      <c r="K98" s="214"/>
    </row>
    <row r="99" spans="1:11" x14ac:dyDescent="0.2">
      <c r="A99" s="80" t="str">
        <f>B59</f>
        <v>Ernte inkl. Sortieren</v>
      </c>
      <c r="B99" s="33">
        <f>F59</f>
        <v>14137.5</v>
      </c>
      <c r="C99" s="423">
        <f t="shared" ref="C99:C105" si="5">B99/$F$61</f>
        <v>0.61538294121487802</v>
      </c>
      <c r="G99" s="15"/>
    </row>
    <row r="100" spans="1:11" x14ac:dyDescent="0.2">
      <c r="A100" s="1" t="str">
        <f>B51</f>
        <v>Baumerziehung (Sommer+Winter)</v>
      </c>
      <c r="B100" s="33">
        <f>F51</f>
        <v>3270.0000000000005</v>
      </c>
      <c r="C100" s="81">
        <f t="shared" si="5"/>
        <v>0.14233791107145191</v>
      </c>
      <c r="G100" s="15"/>
    </row>
    <row r="101" spans="1:11" x14ac:dyDescent="0.2">
      <c r="A101" s="426" t="str">
        <f>B53</f>
        <v>Behangsregulierung (von Hand)</v>
      </c>
      <c r="B101" s="33">
        <f>F53</f>
        <v>2275</v>
      </c>
      <c r="C101" s="81">
        <f t="shared" si="5"/>
        <v>9.9027139965612548E-2</v>
      </c>
      <c r="G101" s="15"/>
    </row>
    <row r="102" spans="1:11" x14ac:dyDescent="0.2">
      <c r="A102" s="427" t="str">
        <f>B60</f>
        <v>Verwaltung + übrige Arbeiten</v>
      </c>
      <c r="B102" s="33">
        <f>F60</f>
        <v>1656</v>
      </c>
      <c r="C102" s="81">
        <f t="shared" si="5"/>
        <v>7.2083052212331605E-2</v>
      </c>
      <c r="G102" s="15"/>
    </row>
    <row r="103" spans="1:11" x14ac:dyDescent="0.2">
      <c r="A103" s="427" t="str">
        <f>B50</f>
        <v>Pflanzenschutz inkl. Kontrolle und Mausen</v>
      </c>
      <c r="B103" s="33">
        <f>F50</f>
        <v>1046.4000000000001</v>
      </c>
      <c r="C103" s="81">
        <f t="shared" si="5"/>
        <v>4.5548131542864606E-2</v>
      </c>
      <c r="G103" s="15"/>
    </row>
    <row r="104" spans="1:11" x14ac:dyDescent="0.2">
      <c r="A104" s="427" t="str">
        <f>B52</f>
        <v>Mulchen und Schnittholz hacken</v>
      </c>
      <c r="B104" s="33">
        <f>F52</f>
        <v>0</v>
      </c>
      <c r="C104" s="81">
        <f t="shared" si="5"/>
        <v>0</v>
      </c>
      <c r="G104" s="15"/>
    </row>
    <row r="105" spans="1:11" x14ac:dyDescent="0.2">
      <c r="A105" s="428" t="str">
        <f>B49</f>
        <v>Düngung</v>
      </c>
      <c r="B105" s="91">
        <f>F49</f>
        <v>130.80000000000001</v>
      </c>
      <c r="C105" s="167">
        <f t="shared" si="5"/>
        <v>5.6935164428580758E-3</v>
      </c>
      <c r="G105" s="15"/>
    </row>
    <row r="106" spans="1:11" x14ac:dyDescent="0.2">
      <c r="A106" s="427" t="str">
        <f>A88</f>
        <v>Arbeitskosten</v>
      </c>
      <c r="B106" s="33">
        <f>SUM(B99:B105)</f>
        <v>22515.7</v>
      </c>
      <c r="C106" s="81">
        <f>SUM(C99:C105)</f>
        <v>0.98007269244999673</v>
      </c>
      <c r="G106" s="15"/>
    </row>
    <row r="107" spans="1:11" x14ac:dyDescent="0.2">
      <c r="G107" s="15"/>
    </row>
    <row r="108" spans="1:11" x14ac:dyDescent="0.2">
      <c r="G108" s="15"/>
    </row>
    <row r="109" spans="1:11" x14ac:dyDescent="0.2">
      <c r="A109" s="210" t="s">
        <v>234</v>
      </c>
      <c r="B109" s="213" t="s">
        <v>75</v>
      </c>
      <c r="C109" s="215" t="s">
        <v>325</v>
      </c>
      <c r="G109" s="15"/>
    </row>
    <row r="110" spans="1:11" x14ac:dyDescent="0.2">
      <c r="A110" s="151" t="str">
        <f>A99</f>
        <v>Ernte inkl. Sortieren</v>
      </c>
      <c r="B110" s="33">
        <f>B99</f>
        <v>14137.5</v>
      </c>
      <c r="C110" s="258">
        <f>B110/$B$113</f>
        <v>0.62789520201459426</v>
      </c>
      <c r="G110" s="15"/>
    </row>
    <row r="111" spans="1:11" x14ac:dyDescent="0.2">
      <c r="A111" s="151" t="str">
        <f>A100</f>
        <v>Baumerziehung (Sommer+Winter)</v>
      </c>
      <c r="B111" s="33">
        <f>B100</f>
        <v>3270.0000000000005</v>
      </c>
      <c r="C111" s="258">
        <f>B111/$B$113</f>
        <v>0.1452319936755242</v>
      </c>
      <c r="G111" s="15"/>
    </row>
    <row r="112" spans="1:11" x14ac:dyDescent="0.2">
      <c r="A112" s="166" t="s">
        <v>229</v>
      </c>
      <c r="B112" s="91">
        <f>B101+B102+B103+B104+B105</f>
        <v>5108.2</v>
      </c>
      <c r="C112" s="422">
        <f>B112/$B$113</f>
        <v>0.22687280430988152</v>
      </c>
      <c r="G112" s="15"/>
    </row>
    <row r="113" spans="1:11" x14ac:dyDescent="0.2">
      <c r="A113" s="427" t="str">
        <f>A88</f>
        <v>Arbeitskosten</v>
      </c>
      <c r="B113" s="33">
        <f>SUM(B110:B112)</f>
        <v>22515.7</v>
      </c>
      <c r="C113" s="258">
        <f>B113/$B$113</f>
        <v>1</v>
      </c>
      <c r="G113" s="15"/>
    </row>
    <row r="114" spans="1:11" x14ac:dyDescent="0.2">
      <c r="A114" s="1"/>
      <c r="B114" s="1"/>
      <c r="C114" s="1"/>
      <c r="F114" s="36"/>
      <c r="G114" s="15"/>
    </row>
    <row r="115" spans="1:11" x14ac:dyDescent="0.2">
      <c r="F115" s="36"/>
      <c r="G115" s="15"/>
    </row>
    <row r="116" spans="1:11" s="211" customFormat="1" ht="18" customHeight="1" x14ac:dyDescent="0.2">
      <c r="A116" s="210" t="s">
        <v>232</v>
      </c>
      <c r="B116" s="213" t="s">
        <v>75</v>
      </c>
      <c r="C116" s="212" t="s">
        <v>288</v>
      </c>
      <c r="D116" s="216"/>
      <c r="E116" s="216"/>
      <c r="F116" s="186"/>
      <c r="G116" s="289"/>
      <c r="J116" s="213"/>
      <c r="K116" s="214"/>
    </row>
    <row r="117" spans="1:11" x14ac:dyDescent="0.2">
      <c r="A117" s="1" t="str">
        <f>A28</f>
        <v>Aktion und Gebindekosten</v>
      </c>
      <c r="B117" s="33">
        <f>F28</f>
        <v>3375.0000000000009</v>
      </c>
      <c r="C117" s="258">
        <f>B117/$B$121</f>
        <v>0.14499575754141225</v>
      </c>
      <c r="G117" s="15"/>
    </row>
    <row r="118" spans="1:11" ht="15.75" customHeight="1" x14ac:dyDescent="0.2">
      <c r="A118" s="429" t="str">
        <f>A30</f>
        <v xml:space="preserve">Abschreibung Obstanlage </v>
      </c>
      <c r="B118" s="430">
        <f>F30</f>
        <v>6694.9362898692698</v>
      </c>
      <c r="C118" s="258">
        <f>B118/$B$121</f>
        <v>0.28762588416032192</v>
      </c>
      <c r="G118" s="21"/>
    </row>
    <row r="119" spans="1:11" x14ac:dyDescent="0.2">
      <c r="A119" s="1" t="str">
        <f>A35</f>
        <v>Maschinen und Geräte</v>
      </c>
      <c r="B119" s="33">
        <f>F47</f>
        <v>6315</v>
      </c>
      <c r="C119" s="258">
        <f>B119/$B$121</f>
        <v>0.27130317299970907</v>
      </c>
      <c r="G119" s="15"/>
    </row>
    <row r="120" spans="1:11" x14ac:dyDescent="0.2">
      <c r="A120" s="166" t="s">
        <v>228</v>
      </c>
      <c r="B120" s="91">
        <f>B90-B117-B118-B119</f>
        <v>6891.6068119940137</v>
      </c>
      <c r="C120" s="422">
        <f>B120/$B$121</f>
        <v>0.2960751852985567</v>
      </c>
      <c r="G120" s="15"/>
    </row>
    <row r="121" spans="1:11" x14ac:dyDescent="0.2">
      <c r="A121" s="1" t="str">
        <f>A90</f>
        <v>Sachkosten</v>
      </c>
      <c r="B121" s="33">
        <f>SUM(B117:B120)</f>
        <v>23276.543101863284</v>
      </c>
      <c r="C121" s="258">
        <f>B121/$B$121</f>
        <v>1</v>
      </c>
      <c r="G121" s="15"/>
    </row>
    <row r="122" spans="1:11" x14ac:dyDescent="0.2">
      <c r="G122" s="15"/>
    </row>
    <row r="123" spans="1:11" x14ac:dyDescent="0.2">
      <c r="G123" s="15"/>
    </row>
    <row r="124" spans="1:11" s="211" customFormat="1" ht="33" customHeight="1" x14ac:dyDescent="0.2">
      <c r="A124" s="217" t="s">
        <v>227</v>
      </c>
      <c r="B124" s="213" t="s">
        <v>75</v>
      </c>
      <c r="C124" s="212" t="s">
        <v>225</v>
      </c>
      <c r="G124" s="289"/>
      <c r="J124" s="213"/>
      <c r="K124" s="214"/>
    </row>
    <row r="125" spans="1:11" x14ac:dyDescent="0.2">
      <c r="A125" s="1" t="str">
        <f>A32</f>
        <v>Total Direktkosten</v>
      </c>
      <c r="B125" s="33">
        <f>F32</f>
        <v>16516.043101863288</v>
      </c>
      <c r="C125" s="258">
        <f>G32</f>
        <v>0.34585960737699062</v>
      </c>
      <c r="G125" s="15"/>
    </row>
    <row r="126" spans="1:11" x14ac:dyDescent="0.2">
      <c r="A126" s="166" t="str">
        <f>A65</f>
        <v>Total Strukturkosten</v>
      </c>
      <c r="B126" s="91">
        <f>F65</f>
        <v>31237.561972523526</v>
      </c>
      <c r="C126" s="422">
        <f>G65</f>
        <v>0.65414039262300949</v>
      </c>
      <c r="G126" s="15"/>
    </row>
    <row r="127" spans="1:11" x14ac:dyDescent="0.2">
      <c r="A127" s="1" t="str">
        <f>A66</f>
        <v>Produktionskosten pro ha</v>
      </c>
      <c r="B127" s="33">
        <f>SUM(B125:B126)</f>
        <v>47753.605074386811</v>
      </c>
      <c r="C127" s="258">
        <f>SUM(C125:C126)</f>
        <v>1</v>
      </c>
      <c r="G127" s="15"/>
    </row>
    <row r="128" spans="1:11" x14ac:dyDescent="0.2">
      <c r="A128" s="1"/>
      <c r="B128" s="1"/>
      <c r="C128" s="1"/>
      <c r="G128" s="15"/>
    </row>
    <row r="129" spans="1:7" x14ac:dyDescent="0.2">
      <c r="G129" s="15"/>
    </row>
    <row r="130" spans="1:7" ht="18" x14ac:dyDescent="0.25">
      <c r="A130" s="420" t="s">
        <v>284</v>
      </c>
      <c r="B130" s="341"/>
      <c r="C130" s="341"/>
      <c r="D130" s="1"/>
      <c r="E130" s="1"/>
      <c r="F130" s="219"/>
      <c r="G130" s="21"/>
    </row>
    <row r="131" spans="1:7" x14ac:dyDescent="0.2">
      <c r="B131" s="213" t="s">
        <v>75</v>
      </c>
      <c r="C131" s="212" t="s">
        <v>225</v>
      </c>
      <c r="G131" s="15"/>
    </row>
    <row r="132" spans="1:7" x14ac:dyDescent="0.2">
      <c r="A132" s="80" t="s">
        <v>280</v>
      </c>
      <c r="B132" s="1"/>
      <c r="C132" s="1"/>
      <c r="G132" s="15"/>
    </row>
    <row r="133" spans="1:7" x14ac:dyDescent="0.2">
      <c r="A133" s="85" t="s">
        <v>112</v>
      </c>
      <c r="B133" s="162">
        <f>F23</f>
        <v>0</v>
      </c>
      <c r="C133" s="81">
        <f>B133/$F$66</f>
        <v>0</v>
      </c>
      <c r="G133" s="15"/>
    </row>
    <row r="134" spans="1:7" x14ac:dyDescent="0.2">
      <c r="A134" s="1"/>
      <c r="B134" s="33"/>
      <c r="C134" s="81"/>
      <c r="G134" s="15"/>
    </row>
    <row r="135" spans="1:7" x14ac:dyDescent="0.2">
      <c r="A135" s="80" t="s">
        <v>23</v>
      </c>
      <c r="B135" s="34"/>
      <c r="C135" s="81"/>
      <c r="G135" s="15"/>
    </row>
    <row r="136" spans="1:7" x14ac:dyDescent="0.2">
      <c r="A136" s="1" t="s">
        <v>106</v>
      </c>
      <c r="B136" s="33">
        <f>F35</f>
        <v>481</v>
      </c>
      <c r="C136" s="81">
        <f t="shared" ref="C136:C144" si="6">B136/$F$66</f>
        <v>1.0072537963379645E-2</v>
      </c>
      <c r="G136" s="15"/>
    </row>
    <row r="137" spans="1:7" x14ac:dyDescent="0.2">
      <c r="A137" s="1" t="s">
        <v>661</v>
      </c>
      <c r="B137" s="33">
        <f>F36</f>
        <v>276</v>
      </c>
      <c r="C137" s="81">
        <f t="shared" si="6"/>
        <v>5.7796683532074468E-3</v>
      </c>
      <c r="G137" s="15"/>
    </row>
    <row r="138" spans="1:7" x14ac:dyDescent="0.2">
      <c r="A138" s="1" t="s">
        <v>24</v>
      </c>
      <c r="B138" s="431">
        <f>((C35*D35)+(C36*D36))*E43</f>
        <v>697</v>
      </c>
      <c r="C138" s="167">
        <f t="shared" si="6"/>
        <v>1.4595756674585472E-2</v>
      </c>
      <c r="G138" s="15"/>
    </row>
    <row r="139" spans="1:7" x14ac:dyDescent="0.2">
      <c r="A139" s="1"/>
      <c r="B139" s="162">
        <f>SUM(B136:B138)</f>
        <v>1454</v>
      </c>
      <c r="C139" s="81">
        <f t="shared" si="6"/>
        <v>3.0447962991172566E-2</v>
      </c>
      <c r="G139" s="15"/>
    </row>
    <row r="140" spans="1:7" x14ac:dyDescent="0.2">
      <c r="A140" s="1"/>
      <c r="B140" s="34"/>
      <c r="C140" s="81"/>
      <c r="G140" s="15"/>
    </row>
    <row r="141" spans="1:7" x14ac:dyDescent="0.2">
      <c r="A141" s="80" t="s">
        <v>28</v>
      </c>
      <c r="B141" s="34"/>
      <c r="C141" s="81"/>
      <c r="G141" s="15"/>
    </row>
    <row r="142" spans="1:7" x14ac:dyDescent="0.2">
      <c r="A142" s="21" t="s">
        <v>167</v>
      </c>
      <c r="B142" s="94">
        <f>F50</f>
        <v>1046.4000000000001</v>
      </c>
      <c r="C142" s="81">
        <f t="shared" si="6"/>
        <v>2.1912481756508236E-2</v>
      </c>
      <c r="G142" s="15"/>
    </row>
    <row r="143" spans="1:7" x14ac:dyDescent="0.2">
      <c r="A143" s="1"/>
      <c r="B143" s="1"/>
      <c r="C143" s="81"/>
      <c r="G143" s="15"/>
    </row>
    <row r="144" spans="1:7" x14ac:dyDescent="0.2">
      <c r="A144" s="80" t="s">
        <v>285</v>
      </c>
      <c r="B144" s="162">
        <f>B133+B139+B142</f>
        <v>2500.4</v>
      </c>
      <c r="C144" s="423">
        <f t="shared" si="6"/>
        <v>5.2360444747680798E-2</v>
      </c>
      <c r="G144" s="15"/>
    </row>
    <row r="145" spans="1:11" x14ac:dyDescent="0.2">
      <c r="A145" s="1" t="s">
        <v>282</v>
      </c>
      <c r="B145" s="33">
        <f>F66-B151</f>
        <v>45253.205074386809</v>
      </c>
      <c r="C145" s="81">
        <f>B145/$F$66</f>
        <v>0.94763955525231913</v>
      </c>
      <c r="G145" s="15"/>
    </row>
    <row r="146" spans="1:11" x14ac:dyDescent="0.2">
      <c r="A146" s="1"/>
      <c r="B146" s="1"/>
      <c r="C146" s="1"/>
      <c r="G146" s="15"/>
    </row>
    <row r="147" spans="1:11" ht="25.5" x14ac:dyDescent="0.2">
      <c r="A147" s="49" t="s">
        <v>281</v>
      </c>
      <c r="B147" s="213"/>
      <c r="C147" s="283" t="s">
        <v>289</v>
      </c>
      <c r="G147" s="15"/>
    </row>
    <row r="148" spans="1:11" x14ac:dyDescent="0.2">
      <c r="A148" s="1" t="s">
        <v>280</v>
      </c>
      <c r="B148" s="33">
        <f>B133</f>
        <v>0</v>
      </c>
      <c r="C148" s="81">
        <f>B148/$B$151</f>
        <v>0</v>
      </c>
      <c r="G148" s="15"/>
    </row>
    <row r="149" spans="1:11" x14ac:dyDescent="0.2">
      <c r="A149" s="1" t="s">
        <v>23</v>
      </c>
      <c r="B149" s="33">
        <f>B139</f>
        <v>1454</v>
      </c>
      <c r="C149" s="81">
        <f>B149/$B$151</f>
        <v>0.58150695888657811</v>
      </c>
      <c r="G149" s="15"/>
    </row>
    <row r="150" spans="1:11" x14ac:dyDescent="0.2">
      <c r="A150" s="166" t="s">
        <v>28</v>
      </c>
      <c r="B150" s="91">
        <f>B142</f>
        <v>1046.4000000000001</v>
      </c>
      <c r="C150" s="167">
        <f>B150/$B$151</f>
        <v>0.41849304111342189</v>
      </c>
      <c r="G150" s="15"/>
    </row>
    <row r="151" spans="1:11" s="211" customFormat="1" ht="28.5" customHeight="1" x14ac:dyDescent="0.2">
      <c r="A151" s="432" t="s">
        <v>283</v>
      </c>
      <c r="B151" s="218">
        <f>SUM(B148:B150)</f>
        <v>2500.4</v>
      </c>
      <c r="C151" s="81">
        <f>B151/$B$151</f>
        <v>1</v>
      </c>
      <c r="G151" s="289"/>
      <c r="J151" s="213"/>
      <c r="K151" s="214"/>
    </row>
    <row r="152" spans="1:11" x14ac:dyDescent="0.2">
      <c r="G152" s="15"/>
    </row>
    <row r="153" spans="1:11" x14ac:dyDescent="0.2">
      <c r="G153" s="15"/>
    </row>
    <row r="154" spans="1:11" ht="18" x14ac:dyDescent="0.25">
      <c r="A154" s="420" t="s">
        <v>343</v>
      </c>
      <c r="B154" s="341"/>
      <c r="C154" s="341"/>
      <c r="D154" s="1"/>
      <c r="E154" s="1"/>
      <c r="F154" s="219"/>
      <c r="G154" s="21"/>
    </row>
    <row r="155" spans="1:11" x14ac:dyDescent="0.2">
      <c r="B155" s="213" t="s">
        <v>75</v>
      </c>
      <c r="C155" s="212" t="s">
        <v>225</v>
      </c>
      <c r="G155" s="15"/>
    </row>
    <row r="156" spans="1:11" x14ac:dyDescent="0.2">
      <c r="A156" t="s">
        <v>23</v>
      </c>
      <c r="G156" s="15"/>
    </row>
    <row r="157" spans="1:11" x14ac:dyDescent="0.2">
      <c r="A157" s="85" t="str">
        <f>B38</f>
        <v>Pneuwagen 2achsig (Ernte)</v>
      </c>
      <c r="B157" s="33">
        <f>F38</f>
        <v>1562.5</v>
      </c>
      <c r="C157" s="277">
        <f>B157/$F$66</f>
        <v>3.2720042760458826E-2</v>
      </c>
      <c r="G157" s="15"/>
    </row>
    <row r="158" spans="1:11" x14ac:dyDescent="0.2">
      <c r="A158" s="85" t="s">
        <v>24</v>
      </c>
      <c r="B158" s="130">
        <f>D38*E43</f>
        <v>2562.5</v>
      </c>
      <c r="C158" s="277">
        <f t="shared" ref="C158:C163" si="7">B158/$F$66</f>
        <v>5.3660870127152475E-2</v>
      </c>
      <c r="G158" s="15"/>
    </row>
    <row r="159" spans="1:11" x14ac:dyDescent="0.2">
      <c r="A159" s="1" t="s">
        <v>28</v>
      </c>
      <c r="B159" s="34"/>
      <c r="C159" s="277"/>
      <c r="G159" s="15"/>
    </row>
    <row r="160" spans="1:11" x14ac:dyDescent="0.2">
      <c r="A160" s="154" t="str">
        <f>B59</f>
        <v>Ernte inkl. Sortieren</v>
      </c>
      <c r="B160" s="46">
        <f>F59</f>
        <v>14137.5</v>
      </c>
      <c r="C160" s="277">
        <f t="shared" si="7"/>
        <v>0.29605094689663147</v>
      </c>
      <c r="G160" s="15"/>
    </row>
    <row r="161" spans="1:7" x14ac:dyDescent="0.2">
      <c r="A161" s="279"/>
      <c r="B161" s="30"/>
      <c r="C161" s="278"/>
      <c r="G161" s="15"/>
    </row>
    <row r="162" spans="1:7" x14ac:dyDescent="0.2">
      <c r="A162" s="49" t="s">
        <v>286</v>
      </c>
      <c r="B162" s="178">
        <f>B157+B158+B160</f>
        <v>18262.5</v>
      </c>
      <c r="C162" s="277">
        <f t="shared" si="7"/>
        <v>0.38243185978424277</v>
      </c>
      <c r="G162" s="15"/>
    </row>
    <row r="163" spans="1:7" x14ac:dyDescent="0.2">
      <c r="A163" t="s">
        <v>282</v>
      </c>
      <c r="B163" s="24">
        <f>F66-B162</f>
        <v>29491.105074386811</v>
      </c>
      <c r="C163" s="277">
        <f t="shared" si="7"/>
        <v>0.61756814021575723</v>
      </c>
      <c r="G163" s="15"/>
    </row>
    <row r="164" spans="1:7" x14ac:dyDescent="0.2">
      <c r="G164" s="15"/>
    </row>
    <row r="165" spans="1:7" x14ac:dyDescent="0.2">
      <c r="A165" s="49" t="s">
        <v>281</v>
      </c>
      <c r="B165" s="213"/>
      <c r="C165" s="212" t="s">
        <v>291</v>
      </c>
      <c r="G165" s="15"/>
    </row>
    <row r="166" spans="1:7" x14ac:dyDescent="0.2">
      <c r="A166" s="1" t="s">
        <v>23</v>
      </c>
      <c r="B166" s="33">
        <f>B157+B158</f>
        <v>4125</v>
      </c>
      <c r="C166" s="277">
        <f>B166/$B$168</f>
        <v>0.22587268993839835</v>
      </c>
      <c r="G166" s="15"/>
    </row>
    <row r="167" spans="1:7" x14ac:dyDescent="0.2">
      <c r="A167" s="166" t="s">
        <v>28</v>
      </c>
      <c r="B167" s="91">
        <f>B160</f>
        <v>14137.5</v>
      </c>
      <c r="C167" s="278">
        <f>B167/$B$168</f>
        <v>0.77412731006160163</v>
      </c>
      <c r="G167" s="15"/>
    </row>
    <row r="168" spans="1:7" x14ac:dyDescent="0.2">
      <c r="A168" t="s">
        <v>286</v>
      </c>
      <c r="B168" s="178">
        <f>SUM(B166:B167)</f>
        <v>18262.5</v>
      </c>
      <c r="C168" s="277">
        <f>B168/$B$168</f>
        <v>1</v>
      </c>
      <c r="G168" s="15"/>
    </row>
    <row r="169" spans="1:7" x14ac:dyDescent="0.2">
      <c r="B169" s="24"/>
      <c r="C169" s="277"/>
      <c r="G169" s="15"/>
    </row>
    <row r="170" spans="1:7" x14ac:dyDescent="0.2">
      <c r="G170" s="15"/>
    </row>
    <row r="171" spans="1:7" x14ac:dyDescent="0.2">
      <c r="G171" s="15"/>
    </row>
    <row r="172" spans="1:7" x14ac:dyDescent="0.2">
      <c r="G172" s="15"/>
    </row>
    <row r="173" spans="1:7" x14ac:dyDescent="0.2">
      <c r="G173" s="15"/>
    </row>
    <row r="174" spans="1:7" x14ac:dyDescent="0.2">
      <c r="G174" s="15"/>
    </row>
    <row r="175" spans="1:7" x14ac:dyDescent="0.2">
      <c r="G175" s="15"/>
    </row>
  </sheetData>
  <mergeCells count="2">
    <mergeCell ref="B75:E75"/>
    <mergeCell ref="A85:F85"/>
  </mergeCells>
  <phoneticPr fontId="23" type="noConversion"/>
  <printOptions gridLines="1" gridLinesSet="0"/>
  <pageMargins left="0.59055118110236227" right="0.39370078740157483" top="0.59055118110236227" bottom="0.39370078740157483" header="0.51181102362204722" footer="0.51181102362204722"/>
  <pageSetup paperSize="9" scale="63" orientation="portrait" r:id="rId1"/>
  <headerFooter alignWithMargins="0">
    <oddFooter>&amp;L&amp;6Arbokost Zwetschgen 2005&amp;C&amp;6&amp;A  &amp;D&amp;R&amp;6Matthias Zürcher, Yvonne Leuenberger</oddFooter>
  </headerFooter>
  <rowBreaks count="1" manualBreakCount="1">
    <brk id="81" max="11" man="1"/>
  </rowBreaks>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tandardCashflow">
    <tabColor indexed="18"/>
  </sheetPr>
  <dimension ref="A1:L53"/>
  <sheetViews>
    <sheetView zoomScale="75" workbookViewId="0">
      <selection activeCell="N17" sqref="N17"/>
    </sheetView>
  </sheetViews>
  <sheetFormatPr baseColWidth="10" defaultRowHeight="12.75" x14ac:dyDescent="0.2"/>
  <cols>
    <col min="1" max="1" width="33.7109375" customWidth="1"/>
    <col min="2" max="2" width="13.42578125" customWidth="1"/>
    <col min="3" max="3" width="22.28515625" customWidth="1"/>
    <col min="4" max="4" width="19.42578125" customWidth="1"/>
    <col min="5" max="5" width="22" customWidth="1"/>
    <col min="6" max="6" width="17.42578125" customWidth="1"/>
    <col min="7" max="7" width="18.5703125" customWidth="1"/>
    <col min="11" max="11" width="14.7109375" customWidth="1"/>
  </cols>
  <sheetData>
    <row r="1" spans="1:10" ht="30.75" customHeight="1" x14ac:dyDescent="0.4">
      <c r="A1" s="199" t="str">
        <f>'Standard Vorgaben'!$A$1</f>
        <v>Arbokost 2023</v>
      </c>
      <c r="B1" s="606"/>
      <c r="C1" s="607" t="str">
        <f>'Standard Erstellung'!$B$1</f>
        <v>Tafelzwetschge</v>
      </c>
      <c r="D1" s="608"/>
      <c r="E1" s="609"/>
      <c r="F1" s="610"/>
      <c r="G1" s="611"/>
      <c r="H1" s="611"/>
    </row>
    <row r="2" spans="1:10" s="1" customFormat="1" ht="18" x14ac:dyDescent="0.25">
      <c r="A2" s="189" t="str">
        <f>'Standard Vorgaben'!$A$2</f>
        <v>Standard 1ha</v>
      </c>
      <c r="B2" s="612"/>
      <c r="C2" s="613">
        <f>'Standard Erstellung'!$B$2</f>
        <v>1125</v>
      </c>
      <c r="D2" s="612"/>
      <c r="E2" s="612"/>
      <c r="F2" s="611"/>
      <c r="G2" s="611"/>
      <c r="H2" s="611"/>
    </row>
    <row r="3" spans="1:10" s="1" customFormat="1" ht="18" x14ac:dyDescent="0.25">
      <c r="A3" s="603"/>
      <c r="B3" s="612"/>
      <c r="C3" s="613"/>
      <c r="D3" s="612"/>
      <c r="E3" s="612"/>
      <c r="F3" s="611"/>
      <c r="G3" s="611"/>
      <c r="H3" s="611"/>
    </row>
    <row r="4" spans="1:10" s="1" customFormat="1" ht="21.75" customHeight="1" x14ac:dyDescent="0.3">
      <c r="A4" s="604" t="s">
        <v>327</v>
      </c>
      <c r="B4" s="604"/>
      <c r="C4" s="605"/>
      <c r="D4" s="605"/>
      <c r="E4" s="200"/>
      <c r="F4" s="200"/>
      <c r="G4" s="200"/>
      <c r="H4" s="200"/>
      <c r="I4" s="200"/>
      <c r="J4" s="200"/>
    </row>
    <row r="5" spans="1:10" s="1" customFormat="1" ht="15" customHeight="1" x14ac:dyDescent="0.3">
      <c r="A5" s="104"/>
      <c r="B5" s="56"/>
      <c r="G5" s="105"/>
    </row>
    <row r="6" spans="1:10" s="1" customFormat="1" ht="20.25" x14ac:dyDescent="0.3">
      <c r="A6" s="104"/>
      <c r="B6" s="56"/>
      <c r="G6" s="105"/>
    </row>
    <row r="7" spans="1:10" s="1" customFormat="1" ht="20.25" x14ac:dyDescent="0.3">
      <c r="A7" s="104"/>
      <c r="B7" s="56"/>
      <c r="G7" s="105"/>
    </row>
    <row r="8" spans="1:10" s="1" customFormat="1" ht="20.25" x14ac:dyDescent="0.3">
      <c r="A8" s="104"/>
      <c r="B8" s="56"/>
      <c r="G8" s="105"/>
    </row>
    <row r="9" spans="1:10" s="1" customFormat="1" ht="20.25" x14ac:dyDescent="0.3">
      <c r="A9" s="104"/>
      <c r="B9" s="56"/>
      <c r="G9" s="105"/>
    </row>
    <row r="10" spans="1:10" s="1" customFormat="1" ht="20.25" x14ac:dyDescent="0.3">
      <c r="A10" s="104"/>
      <c r="B10" s="56"/>
      <c r="G10" s="105"/>
    </row>
    <row r="11" spans="1:10" s="1" customFormat="1" ht="20.25" x14ac:dyDescent="0.3">
      <c r="A11" s="104"/>
      <c r="B11" s="56"/>
      <c r="G11" s="105"/>
    </row>
    <row r="12" spans="1:10" s="1" customFormat="1" ht="20.25" x14ac:dyDescent="0.3">
      <c r="A12" s="104"/>
      <c r="B12" s="56"/>
      <c r="G12" s="105"/>
    </row>
    <row r="13" spans="1:10" s="1" customFormat="1" ht="20.25" x14ac:dyDescent="0.3">
      <c r="A13" s="104"/>
      <c r="B13" s="56"/>
      <c r="G13" s="105"/>
    </row>
    <row r="14" spans="1:10" s="1" customFormat="1" ht="20.25" x14ac:dyDescent="0.3">
      <c r="A14" s="104"/>
      <c r="B14" s="56"/>
      <c r="G14" s="105"/>
    </row>
    <row r="15" spans="1:10" s="1" customFormat="1" ht="20.25" x14ac:dyDescent="0.3">
      <c r="A15" s="104"/>
      <c r="B15" s="56"/>
      <c r="G15" s="105"/>
    </row>
    <row r="16" spans="1:10" s="1" customFormat="1" ht="20.25" x14ac:dyDescent="0.3">
      <c r="A16" s="104"/>
      <c r="B16" s="56"/>
      <c r="G16" s="105"/>
    </row>
    <row r="17" spans="1:12" s="1" customFormat="1" ht="20.25" x14ac:dyDescent="0.3">
      <c r="A17" s="56"/>
      <c r="B17" s="56"/>
      <c r="G17" s="105"/>
    </row>
    <row r="18" spans="1:12" ht="20.25" x14ac:dyDescent="0.3">
      <c r="A18" s="55"/>
      <c r="B18" s="55"/>
      <c r="G18" s="63"/>
    </row>
    <row r="19" spans="1:12" ht="20.25" x14ac:dyDescent="0.3">
      <c r="A19" s="55"/>
      <c r="B19" s="55"/>
      <c r="G19" s="63"/>
    </row>
    <row r="20" spans="1:12" ht="146.25" customHeight="1" x14ac:dyDescent="0.3">
      <c r="A20" s="55"/>
      <c r="B20" s="55"/>
      <c r="E20" s="15"/>
      <c r="F20" s="15"/>
      <c r="G20" s="874"/>
    </row>
    <row r="21" spans="1:12" x14ac:dyDescent="0.2">
      <c r="A21" s="3" t="s">
        <v>39</v>
      </c>
      <c r="B21" s="3"/>
      <c r="C21" s="1"/>
      <c r="E21" s="682"/>
      <c r="F21" s="682"/>
      <c r="G21" s="11"/>
    </row>
    <row r="22" spans="1:12" ht="18.75" x14ac:dyDescent="0.3">
      <c r="A22" s="3" t="s">
        <v>40</v>
      </c>
      <c r="B22" s="435">
        <f>'Standard Erstellung'!$B$2</f>
        <v>1125</v>
      </c>
      <c r="C22" s="1"/>
      <c r="E22" s="48"/>
      <c r="F22" s="48"/>
      <c r="G22" s="48"/>
    </row>
    <row r="23" spans="1:12" ht="31.5" x14ac:dyDescent="0.25">
      <c r="A23" s="823"/>
      <c r="B23" s="824"/>
      <c r="C23" s="825" t="s">
        <v>328</v>
      </c>
      <c r="D23" s="824"/>
      <c r="E23" s="824"/>
      <c r="F23" s="824"/>
      <c r="G23" s="824"/>
      <c r="H23" s="824"/>
      <c r="I23" s="824"/>
      <c r="J23" s="826"/>
    </row>
    <row r="24" spans="1:12" ht="15" x14ac:dyDescent="0.25">
      <c r="A24" s="827"/>
      <c r="B24" s="828"/>
      <c r="C24" s="829" t="s">
        <v>75</v>
      </c>
      <c r="D24" s="830" t="s">
        <v>277</v>
      </c>
      <c r="E24" s="830" t="s">
        <v>278</v>
      </c>
      <c r="F24" s="830" t="s">
        <v>329</v>
      </c>
      <c r="G24" s="830" t="s">
        <v>193</v>
      </c>
      <c r="H24" s="830" t="s">
        <v>57</v>
      </c>
      <c r="I24" s="830" t="s">
        <v>76</v>
      </c>
      <c r="J24" s="831" t="s">
        <v>71</v>
      </c>
    </row>
    <row r="25" spans="1:12" ht="15" x14ac:dyDescent="0.25">
      <c r="A25" s="832" t="s">
        <v>77</v>
      </c>
      <c r="B25" s="748">
        <v>0</v>
      </c>
      <c r="C25" s="833">
        <f>'Standard 1.-16. Standjahr'!F72</f>
        <v>-63543.933666666664</v>
      </c>
      <c r="D25" s="834">
        <v>0</v>
      </c>
      <c r="E25" s="834">
        <f>C25*(-1)</f>
        <v>63543.933666666664</v>
      </c>
      <c r="F25" s="834">
        <f>D25-E25</f>
        <v>-63543.933666666664</v>
      </c>
      <c r="G25" s="835">
        <f>D25/E25</f>
        <v>0</v>
      </c>
      <c r="H25" s="834"/>
      <c r="I25" s="834"/>
      <c r="J25" s="836">
        <f>('Standard 1.-16. Standjahr'!F72)*(-1)</f>
        <v>63543.933666666664</v>
      </c>
      <c r="K25" s="7"/>
      <c r="L25" s="7"/>
    </row>
    <row r="26" spans="1:12" ht="15" x14ac:dyDescent="0.25">
      <c r="A26" s="832" t="s">
        <v>78</v>
      </c>
      <c r="B26" s="748">
        <v>1</v>
      </c>
      <c r="C26" s="833">
        <f>'Standard 1.-16. Standjahr'!F73</f>
        <v>-71905.145969933335</v>
      </c>
      <c r="D26" s="834">
        <f>'Standard 1.-16. Standjahr'!F12</f>
        <v>1100</v>
      </c>
      <c r="E26" s="834">
        <f>'Standard 1.-16. Standjahr'!F69</f>
        <v>9461.2123032666677</v>
      </c>
      <c r="F26" s="834">
        <f t="shared" ref="F26:F41" si="0">D26-E26</f>
        <v>-8361.2123032666677</v>
      </c>
      <c r="G26" s="835">
        <f t="shared" ref="G26:G41" si="1">D26/E26</f>
        <v>0.11626417046155951</v>
      </c>
      <c r="H26" s="837">
        <f>'Standard 1.-16. Standjahr'!D10</f>
        <v>0</v>
      </c>
      <c r="I26" s="838">
        <f>H26/B22</f>
        <v>0</v>
      </c>
      <c r="J26" s="839">
        <f>'Standard 1.-16. Standjahr'!F74</f>
        <v>71905.145969933335</v>
      </c>
      <c r="K26" s="8"/>
      <c r="L26" s="6"/>
    </row>
    <row r="27" spans="1:12" ht="15" x14ac:dyDescent="0.25">
      <c r="A27" s="832" t="s">
        <v>42</v>
      </c>
      <c r="B27" s="748">
        <v>2</v>
      </c>
      <c r="C27" s="833">
        <f>'Standard 1.-16. Standjahr'!M73</f>
        <v>-77931.559183929407</v>
      </c>
      <c r="D27" s="834">
        <f>'Standard 1.-16. Standjahr'!M12</f>
        <v>7724</v>
      </c>
      <c r="E27" s="834">
        <f>'Standard 1.-16. Standjahr'!M69</f>
        <v>13750.413213996067</v>
      </c>
      <c r="F27" s="834">
        <f t="shared" si="0"/>
        <v>-6026.4132139960675</v>
      </c>
      <c r="G27" s="835">
        <f t="shared" si="1"/>
        <v>0.56172857351937677</v>
      </c>
      <c r="H27" s="837">
        <f>'Standard 1.-16. Standjahr'!K10</f>
        <v>4000</v>
      </c>
      <c r="I27" s="838">
        <f>H27/B22</f>
        <v>3.5555555555555554</v>
      </c>
      <c r="J27" s="839">
        <f>'Standard 1.-16. Standjahr'!M74</f>
        <v>77931.559183929407</v>
      </c>
      <c r="K27" s="8"/>
      <c r="L27" s="6"/>
    </row>
    <row r="28" spans="1:12" ht="15" x14ac:dyDescent="0.25">
      <c r="A28" s="832" t="s">
        <v>43</v>
      </c>
      <c r="B28" s="840">
        <v>3</v>
      </c>
      <c r="C28" s="833">
        <f>'Standard 1.-16. Standjahr'!T73</f>
        <v>-87214.56011685144</v>
      </c>
      <c r="D28" s="834">
        <f>'Standard 1.-16. Standjahr'!T12</f>
        <v>11036</v>
      </c>
      <c r="E28" s="834">
        <f>'Standard 1.-16. Standjahr'!T69</f>
        <v>20319.000932922034</v>
      </c>
      <c r="F28" s="834">
        <f t="shared" si="0"/>
        <v>-9283.0009329220338</v>
      </c>
      <c r="G28" s="835">
        <f t="shared" si="1"/>
        <v>0.54313694046437233</v>
      </c>
      <c r="H28" s="837">
        <f>'Standard 1.-16. Standjahr'!R10</f>
        <v>6000</v>
      </c>
      <c r="I28" s="838">
        <f>H28/B22</f>
        <v>5.333333333333333</v>
      </c>
      <c r="J28" s="839">
        <f>'Standard 1.-16. Standjahr'!T74</f>
        <v>87214.56011685144</v>
      </c>
      <c r="K28" s="8"/>
      <c r="L28" s="6"/>
    </row>
    <row r="29" spans="1:12" ht="15" x14ac:dyDescent="0.25">
      <c r="A29" s="841" t="s">
        <v>44</v>
      </c>
      <c r="B29" s="840">
        <v>4</v>
      </c>
      <c r="C29" s="833">
        <f>'Standard 1.-16. Standjahr'!AA73</f>
        <v>-93729.108058169775</v>
      </c>
      <c r="D29" s="842">
        <f>'Standard 1.-16. Standjahr'!AA12</f>
        <v>17660</v>
      </c>
      <c r="E29" s="842">
        <f>'Standard 1.-16. Standjahr'!AA69</f>
        <v>24174.547941318328</v>
      </c>
      <c r="F29" s="842">
        <f t="shared" si="0"/>
        <v>-6514.5479413183275</v>
      </c>
      <c r="G29" s="843">
        <f t="shared" si="1"/>
        <v>0.73052038213364556</v>
      </c>
      <c r="H29" s="844">
        <f>'Standard 1.-16. Standjahr'!Y10</f>
        <v>10000</v>
      </c>
      <c r="I29" s="845">
        <f>H29/B22</f>
        <v>8.8888888888888893</v>
      </c>
      <c r="J29" s="846">
        <f>'Standard 1.-16. Standjahr'!AA74</f>
        <v>93729.108058169775</v>
      </c>
      <c r="K29" s="8"/>
      <c r="L29" s="6"/>
    </row>
    <row r="30" spans="1:12" ht="15" x14ac:dyDescent="0.25">
      <c r="A30" s="832" t="s">
        <v>45</v>
      </c>
      <c r="B30" s="748">
        <v>5</v>
      </c>
      <c r="C30" s="833">
        <f>'Standard 1.-16. Standjahr'!AH73</f>
        <v>-97715.936930959972</v>
      </c>
      <c r="D30" s="834">
        <f>'Standard 1.-16. Standjahr'!AH12</f>
        <v>30908</v>
      </c>
      <c r="E30" s="834">
        <f>'Standard 1.-16. Standjahr'!AH69</f>
        <v>34894.828872790196</v>
      </c>
      <c r="F30" s="834">
        <f t="shared" si="0"/>
        <v>-3986.8288727901963</v>
      </c>
      <c r="G30" s="835">
        <f t="shared" si="1"/>
        <v>0.88574728687381554</v>
      </c>
      <c r="H30" s="837">
        <f>'Standard 1.-16. Standjahr'!AF10</f>
        <v>18000</v>
      </c>
      <c r="I30" s="838">
        <f>H30/B22</f>
        <v>16</v>
      </c>
      <c r="J30" s="839">
        <f>'Standard 1.-16. Standjahr'!AH74</f>
        <v>87034.171768300512</v>
      </c>
      <c r="K30" s="8"/>
      <c r="L30" s="6"/>
    </row>
    <row r="31" spans="1:12" ht="15" x14ac:dyDescent="0.25">
      <c r="A31" s="832" t="s">
        <v>46</v>
      </c>
      <c r="B31" s="748">
        <v>6</v>
      </c>
      <c r="C31" s="833">
        <f>'Standard 1.-16. Standjahr'!AO73</f>
        <v>-98576.647263605264</v>
      </c>
      <c r="D31" s="834">
        <f>'Standard 1.-16. Standjahr'!AO12</f>
        <v>37532</v>
      </c>
      <c r="E31" s="834">
        <f>'Standard 1.-16. Standjahr'!AO69</f>
        <v>38392.710332645307</v>
      </c>
      <c r="F31" s="834">
        <f t="shared" si="0"/>
        <v>-860.71033264530706</v>
      </c>
      <c r="G31" s="835">
        <f t="shared" si="1"/>
        <v>0.97758141258619491</v>
      </c>
      <c r="H31" s="837">
        <f>'Standard 1.-16. Standjahr'!AM10</f>
        <v>22000</v>
      </c>
      <c r="I31" s="838">
        <f>H31/B22</f>
        <v>19.555555555555557</v>
      </c>
      <c r="J31" s="839">
        <f>'Standard 1.-16. Standjahr'!AO74</f>
        <v>80339.235478431248</v>
      </c>
      <c r="K31" s="8"/>
      <c r="L31" s="6"/>
    </row>
    <row r="32" spans="1:12" ht="15" x14ac:dyDescent="0.25">
      <c r="A32" s="832" t="s">
        <v>47</v>
      </c>
      <c r="B32" s="748">
        <v>7</v>
      </c>
      <c r="C32" s="833">
        <f>'Standard 1.-16. Standjahr'!AV73</f>
        <v>-96283.103989244381</v>
      </c>
      <c r="D32" s="834">
        <f>'Standard 1.-16. Standjahr'!AV12</f>
        <v>44156</v>
      </c>
      <c r="E32" s="834">
        <f>'Standard 1.-16. Standjahr'!AV69</f>
        <v>41862.456725639116</v>
      </c>
      <c r="F32" s="834">
        <f t="shared" si="0"/>
        <v>2293.5432743608835</v>
      </c>
      <c r="G32" s="835">
        <f t="shared" si="1"/>
        <v>1.0547875937953775</v>
      </c>
      <c r="H32" s="837">
        <f>'Standard 1.-16. Standjahr'!AT10</f>
        <v>26000</v>
      </c>
      <c r="I32" s="838">
        <f>H32/B22</f>
        <v>23.111111111111111</v>
      </c>
      <c r="J32" s="839">
        <f>'Standard 1.-16. Standjahr'!AV74</f>
        <v>73644.299188561985</v>
      </c>
      <c r="K32" s="8"/>
      <c r="L32" s="6"/>
    </row>
    <row r="33" spans="1:12" ht="15" x14ac:dyDescent="0.25">
      <c r="A33" s="832" t="s">
        <v>48</v>
      </c>
      <c r="B33" s="748">
        <v>8</v>
      </c>
      <c r="C33" s="833">
        <f>'Standard 1.-16. Standjahr'!BC73</f>
        <v>-93968.918825414265</v>
      </c>
      <c r="D33" s="834">
        <f>'Standard 1.-16. Standjahr'!BC12</f>
        <v>44156</v>
      </c>
      <c r="E33" s="834">
        <f>'Standard 1.-16. Standjahr'!BC69</f>
        <v>41841.81483616987</v>
      </c>
      <c r="F33" s="834">
        <f t="shared" si="0"/>
        <v>2314.1851638301305</v>
      </c>
      <c r="G33" s="835">
        <f t="shared" si="1"/>
        <v>1.055307953846917</v>
      </c>
      <c r="H33" s="837">
        <f>'Standard 1.-16. Standjahr'!BA10</f>
        <v>26000</v>
      </c>
      <c r="I33" s="838">
        <f>H33/B22</f>
        <v>23.111111111111111</v>
      </c>
      <c r="J33" s="839">
        <f>'Standard 1.-16. Standjahr'!BC74</f>
        <v>66949.362898692722</v>
      </c>
      <c r="K33" s="8"/>
      <c r="L33" s="6"/>
    </row>
    <row r="34" spans="1:12" ht="15" x14ac:dyDescent="0.25">
      <c r="A34" s="832" t="s">
        <v>49</v>
      </c>
      <c r="B34" s="748">
        <v>9</v>
      </c>
      <c r="C34" s="833">
        <f>'Standard 1.-16. Standjahr'!BJ73</f>
        <v>-91633.905995109642</v>
      </c>
      <c r="D34" s="834">
        <f>'Standard 1.-16. Standjahr'!BJ12</f>
        <v>44156</v>
      </c>
      <c r="E34" s="834">
        <f>'Standard 1.-16. Standjahr'!BJ69</f>
        <v>41820.987169695392</v>
      </c>
      <c r="F34" s="834">
        <f t="shared" si="0"/>
        <v>2335.0128303046076</v>
      </c>
      <c r="G34" s="835">
        <f t="shared" si="1"/>
        <v>1.055833517770155</v>
      </c>
      <c r="H34" s="837">
        <f>'Standard 1.-16. Standjahr'!BH10</f>
        <v>26000</v>
      </c>
      <c r="I34" s="838">
        <f>H34/B22</f>
        <v>23.111111111111111</v>
      </c>
      <c r="J34" s="839">
        <f>'Standard 1.-16. Standjahr'!BJ74</f>
        <v>60254.426608823451</v>
      </c>
      <c r="K34" s="8"/>
      <c r="L34" s="6"/>
    </row>
    <row r="35" spans="1:12" ht="15" x14ac:dyDescent="0.25">
      <c r="A35" s="832" t="s">
        <v>50</v>
      </c>
      <c r="B35" s="748">
        <v>10</v>
      </c>
      <c r="C35" s="833">
        <f>'Standard 1.-16. Standjahr'!BQ73</f>
        <v>-89277.878049332299</v>
      </c>
      <c r="D35" s="834">
        <f>'Standard 1.-16. Standjahr'!BQ12</f>
        <v>44156</v>
      </c>
      <c r="E35" s="834">
        <f>'Standard 1.-16. Standjahr'!BQ69</f>
        <v>41799.972054222657</v>
      </c>
      <c r="F35" s="834">
        <f t="shared" si="0"/>
        <v>2356.0279457773431</v>
      </c>
      <c r="G35" s="835">
        <f t="shared" si="1"/>
        <v>1.0563643426058065</v>
      </c>
      <c r="H35" s="837">
        <f>'Standard 1.-16. Standjahr'!BO10</f>
        <v>26000</v>
      </c>
      <c r="I35" s="838">
        <f>H35/B22</f>
        <v>23.111111111111111</v>
      </c>
      <c r="J35" s="839">
        <f>'Standard 1.-16. Standjahr'!BQ74</f>
        <v>53559.49031895418</v>
      </c>
      <c r="K35" s="8"/>
      <c r="L35" s="6"/>
    </row>
    <row r="36" spans="1:12" ht="15" x14ac:dyDescent="0.25">
      <c r="A36" s="832" t="s">
        <v>51</v>
      </c>
      <c r="B36" s="748">
        <v>11</v>
      </c>
      <c r="C36" s="833">
        <f>'Standard 1.-16. Standjahr'!BX73</f>
        <v>-86900.645852042959</v>
      </c>
      <c r="D36" s="834">
        <f>'Standard 1.-16. Standjahr'!BX12</f>
        <v>44156</v>
      </c>
      <c r="E36" s="834">
        <f>'Standard 1.-16. Standjahr'!BX69</f>
        <v>41778.767802710659</v>
      </c>
      <c r="F36" s="834">
        <f t="shared" si="0"/>
        <v>2377.2321972893405</v>
      </c>
      <c r="G36" s="835">
        <f t="shared" si="1"/>
        <v>1.0569004861157036</v>
      </c>
      <c r="H36" s="837">
        <f>'Standard 1.-16. Standjahr'!BV10</f>
        <v>26000</v>
      </c>
      <c r="I36" s="838">
        <f>H36/B22</f>
        <v>23.111111111111111</v>
      </c>
      <c r="J36" s="839">
        <f>'Standard 1.-16. Standjahr'!BX74</f>
        <v>46864.554029084909</v>
      </c>
      <c r="K36" s="8"/>
      <c r="L36" s="6"/>
    </row>
    <row r="37" spans="1:12" ht="15" x14ac:dyDescent="0.25">
      <c r="A37" s="832" t="s">
        <v>52</v>
      </c>
      <c r="B37" s="748">
        <v>12</v>
      </c>
      <c r="C37" s="833">
        <f>'Standard 1.-16. Standjahr'!CE73</f>
        <v>-84502.018564978003</v>
      </c>
      <c r="D37" s="834">
        <f>'Standard 1.-16. Standjahr'!CE12</f>
        <v>44156</v>
      </c>
      <c r="E37" s="834">
        <f>'Standard 1.-16. Standjahr'!CE69</f>
        <v>41757.372712935052</v>
      </c>
      <c r="F37" s="834">
        <f t="shared" si="0"/>
        <v>2398.6272870649482</v>
      </c>
      <c r="G37" s="835">
        <f t="shared" si="1"/>
        <v>1.0574420067937351</v>
      </c>
      <c r="H37" s="837">
        <f>'Standard 1.-16. Standjahr'!CC10</f>
        <v>26000</v>
      </c>
      <c r="I37" s="838">
        <f>H37/B22</f>
        <v>23.111111111111111</v>
      </c>
      <c r="J37" s="839">
        <f>'Standard 1.-16. Standjahr'!CE74</f>
        <v>40169.617739215639</v>
      </c>
      <c r="K37" s="8"/>
      <c r="L37" s="6"/>
    </row>
    <row r="38" spans="1:12" ht="15" x14ac:dyDescent="0.25">
      <c r="A38" s="832" t="s">
        <v>53</v>
      </c>
      <c r="B38" s="840">
        <v>13</v>
      </c>
      <c r="C38" s="833">
        <f>'Standard 1.-16. Standjahr'!CL73</f>
        <v>-82081.80363232948</v>
      </c>
      <c r="D38" s="834">
        <f>'Standard 1.-16. Standjahr'!CL12</f>
        <v>44156</v>
      </c>
      <c r="E38" s="834">
        <f>'Standard 1.-16. Standjahr'!CL69</f>
        <v>41735.785067351469</v>
      </c>
      <c r="F38" s="834">
        <f t="shared" si="0"/>
        <v>2420.2149326485305</v>
      </c>
      <c r="G38" s="835">
        <f t="shared" si="1"/>
        <v>1.0579889638769917</v>
      </c>
      <c r="H38" s="837">
        <f>'Standard 1.-16. Standjahr'!CJ10</f>
        <v>26000</v>
      </c>
      <c r="I38" s="838">
        <f>H38/B22</f>
        <v>23.111111111111111</v>
      </c>
      <c r="J38" s="839">
        <f>'Standard 1.-16. Standjahr'!CL74</f>
        <v>33474.681449346368</v>
      </c>
      <c r="K38" s="8"/>
      <c r="L38" s="6"/>
    </row>
    <row r="39" spans="1:12" ht="15" x14ac:dyDescent="0.25">
      <c r="A39" s="832" t="s">
        <v>54</v>
      </c>
      <c r="B39" s="748">
        <v>14</v>
      </c>
      <c r="C39" s="833">
        <f>'Standard 1.-16. Standjahr'!CS73</f>
        <v>-79639.80676528711</v>
      </c>
      <c r="D39" s="834">
        <f>'Standard 1.-16. Standjahr'!CS12</f>
        <v>44156</v>
      </c>
      <c r="E39" s="834">
        <f>'Standard 1.-16. Standjahr'!CS69</f>
        <v>41714.00313295763</v>
      </c>
      <c r="F39" s="834">
        <f t="shared" si="0"/>
        <v>2441.9968670423696</v>
      </c>
      <c r="G39" s="835">
        <f t="shared" si="1"/>
        <v>1.0585414173571124</v>
      </c>
      <c r="H39" s="837">
        <f>'Standard 1.-16. Standjahr'!CQ10</f>
        <v>26000</v>
      </c>
      <c r="I39" s="838">
        <f>H39/B22</f>
        <v>23.111111111111111</v>
      </c>
      <c r="J39" s="839">
        <f>'Standard 1.-16. Standjahr'!CS74</f>
        <v>26779.745159477097</v>
      </c>
      <c r="K39" s="8"/>
      <c r="L39" s="6"/>
    </row>
    <row r="40" spans="1:12" ht="15" x14ac:dyDescent="0.25">
      <c r="A40" s="832" t="s">
        <v>55</v>
      </c>
      <c r="B40" s="748">
        <v>15</v>
      </c>
      <c r="C40" s="833">
        <f>'Standard 1.-16. Standjahr'!CZ73</f>
        <v>-77175.831926441359</v>
      </c>
      <c r="D40" s="834">
        <f>'Standard 1.-16. Standjahr'!CZ12</f>
        <v>44156</v>
      </c>
      <c r="E40" s="834">
        <f>'Standard 1.-16. Standjahr'!CZ69</f>
        <v>41692.025161154248</v>
      </c>
      <c r="F40" s="834">
        <f t="shared" si="0"/>
        <v>2463.9748388457519</v>
      </c>
      <c r="G40" s="835">
        <f t="shared" si="1"/>
        <v>1.0590994279918433</v>
      </c>
      <c r="H40" s="837">
        <f>'Standard 1.-16. Standjahr'!CX10</f>
        <v>26000</v>
      </c>
      <c r="I40" s="838">
        <f>H40/$B$22</f>
        <v>23.111111111111111</v>
      </c>
      <c r="J40" s="839">
        <f>'Standard 1.-16. Standjahr'!CZ74</f>
        <v>20084.808869607827</v>
      </c>
      <c r="K40" s="8"/>
      <c r="L40" s="6"/>
    </row>
    <row r="41" spans="1:12" ht="15" x14ac:dyDescent="0.25">
      <c r="A41" s="847" t="s">
        <v>154</v>
      </c>
      <c r="B41" s="848">
        <v>16</v>
      </c>
      <c r="C41" s="849">
        <f>'Standard 1.-16. Standjahr'!DG73</f>
        <v>-80689.681314046</v>
      </c>
      <c r="D41" s="850">
        <f>'Standard 1.-16. Standjahr'!DG12</f>
        <v>44156</v>
      </c>
      <c r="E41" s="850">
        <f>'Standard 1.-16. Standjahr'!DG69</f>
        <v>47669.849387604641</v>
      </c>
      <c r="F41" s="850">
        <f t="shared" si="0"/>
        <v>-3513.8493876046414</v>
      </c>
      <c r="G41" s="851">
        <f t="shared" si="1"/>
        <v>0.92628780177102199</v>
      </c>
      <c r="H41" s="850">
        <f>'Standard 1.-16. Standjahr'!DE10</f>
        <v>26000</v>
      </c>
      <c r="I41" s="852">
        <f>H41/$B$22</f>
        <v>23.111111111111111</v>
      </c>
      <c r="J41" s="853">
        <f>'Standard 1.-16. Standjahr'!DG74</f>
        <v>13389.872579738556</v>
      </c>
    </row>
    <row r="42" spans="1:12" ht="15" x14ac:dyDescent="0.2">
      <c r="A42" s="22" t="s">
        <v>80</v>
      </c>
      <c r="B42" s="22"/>
      <c r="C42" s="854"/>
      <c r="D42" s="855"/>
      <c r="E42" s="855"/>
      <c r="F42" s="855"/>
      <c r="G42" s="855"/>
    </row>
    <row r="44" spans="1:12" ht="24.75" customHeight="1" x14ac:dyDescent="0.3">
      <c r="A44" s="192" t="s">
        <v>163</v>
      </c>
      <c r="B44" s="856"/>
      <c r="C44" s="856"/>
      <c r="D44" s="857">
        <f>C41</f>
        <v>-80689.681314046</v>
      </c>
    </row>
    <row r="45" spans="1:12" ht="15.75" x14ac:dyDescent="0.25">
      <c r="A45" s="875"/>
      <c r="B45" s="876"/>
      <c r="C45" s="859"/>
      <c r="D45" s="877"/>
    </row>
    <row r="46" spans="1:12" ht="22.5" customHeight="1" x14ac:dyDescent="0.25">
      <c r="A46" s="858" t="s">
        <v>81</v>
      </c>
      <c r="B46" s="334"/>
      <c r="C46" s="859"/>
      <c r="D46" s="860">
        <f>'Standard Ertragsphase'!$F$72</f>
        <v>19.366005383183829</v>
      </c>
    </row>
    <row r="47" spans="1:12" ht="15" customHeight="1" x14ac:dyDescent="0.2">
      <c r="A47" s="64" t="s">
        <v>82</v>
      </c>
      <c r="B47" s="120"/>
      <c r="D47" s="16">
        <f>'Standard Ertragsphase'!D61</f>
        <v>915</v>
      </c>
      <c r="E47" s="481"/>
    </row>
    <row r="48" spans="1:12" ht="15" customHeight="1" x14ac:dyDescent="0.2">
      <c r="A48" s="64" t="s">
        <v>83</v>
      </c>
      <c r="B48" s="64"/>
      <c r="D48" s="25">
        <f>2700/D47</f>
        <v>2.9508196721311477</v>
      </c>
      <c r="E48" s="862" t="s">
        <v>194</v>
      </c>
    </row>
    <row r="49" spans="1:5" ht="9.75" customHeight="1" x14ac:dyDescent="0.2"/>
    <row r="50" spans="1:5" ht="22.5" customHeight="1" x14ac:dyDescent="0.25">
      <c r="A50" s="858" t="s">
        <v>424</v>
      </c>
      <c r="B50" s="859"/>
      <c r="C50" s="859"/>
      <c r="D50" s="859"/>
    </row>
    <row r="51" spans="1:5" ht="16.5" x14ac:dyDescent="0.25">
      <c r="A51" s="334" t="s">
        <v>423</v>
      </c>
      <c r="B51" s="858" t="str">
        <f>'Standard Vorgaben'!$B$14</f>
        <v>Tafelzwetschgen 33 mm</v>
      </c>
      <c r="C51" s="859"/>
      <c r="D51" s="861">
        <f>'Standard Ertragsphase'!$F$81</f>
        <v>2.1223824477505242</v>
      </c>
    </row>
    <row r="52" spans="1:5" ht="15.75" x14ac:dyDescent="0.25">
      <c r="A52" s="859"/>
      <c r="B52" s="334" t="str">
        <f>'Standard Vorgaben'!$C$14</f>
        <v>Sortierabgang</v>
      </c>
      <c r="C52" s="859"/>
      <c r="D52" s="861">
        <f>'Standard Ertragsphase'!$F$82</f>
        <v>0</v>
      </c>
      <c r="E52" s="79"/>
    </row>
    <row r="53" spans="1:5" x14ac:dyDescent="0.2">
      <c r="C53" s="78"/>
      <c r="D53" s="78"/>
      <c r="E53" s="79"/>
    </row>
  </sheetData>
  <phoneticPr fontId="23" type="noConversion"/>
  <printOptions gridLines="1" gridLinesSet="0"/>
  <pageMargins left="0.78740157480314965" right="0.78740157480314965" top="0.59055118110236227" bottom="0.59055118110236227" header="0.51181102362204722" footer="0.51181102362204722"/>
  <pageSetup paperSize="9" scale="60" orientation="landscape" r:id="rId1"/>
  <headerFooter alignWithMargins="0">
    <oddFooter>&amp;L&amp;6Arbokost Zwetschgen 2005&amp;C&amp;6&amp;A  &amp;D&amp;R&amp;6Matthias Zürcher, Yvonne Leuenberger</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VarVorgaben">
    <tabColor indexed="17"/>
  </sheetPr>
  <dimension ref="A1:N192"/>
  <sheetViews>
    <sheetView topLeftCell="A91" zoomScale="80" zoomScaleNormal="80" workbookViewId="0">
      <selection activeCell="G131" sqref="G131:G136"/>
    </sheetView>
  </sheetViews>
  <sheetFormatPr baseColWidth="10" defaultRowHeight="12.75" x14ac:dyDescent="0.2"/>
  <cols>
    <col min="1" max="1" width="31.7109375" customWidth="1"/>
    <col min="2" max="2" width="24.42578125" customWidth="1"/>
    <col min="3" max="3" width="17" style="108" customWidth="1"/>
    <col min="4" max="4" width="21.7109375" style="10" customWidth="1"/>
    <col min="5" max="5" width="26.42578125" style="10" customWidth="1"/>
    <col min="6" max="6" width="24.7109375" style="10" customWidth="1"/>
    <col min="7" max="7" width="22" customWidth="1"/>
    <col min="8" max="8" width="13" customWidth="1"/>
    <col min="9" max="9" width="13.7109375" customWidth="1"/>
    <col min="12" max="12" width="14.28515625" customWidth="1"/>
  </cols>
  <sheetData>
    <row r="1" spans="1:9" ht="44.85" customHeight="1" x14ac:dyDescent="0.4">
      <c r="A1" s="199" t="s">
        <v>673</v>
      </c>
      <c r="B1" s="622" t="str">
        <f>B7</f>
        <v>Tafelzwetschge</v>
      </c>
      <c r="C1" s="621"/>
      <c r="D1" s="615"/>
      <c r="E1" s="617"/>
      <c r="F1" s="616"/>
      <c r="G1" s="621"/>
    </row>
    <row r="2" spans="1:9" s="1" customFormat="1" ht="27" customHeight="1" x14ac:dyDescent="0.35">
      <c r="A2" s="560" t="str">
        <f>'Var Erstellung'!A2</f>
        <v>Variante 1ha</v>
      </c>
      <c r="B2" s="635"/>
      <c r="C2" s="623"/>
      <c r="D2" s="623"/>
      <c r="E2" s="623"/>
      <c r="F2" s="624"/>
      <c r="G2" s="619"/>
    </row>
    <row r="3" spans="1:9" s="1" customFormat="1" ht="51.75" customHeight="1" x14ac:dyDescent="0.2">
      <c r="A3" s="306" t="s">
        <v>579</v>
      </c>
      <c r="B3" s="1355" t="s">
        <v>584</v>
      </c>
      <c r="C3" s="1356"/>
      <c r="D3" s="1356"/>
      <c r="E3" s="1356"/>
      <c r="F3" s="1356"/>
      <c r="G3" s="1356"/>
    </row>
    <row r="4" spans="1:9" s="1" customFormat="1" ht="38.25" customHeight="1" x14ac:dyDescent="0.4">
      <c r="A4" s="1358" t="s">
        <v>344</v>
      </c>
      <c r="B4" s="1359"/>
      <c r="C4" s="1357" t="s">
        <v>668</v>
      </c>
      <c r="D4" s="1357"/>
      <c r="E4" s="1357"/>
      <c r="F4" s="1357"/>
      <c r="G4" s="1357"/>
    </row>
    <row r="5" spans="1:9" x14ac:dyDescent="0.2">
      <c r="C5"/>
      <c r="G5" s="324"/>
    </row>
    <row r="6" spans="1:9" ht="26.25" x14ac:dyDescent="0.4">
      <c r="A6" s="199" t="s">
        <v>133</v>
      </c>
      <c r="B6" s="344"/>
      <c r="C6" s="201"/>
      <c r="D6" s="202"/>
      <c r="E6" s="340"/>
      <c r="F6" s="202"/>
      <c r="G6" s="345"/>
      <c r="I6" s="1"/>
    </row>
    <row r="7" spans="1:9" s="1" customFormat="1" ht="15.75" x14ac:dyDescent="0.25">
      <c r="A7" s="2" t="s">
        <v>135</v>
      </c>
      <c r="B7" s="690" t="s">
        <v>178</v>
      </c>
      <c r="C7" s="791"/>
      <c r="D7" s="171"/>
      <c r="E7" s="794"/>
      <c r="F7" s="795"/>
      <c r="G7" s="21"/>
    </row>
    <row r="8" spans="1:9" s="1" customFormat="1" ht="15.75" x14ac:dyDescent="0.25">
      <c r="A8" s="2" t="s">
        <v>183</v>
      </c>
      <c r="B8" s="690" t="s">
        <v>675</v>
      </c>
      <c r="C8" s="792"/>
      <c r="D8" s="171"/>
      <c r="E8" s="794"/>
      <c r="F8" s="73"/>
      <c r="G8" s="21"/>
    </row>
    <row r="9" spans="1:9" s="1" customFormat="1" ht="15.75" x14ac:dyDescent="0.25">
      <c r="A9" s="2" t="s">
        <v>136</v>
      </c>
      <c r="B9" s="690" t="s">
        <v>406</v>
      </c>
      <c r="C9" s="371"/>
      <c r="D9" s="171"/>
      <c r="E9" s="794"/>
      <c r="F9" s="171"/>
      <c r="G9" s="21"/>
    </row>
    <row r="10" spans="1:9" s="1" customFormat="1" ht="15.75" x14ac:dyDescent="0.25">
      <c r="A10" s="2" t="s">
        <v>7</v>
      </c>
      <c r="B10" s="793">
        <f>'Var Vorgaben'!B24</f>
        <v>1125</v>
      </c>
      <c r="C10" s="171" t="s">
        <v>211</v>
      </c>
      <c r="D10" s="526"/>
      <c r="E10" s="793"/>
      <c r="F10" s="171"/>
    </row>
    <row r="11" spans="1:9" s="1" customFormat="1" ht="15.75" customHeight="1" x14ac:dyDescent="0.25">
      <c r="A11" s="2" t="s">
        <v>137</v>
      </c>
      <c r="B11" s="690" t="s">
        <v>3</v>
      </c>
      <c r="C11" s="690" t="s">
        <v>179</v>
      </c>
      <c r="D11" s="698"/>
      <c r="E11" s="690"/>
      <c r="F11" s="794"/>
      <c r="G11" s="44"/>
    </row>
    <row r="12" spans="1:9" s="1" customFormat="1" ht="15.75" x14ac:dyDescent="0.25">
      <c r="A12" s="2" t="s">
        <v>192</v>
      </c>
      <c r="B12" s="203" t="s">
        <v>207</v>
      </c>
      <c r="C12" s="204"/>
      <c r="D12" s="205"/>
      <c r="E12" s="44"/>
      <c r="F12" s="44"/>
      <c r="G12" s="44"/>
    </row>
    <row r="13" spans="1:9" ht="15.75" x14ac:dyDescent="0.25">
      <c r="A13" s="2" t="s">
        <v>212</v>
      </c>
      <c r="B13" s="73" t="s">
        <v>213</v>
      </c>
      <c r="C13" s="196"/>
      <c r="D13" s="40"/>
      <c r="E13" s="21"/>
      <c r="F13" s="157"/>
      <c r="G13" s="21"/>
      <c r="H13" s="1"/>
    </row>
    <row r="14" spans="1:9" ht="15.75" x14ac:dyDescent="0.25">
      <c r="A14" s="2" t="s">
        <v>191</v>
      </c>
      <c r="B14" s="337" t="str">
        <f>'Standard Vorgaben'!B14</f>
        <v>Tafelzwetschgen 33 mm</v>
      </c>
      <c r="C14" s="559" t="str">
        <f>'Standard Vorgaben'!C14</f>
        <v>Sortierabgang</v>
      </c>
      <c r="E14" s="21"/>
      <c r="F14" s="157"/>
      <c r="G14" s="21"/>
      <c r="H14" s="1"/>
    </row>
    <row r="15" spans="1:9" ht="13.5" thickBot="1" x14ac:dyDescent="0.25">
      <c r="A15" s="1"/>
      <c r="B15" s="1"/>
      <c r="C15" s="21"/>
      <c r="D15" s="40"/>
      <c r="E15" s="21"/>
      <c r="F15" s="158"/>
      <c r="G15" s="21"/>
      <c r="H15" s="1"/>
    </row>
    <row r="16" spans="1:9" s="1" customFormat="1" ht="16.5" thickBot="1" x14ac:dyDescent="0.3">
      <c r="A16" s="445" t="s">
        <v>138</v>
      </c>
      <c r="B16" s="446"/>
      <c r="C16" s="446"/>
      <c r="D16" s="165"/>
      <c r="E16" s="34"/>
      <c r="F16" s="34"/>
    </row>
    <row r="17" spans="1:13" s="1" customFormat="1" ht="14.25" x14ac:dyDescent="0.2">
      <c r="A17" s="309"/>
      <c r="B17" s="310" t="s">
        <v>180</v>
      </c>
      <c r="C17" s="311" t="s">
        <v>181</v>
      </c>
      <c r="D17" s="308" t="s">
        <v>182</v>
      </c>
      <c r="E17" s="34"/>
      <c r="F17" s="34"/>
    </row>
    <row r="18" spans="1:13" s="1" customFormat="1" ht="15" x14ac:dyDescent="0.25">
      <c r="A18" s="312" t="s">
        <v>0</v>
      </c>
      <c r="B18" s="707">
        <v>125</v>
      </c>
      <c r="C18" s="708">
        <v>115</v>
      </c>
      <c r="D18" s="313">
        <f>1-(C20/B20)</f>
        <v>0.13749999999999996</v>
      </c>
      <c r="E18" s="34"/>
      <c r="F18" s="34"/>
    </row>
    <row r="19" spans="1:13" s="1" customFormat="1" ht="14.25" x14ac:dyDescent="0.2">
      <c r="A19" s="312" t="s">
        <v>1</v>
      </c>
      <c r="B19" s="707">
        <v>80</v>
      </c>
      <c r="C19" s="708">
        <v>75</v>
      </c>
      <c r="D19" s="677"/>
      <c r="E19" s="34"/>
      <c r="F19" s="34"/>
    </row>
    <row r="20" spans="1:13" s="1" customFormat="1" ht="15" customHeight="1" thickBot="1" x14ac:dyDescent="0.3">
      <c r="A20" s="314" t="s">
        <v>65</v>
      </c>
      <c r="B20" s="709">
        <f>B18*B19</f>
        <v>10000</v>
      </c>
      <c r="C20" s="710">
        <f>C18*C19</f>
        <v>8625</v>
      </c>
      <c r="D20" s="315">
        <f>B20-C20</f>
        <v>1375</v>
      </c>
      <c r="E20" s="34"/>
      <c r="F20" s="34"/>
    </row>
    <row r="21" spans="1:13" s="1" customFormat="1" ht="15" x14ac:dyDescent="0.25">
      <c r="A21" s="316" t="s">
        <v>4</v>
      </c>
      <c r="B21" s="317"/>
      <c r="C21" s="713">
        <v>4</v>
      </c>
      <c r="D21" s="318"/>
      <c r="E21" s="34"/>
      <c r="F21" s="34"/>
    </row>
    <row r="22" spans="1:13" s="1" customFormat="1" ht="15" x14ac:dyDescent="0.25">
      <c r="A22" s="316" t="s">
        <v>5</v>
      </c>
      <c r="B22" s="317"/>
      <c r="C22" s="713">
        <v>2</v>
      </c>
      <c r="D22" s="318"/>
      <c r="E22" s="34"/>
      <c r="F22" s="34"/>
    </row>
    <row r="23" spans="1:13" s="1" customFormat="1" ht="15" x14ac:dyDescent="0.25">
      <c r="A23" s="316" t="s">
        <v>6</v>
      </c>
      <c r="B23" s="317"/>
      <c r="C23" s="711">
        <f>ROUND((C19/C21),0)</f>
        <v>19</v>
      </c>
      <c r="D23" s="319"/>
      <c r="E23" s="34"/>
      <c r="F23" s="34"/>
    </row>
    <row r="24" spans="1:13" s="1" customFormat="1" ht="15.75" thickBot="1" x14ac:dyDescent="0.3">
      <c r="A24" s="320" t="s">
        <v>132</v>
      </c>
      <c r="B24" s="678">
        <f>'Varianten eingeben'!D22</f>
        <v>1125</v>
      </c>
      <c r="C24" s="712">
        <f>ROUND(((C18/C22)+1),0)*ROUND(C23,0)</f>
        <v>1121</v>
      </c>
      <c r="D24" s="679"/>
      <c r="E24" s="34"/>
      <c r="F24" s="34"/>
    </row>
    <row r="25" spans="1:13" s="1" customFormat="1" ht="13.5" customHeight="1" x14ac:dyDescent="0.2">
      <c r="A25" s="21"/>
      <c r="B25" s="21"/>
      <c r="C25" s="21"/>
      <c r="D25" s="44"/>
      <c r="E25" s="44"/>
      <c r="F25" s="44"/>
      <c r="G25" s="21"/>
    </row>
    <row r="26" spans="1:13" s="1" customFormat="1" ht="14.25" x14ac:dyDescent="0.2">
      <c r="A26" s="321" t="s">
        <v>85</v>
      </c>
      <c r="B26" s="735">
        <v>18</v>
      </c>
      <c r="C26" s="21"/>
      <c r="D26" s="44"/>
      <c r="E26" s="44"/>
      <c r="F26" s="44"/>
      <c r="G26" s="21"/>
    </row>
    <row r="27" spans="1:13" s="1" customFormat="1" ht="15" thickBot="1" x14ac:dyDescent="0.25">
      <c r="A27" s="321" t="s">
        <v>79</v>
      </c>
      <c r="B27" s="770">
        <v>4</v>
      </c>
      <c r="C27" s="21"/>
      <c r="D27" s="44"/>
      <c r="E27" s="44"/>
      <c r="F27" s="44"/>
      <c r="G27" s="21"/>
    </row>
    <row r="28" spans="1:13" s="1" customFormat="1" ht="14.25" x14ac:dyDescent="0.2">
      <c r="A28" s="321" t="s">
        <v>87</v>
      </c>
      <c r="B28" s="736">
        <f>B26-B27</f>
        <v>14</v>
      </c>
      <c r="C28" s="21"/>
      <c r="D28" s="44"/>
      <c r="E28" s="44"/>
      <c r="F28" s="44"/>
      <c r="G28" s="21"/>
    </row>
    <row r="29" spans="1:13" s="1" customFormat="1" ht="15" x14ac:dyDescent="0.25">
      <c r="A29" s="737" t="s">
        <v>214</v>
      </c>
      <c r="B29" s="738">
        <f>B28</f>
        <v>14</v>
      </c>
      <c r="C29" s="21"/>
      <c r="D29" s="44"/>
      <c r="E29" s="44"/>
      <c r="F29" s="44"/>
      <c r="G29" s="21"/>
    </row>
    <row r="30" spans="1:13" s="1" customFormat="1" x14ac:dyDescent="0.2">
      <c r="A30" s="21"/>
      <c r="B30" s="21"/>
      <c r="C30" s="21"/>
      <c r="D30" s="44"/>
      <c r="E30" s="44"/>
      <c r="F30" s="44"/>
      <c r="G30" s="21"/>
    </row>
    <row r="31" spans="1:13" s="1" customFormat="1" ht="15" x14ac:dyDescent="0.25">
      <c r="A31" s="714" t="s">
        <v>8</v>
      </c>
      <c r="B31" s="680" t="s">
        <v>130</v>
      </c>
      <c r="C31" s="804">
        <f>'Varianten eingeben'!D23</f>
        <v>16</v>
      </c>
      <c r="D31" s="321" t="s">
        <v>185</v>
      </c>
      <c r="E31" s="21"/>
      <c r="F31" s="21"/>
      <c r="G31" s="21"/>
    </row>
    <row r="32" spans="1:13" s="1" customFormat="1" ht="18" x14ac:dyDescent="0.25">
      <c r="A32" s="714" t="s">
        <v>92</v>
      </c>
      <c r="B32" s="680" t="s">
        <v>401</v>
      </c>
      <c r="C32" s="805">
        <f>'Varianten eingeben'!D16</f>
        <v>41.4</v>
      </c>
      <c r="D32" s="21"/>
      <c r="E32" s="21"/>
      <c r="F32" s="21"/>
      <c r="G32" s="21"/>
      <c r="M32" s="152"/>
    </row>
    <row r="33" spans="1:14" s="1" customFormat="1" ht="15" customHeight="1" x14ac:dyDescent="0.25">
      <c r="A33" s="680"/>
      <c r="B33" s="680" t="s">
        <v>120</v>
      </c>
      <c r="C33" s="805">
        <f>'Varianten eingeben'!D17</f>
        <v>24</v>
      </c>
      <c r="D33" s="21"/>
      <c r="E33" s="21"/>
      <c r="F33" s="21"/>
      <c r="G33" s="21"/>
      <c r="M33" s="152"/>
    </row>
    <row r="34" spans="1:14" s="1" customFormat="1" ht="15" customHeight="1" thickBot="1" x14ac:dyDescent="0.3">
      <c r="A34" s="680"/>
      <c r="B34" s="680" t="s">
        <v>131</v>
      </c>
      <c r="C34" s="806">
        <f>'Varianten eingeben'!D18</f>
        <v>21.5</v>
      </c>
      <c r="D34" s="752" t="s">
        <v>173</v>
      </c>
      <c r="E34" s="21"/>
      <c r="F34" s="753">
        <f>'Varianten eingeben'!D19</f>
        <v>0.9</v>
      </c>
      <c r="G34" s="754"/>
      <c r="N34" s="15"/>
    </row>
    <row r="35" spans="1:14" s="1" customFormat="1" ht="15" x14ac:dyDescent="0.25">
      <c r="A35" s="680"/>
      <c r="B35" s="774" t="s">
        <v>407</v>
      </c>
      <c r="C35" s="805">
        <f>(F34*C34)+(((1-F34)/2)*C33)+ (((1-F34)/2)*C32)</f>
        <v>22.62</v>
      </c>
      <c r="D35" s="752"/>
      <c r="E35" s="21"/>
      <c r="F35" s="753"/>
      <c r="G35" s="754"/>
      <c r="N35" s="15"/>
    </row>
    <row r="36" spans="1:14" s="1" customFormat="1" ht="15" x14ac:dyDescent="0.25">
      <c r="A36" s="680"/>
      <c r="B36" s="774" t="s">
        <v>408</v>
      </c>
      <c r="C36" s="805">
        <f>AVERAGE(C32:C33)</f>
        <v>32.700000000000003</v>
      </c>
      <c r="D36" s="752"/>
      <c r="E36" s="21"/>
      <c r="F36" s="753"/>
      <c r="G36" s="754"/>
      <c r="N36" s="15"/>
    </row>
    <row r="37" spans="1:14" s="1" customFormat="1" ht="15" x14ac:dyDescent="0.25">
      <c r="A37" s="680"/>
      <c r="B37" s="774" t="s">
        <v>660</v>
      </c>
      <c r="C37" s="805">
        <f>AVERAGE(C33:C34)</f>
        <v>22.75</v>
      </c>
      <c r="D37" s="44"/>
      <c r="E37" s="44"/>
      <c r="F37" s="44"/>
      <c r="G37" s="21"/>
      <c r="N37" s="15"/>
    </row>
    <row r="38" spans="1:14" s="1" customFormat="1" ht="15" x14ac:dyDescent="0.25">
      <c r="A38" s="714" t="s">
        <v>134</v>
      </c>
      <c r="B38" s="680"/>
      <c r="C38" s="892">
        <v>6000</v>
      </c>
      <c r="D38" s="745"/>
      <c r="E38" s="714" t="s">
        <v>656</v>
      </c>
      <c r="F38" s="1301" t="s">
        <v>669</v>
      </c>
      <c r="G38" s="1300">
        <v>470</v>
      </c>
      <c r="M38" s="21"/>
      <c r="N38" s="15"/>
    </row>
    <row r="39" spans="1:14" s="1" customFormat="1" ht="15" x14ac:dyDescent="0.25">
      <c r="A39" s="714" t="s">
        <v>91</v>
      </c>
      <c r="B39" s="680"/>
      <c r="C39" s="1303">
        <v>1100</v>
      </c>
      <c r="D39" s="745"/>
      <c r="E39" s="680"/>
      <c r="F39" s="680"/>
      <c r="G39" s="746"/>
      <c r="M39"/>
      <c r="N39" s="15"/>
    </row>
    <row r="40" spans="1:14" s="1" customFormat="1" ht="15" x14ac:dyDescent="0.25">
      <c r="A40" s="714" t="s">
        <v>10</v>
      </c>
      <c r="B40" s="680"/>
      <c r="C40" s="796">
        <f>'Varianten eingeben'!D29</f>
        <v>1.4999999999999999E-2</v>
      </c>
      <c r="D40" s="745"/>
      <c r="E40" s="1305" t="s">
        <v>672</v>
      </c>
      <c r="F40" s="681" t="str">
        <f>B14</f>
        <v>Tafelzwetschgen 33 mm</v>
      </c>
      <c r="G40" s="1302">
        <f>'Varianten eingeben'!D14</f>
        <v>0.15</v>
      </c>
      <c r="N40" s="15"/>
    </row>
    <row r="41" spans="1:14" ht="14.25" x14ac:dyDescent="0.2">
      <c r="A41" s="680" t="s">
        <v>166</v>
      </c>
      <c r="B41" s="680"/>
      <c r="C41" s="716">
        <v>0.6</v>
      </c>
      <c r="D41" s="745"/>
      <c r="H41" s="1"/>
    </row>
    <row r="42" spans="1:14" ht="15" x14ac:dyDescent="0.25">
      <c r="A42" s="714" t="s">
        <v>159</v>
      </c>
      <c r="B42" s="717"/>
      <c r="C42" s="718">
        <v>660</v>
      </c>
      <c r="D42" s="745"/>
      <c r="E42" s="44"/>
      <c r="F42" s="44"/>
      <c r="G42" s="21"/>
      <c r="H42" s="1"/>
    </row>
    <row r="43" spans="1:14" ht="15" customHeight="1" x14ac:dyDescent="0.2">
      <c r="A43" s="49"/>
      <c r="C43" s="447"/>
    </row>
    <row r="44" spans="1:14" s="1" customFormat="1" ht="26.25" customHeight="1" x14ac:dyDescent="0.4">
      <c r="A44" s="448" t="s">
        <v>150</v>
      </c>
      <c r="B44" s="449"/>
      <c r="C44" s="450"/>
      <c r="D44" s="451"/>
      <c r="E44" s="1360" t="s">
        <v>443</v>
      </c>
      <c r="F44" s="1360"/>
      <c r="G44" s="1360"/>
      <c r="M44" s="21"/>
      <c r="N44" s="15"/>
    </row>
    <row r="45" spans="1:14" s="1" customFormat="1" x14ac:dyDescent="0.2">
      <c r="A45" s="86" t="s">
        <v>151</v>
      </c>
      <c r="B45" s="208" t="str">
        <f>B14</f>
        <v>Tafelzwetschgen 33 mm</v>
      </c>
      <c r="C45" s="95" t="str">
        <f>C14</f>
        <v>Sortierabgang</v>
      </c>
      <c r="D45" s="86" t="s">
        <v>37</v>
      </c>
      <c r="E45" s="1216"/>
      <c r="F45" s="86" t="s">
        <v>38</v>
      </c>
      <c r="G45" s="86" t="s">
        <v>151</v>
      </c>
      <c r="M45" s="21"/>
      <c r="N45" s="15"/>
    </row>
    <row r="46" spans="1:14" s="1" customFormat="1" x14ac:dyDescent="0.2">
      <c r="A46" s="180">
        <v>1</v>
      </c>
      <c r="B46" s="169">
        <f>'Varianten eingeben'!D7</f>
        <v>1.84</v>
      </c>
      <c r="C46" s="485">
        <f>'Varianten eingeben'!D8</f>
        <v>0</v>
      </c>
      <c r="D46" s="141">
        <f>'Standard Vorgaben'!D46*(1+'Varianten eingeben'!$C$13)</f>
        <v>0</v>
      </c>
      <c r="E46" s="1217"/>
      <c r="F46" s="35">
        <f>D46/'Var Vorgaben'!$B$24</f>
        <v>0</v>
      </c>
      <c r="G46" s="125">
        <v>1</v>
      </c>
      <c r="M46" s="21"/>
      <c r="N46" s="15"/>
    </row>
    <row r="47" spans="1:14" s="1" customFormat="1" x14ac:dyDescent="0.2">
      <c r="A47" s="180">
        <v>2</v>
      </c>
      <c r="B47" s="48">
        <f t="shared" ref="B47:B61" si="0">B46</f>
        <v>1.84</v>
      </c>
      <c r="C47" s="48">
        <f t="shared" ref="C47:C61" si="1">C46</f>
        <v>0</v>
      </c>
      <c r="D47" s="141">
        <f>'Standard Vorgaben'!D47*(1+'Varianten eingeben'!$C$13)</f>
        <v>4000</v>
      </c>
      <c r="E47" s="1217"/>
      <c r="F47" s="35">
        <f>D47/'Var Vorgaben'!$B$24</f>
        <v>3.5555555555555554</v>
      </c>
      <c r="G47" s="125">
        <v>2</v>
      </c>
      <c r="M47" s="21"/>
      <c r="N47" s="15"/>
    </row>
    <row r="48" spans="1:14" s="1" customFormat="1" x14ac:dyDescent="0.2">
      <c r="A48" s="180">
        <v>3</v>
      </c>
      <c r="B48" s="48">
        <f t="shared" si="0"/>
        <v>1.84</v>
      </c>
      <c r="C48" s="48">
        <f t="shared" si="1"/>
        <v>0</v>
      </c>
      <c r="D48" s="141">
        <f>'Standard Vorgaben'!D48*(1+'Varianten eingeben'!$C$13)</f>
        <v>6000</v>
      </c>
      <c r="E48" s="1217"/>
      <c r="F48" s="35">
        <f>D48/'Var Vorgaben'!$B$24</f>
        <v>5.333333333333333</v>
      </c>
      <c r="G48" s="125">
        <v>3</v>
      </c>
      <c r="M48" s="21"/>
      <c r="N48" s="15"/>
    </row>
    <row r="49" spans="1:14" s="1" customFormat="1" x14ac:dyDescent="0.2">
      <c r="A49" s="180">
        <v>4</v>
      </c>
      <c r="B49" s="48">
        <f t="shared" si="0"/>
        <v>1.84</v>
      </c>
      <c r="C49" s="48">
        <f t="shared" si="1"/>
        <v>0</v>
      </c>
      <c r="D49" s="141">
        <f>'Standard Vorgaben'!D49*(1+'Varianten eingeben'!$C$13)</f>
        <v>10000</v>
      </c>
      <c r="E49" s="1217"/>
      <c r="F49" s="35">
        <f>D49/'Var Vorgaben'!$B$24</f>
        <v>8.8888888888888893</v>
      </c>
      <c r="G49" s="125">
        <v>4</v>
      </c>
      <c r="M49" s="21"/>
      <c r="N49" s="15"/>
    </row>
    <row r="50" spans="1:14" s="1" customFormat="1" x14ac:dyDescent="0.2">
      <c r="A50" s="49">
        <v>5</v>
      </c>
      <c r="B50" s="48">
        <f t="shared" si="0"/>
        <v>1.84</v>
      </c>
      <c r="C50" s="48">
        <f t="shared" si="1"/>
        <v>0</v>
      </c>
      <c r="D50" s="141">
        <f>'Standard Vorgaben'!D50*(1+'Varianten eingeben'!$C$13)</f>
        <v>18000</v>
      </c>
      <c r="E50" s="1217"/>
      <c r="F50" s="35">
        <f>D50/'Var Vorgaben'!$B$24</f>
        <v>16</v>
      </c>
      <c r="G50" s="125">
        <v>5</v>
      </c>
      <c r="M50" s="21"/>
      <c r="N50" s="15"/>
    </row>
    <row r="51" spans="1:14" s="1" customFormat="1" x14ac:dyDescent="0.2">
      <c r="A51" s="49">
        <v>6</v>
      </c>
      <c r="B51" s="48">
        <f t="shared" si="0"/>
        <v>1.84</v>
      </c>
      <c r="C51" s="48">
        <f t="shared" si="1"/>
        <v>0</v>
      </c>
      <c r="D51" s="141">
        <f>'Standard Vorgaben'!D51*(1+'Varianten eingeben'!$C$13)</f>
        <v>22000</v>
      </c>
      <c r="E51" s="1217"/>
      <c r="F51" s="35">
        <f>D51/'Var Vorgaben'!$B$24</f>
        <v>19.555555555555557</v>
      </c>
      <c r="G51" s="125">
        <v>6</v>
      </c>
      <c r="M51" s="21"/>
      <c r="N51" s="15"/>
    </row>
    <row r="52" spans="1:14" s="1" customFormat="1" x14ac:dyDescent="0.2">
      <c r="A52" s="49">
        <v>7</v>
      </c>
      <c r="B52" s="48">
        <f t="shared" si="0"/>
        <v>1.84</v>
      </c>
      <c r="C52" s="48">
        <f t="shared" si="1"/>
        <v>0</v>
      </c>
      <c r="D52" s="141">
        <f>'Standard Vorgaben'!D52*(1+'Varianten eingeben'!$C$13)</f>
        <v>26000</v>
      </c>
      <c r="E52" s="1217"/>
      <c r="F52" s="35">
        <f>D52/'Var Vorgaben'!$B$24</f>
        <v>23.111111111111111</v>
      </c>
      <c r="G52" s="125">
        <v>7</v>
      </c>
      <c r="M52" s="21"/>
      <c r="N52" s="15"/>
    </row>
    <row r="53" spans="1:14" s="1" customFormat="1" x14ac:dyDescent="0.2">
      <c r="A53" s="49">
        <v>8</v>
      </c>
      <c r="B53" s="48">
        <f t="shared" si="0"/>
        <v>1.84</v>
      </c>
      <c r="C53" s="48">
        <f t="shared" si="1"/>
        <v>0</v>
      </c>
      <c r="D53" s="141">
        <f>'Standard Vorgaben'!D53*(1+'Varianten eingeben'!$C$13)</f>
        <v>26000</v>
      </c>
      <c r="E53" s="1217"/>
      <c r="F53" s="35">
        <f>D53/'Var Vorgaben'!$B$24</f>
        <v>23.111111111111111</v>
      </c>
      <c r="G53" s="125">
        <v>8</v>
      </c>
      <c r="M53" s="21"/>
      <c r="N53" s="15"/>
    </row>
    <row r="54" spans="1:14" s="1" customFormat="1" x14ac:dyDescent="0.2">
      <c r="A54" s="49">
        <v>9</v>
      </c>
      <c r="B54" s="48">
        <f t="shared" si="0"/>
        <v>1.84</v>
      </c>
      <c r="C54" s="48">
        <f t="shared" si="1"/>
        <v>0</v>
      </c>
      <c r="D54" s="141">
        <f>'Standard Vorgaben'!D54*(1+'Varianten eingeben'!$C$13)</f>
        <v>26000</v>
      </c>
      <c r="E54" s="1217"/>
      <c r="F54" s="35">
        <f>D54/'Var Vorgaben'!$B$24</f>
        <v>23.111111111111111</v>
      </c>
      <c r="G54" s="125">
        <v>9</v>
      </c>
      <c r="M54" s="21"/>
      <c r="N54" s="15"/>
    </row>
    <row r="55" spans="1:14" s="1" customFormat="1" x14ac:dyDescent="0.2">
      <c r="A55" s="49">
        <v>10</v>
      </c>
      <c r="B55" s="48">
        <f t="shared" si="0"/>
        <v>1.84</v>
      </c>
      <c r="C55" s="48">
        <f t="shared" si="1"/>
        <v>0</v>
      </c>
      <c r="D55" s="141">
        <f>'Standard Vorgaben'!D55*(1+'Varianten eingeben'!$C$13)</f>
        <v>26000</v>
      </c>
      <c r="E55" s="1217"/>
      <c r="F55" s="35">
        <f>D55/'Var Vorgaben'!$B$24</f>
        <v>23.111111111111111</v>
      </c>
      <c r="G55" s="125">
        <v>10</v>
      </c>
      <c r="M55" s="21"/>
      <c r="N55" s="15"/>
    </row>
    <row r="56" spans="1:14" s="1" customFormat="1" x14ac:dyDescent="0.2">
      <c r="A56" s="49">
        <v>11</v>
      </c>
      <c r="B56" s="48">
        <f t="shared" si="0"/>
        <v>1.84</v>
      </c>
      <c r="C56" s="48">
        <f t="shared" si="1"/>
        <v>0</v>
      </c>
      <c r="D56" s="141">
        <f>'Standard Vorgaben'!D56*(1+'Varianten eingeben'!$C$13)</f>
        <v>26000</v>
      </c>
      <c r="E56" s="1217"/>
      <c r="F56" s="35">
        <f>D56/'Var Vorgaben'!$B$24</f>
        <v>23.111111111111111</v>
      </c>
      <c r="G56" s="125">
        <v>11</v>
      </c>
      <c r="M56" s="21"/>
      <c r="N56" s="15"/>
    </row>
    <row r="57" spans="1:14" s="1" customFormat="1" x14ac:dyDescent="0.2">
      <c r="A57" s="49">
        <v>12</v>
      </c>
      <c r="B57" s="48">
        <f t="shared" si="0"/>
        <v>1.84</v>
      </c>
      <c r="C57" s="48">
        <f t="shared" si="1"/>
        <v>0</v>
      </c>
      <c r="D57" s="141">
        <f>'Standard Vorgaben'!D57*(1+'Varianten eingeben'!$C$13)</f>
        <v>26000</v>
      </c>
      <c r="E57" s="1217"/>
      <c r="F57" s="35">
        <f>D57/'Var Vorgaben'!$B$24</f>
        <v>23.111111111111111</v>
      </c>
      <c r="G57" s="125">
        <v>12</v>
      </c>
      <c r="M57" s="21"/>
      <c r="N57" s="15"/>
    </row>
    <row r="58" spans="1:14" s="1" customFormat="1" x14ac:dyDescent="0.2">
      <c r="A58" s="49">
        <v>13</v>
      </c>
      <c r="B58" s="48">
        <f t="shared" si="0"/>
        <v>1.84</v>
      </c>
      <c r="C58" s="48">
        <f t="shared" si="1"/>
        <v>0</v>
      </c>
      <c r="D58" s="141">
        <f>'Standard Vorgaben'!D58*(1+'Varianten eingeben'!$C$13)</f>
        <v>26000</v>
      </c>
      <c r="E58" s="1217"/>
      <c r="F58" s="35">
        <f>D58/'Var Vorgaben'!$B$24</f>
        <v>23.111111111111111</v>
      </c>
      <c r="G58" s="125">
        <v>13</v>
      </c>
      <c r="M58" s="21"/>
      <c r="N58" s="15"/>
    </row>
    <row r="59" spans="1:14" s="1" customFormat="1" x14ac:dyDescent="0.2">
      <c r="A59" s="49">
        <v>14</v>
      </c>
      <c r="B59" s="48">
        <f t="shared" si="0"/>
        <v>1.84</v>
      </c>
      <c r="C59" s="48">
        <f t="shared" si="1"/>
        <v>0</v>
      </c>
      <c r="D59" s="141">
        <f>'Standard Vorgaben'!D59*(1+'Varianten eingeben'!$C$13)</f>
        <v>26000</v>
      </c>
      <c r="E59" s="1217"/>
      <c r="F59" s="35">
        <f>D59/'Var Vorgaben'!$B$24</f>
        <v>23.111111111111111</v>
      </c>
      <c r="G59" s="125">
        <v>14</v>
      </c>
      <c r="M59" s="21"/>
      <c r="N59" s="15"/>
    </row>
    <row r="60" spans="1:14" s="1" customFormat="1" x14ac:dyDescent="0.2">
      <c r="A60" s="49">
        <v>15</v>
      </c>
      <c r="B60" s="48">
        <f t="shared" si="0"/>
        <v>1.84</v>
      </c>
      <c r="C60" s="48">
        <f t="shared" si="1"/>
        <v>0</v>
      </c>
      <c r="D60" s="141">
        <f>'Standard Vorgaben'!D60*(1+'Varianten eingeben'!$C$13)</f>
        <v>26000</v>
      </c>
      <c r="E60" s="1217"/>
      <c r="F60" s="35">
        <f>D60/'Var Vorgaben'!$B$24</f>
        <v>23.111111111111111</v>
      </c>
      <c r="G60" s="125">
        <v>15</v>
      </c>
      <c r="M60" s="21"/>
      <c r="N60" s="15"/>
    </row>
    <row r="61" spans="1:14" x14ac:dyDescent="0.2">
      <c r="A61" s="49">
        <v>16</v>
      </c>
      <c r="B61" s="48">
        <f t="shared" si="0"/>
        <v>1.84</v>
      </c>
      <c r="C61" s="48">
        <f t="shared" si="1"/>
        <v>0</v>
      </c>
      <c r="D61" s="141">
        <f>'Standard Vorgaben'!D61*(1+'Varianten eingeben'!$C$13)</f>
        <v>26000</v>
      </c>
      <c r="E61" s="1217"/>
      <c r="F61" s="35">
        <f>D61/'Var Vorgaben'!$B$24</f>
        <v>23.111111111111111</v>
      </c>
      <c r="G61" s="125">
        <v>16</v>
      </c>
    </row>
    <row r="62" spans="1:14" s="1" customFormat="1" x14ac:dyDescent="0.2">
      <c r="A62" s="54" t="s">
        <v>235</v>
      </c>
      <c r="D62" s="69">
        <f>SUM(D46:D49)</f>
        <v>20000</v>
      </c>
      <c r="E62" s="1217"/>
      <c r="F62" s="84">
        <f>SUM(F46:F49)</f>
        <v>17.777777777777779</v>
      </c>
      <c r="M62" s="21"/>
      <c r="N62" s="15"/>
    </row>
    <row r="63" spans="1:14" s="1" customFormat="1" x14ac:dyDescent="0.2">
      <c r="A63" s="54" t="s">
        <v>236</v>
      </c>
      <c r="B63"/>
      <c r="D63" s="69">
        <f>SUM(D46:D61)</f>
        <v>320000</v>
      </c>
      <c r="E63" s="1217"/>
      <c r="F63" s="84">
        <f>SUM(F46:F61)</f>
        <v>284.4444444444444</v>
      </c>
      <c r="M63" s="21"/>
      <c r="N63" s="15"/>
    </row>
    <row r="64" spans="1:14" s="1" customFormat="1" x14ac:dyDescent="0.2">
      <c r="A64" s="54" t="s">
        <v>237</v>
      </c>
      <c r="B64" s="322">
        <f>AVERAGE(B50:B61)</f>
        <v>1.84</v>
      </c>
      <c r="C64" s="322">
        <f>AVERAGE(C50:C61)</f>
        <v>0</v>
      </c>
      <c r="D64" s="69">
        <f>IF('Varianten eingeben'!D30&gt;0,AVERAGE(D50:D61),'Varianten eingeben'!D13)</f>
        <v>25000</v>
      </c>
      <c r="E64" s="1218"/>
      <c r="F64" s="84">
        <f>AVERAGE(F50:F61)</f>
        <v>22.222222222222225</v>
      </c>
      <c r="M64" s="21"/>
      <c r="N64" s="15"/>
    </row>
    <row r="65" spans="1:14" s="1" customFormat="1" x14ac:dyDescent="0.2">
      <c r="A65" s="54" t="s">
        <v>238</v>
      </c>
      <c r="B65" s="322">
        <f>AVERAGE(B46:B61)</f>
        <v>1.84</v>
      </c>
      <c r="C65" s="322">
        <f>AVERAGE(C46:C61)</f>
        <v>0</v>
      </c>
      <c r="D65" s="69">
        <f>AVERAGE(D46:D61)</f>
        <v>20000</v>
      </c>
      <c r="E65" s="1217"/>
      <c r="F65" s="84">
        <f>AVERAGE(F46:F61)</f>
        <v>17.777777777777775</v>
      </c>
      <c r="M65" s="21"/>
      <c r="N65" s="15"/>
    </row>
    <row r="66" spans="1:14" s="1" customFormat="1" x14ac:dyDescent="0.2">
      <c r="B66" s="83"/>
      <c r="C66" s="83"/>
      <c r="D66" s="83"/>
      <c r="E66" s="69"/>
      <c r="F66" s="84"/>
      <c r="M66" s="21"/>
      <c r="N66" s="15"/>
    </row>
    <row r="67" spans="1:14" s="1" customFormat="1" ht="26.25" x14ac:dyDescent="0.4">
      <c r="A67" s="448" t="s">
        <v>149</v>
      </c>
      <c r="B67" s="449"/>
      <c r="C67" s="450"/>
      <c r="D67" s="451"/>
      <c r="E67" s="452"/>
      <c r="F67" s="453"/>
      <c r="G67" s="345"/>
      <c r="M67" s="21"/>
      <c r="N67" s="15"/>
    </row>
    <row r="68" spans="1:14" s="1" customFormat="1" x14ac:dyDescent="0.2">
      <c r="A68" s="325" t="s">
        <v>151</v>
      </c>
      <c r="B68" s="208" t="str">
        <f>B14</f>
        <v>Tafelzwetschgen 33 mm</v>
      </c>
      <c r="C68" s="95" t="str">
        <f>C14</f>
        <v>Sortierabgang</v>
      </c>
      <c r="D68" s="458" t="s">
        <v>226</v>
      </c>
      <c r="E68" s="164" t="s">
        <v>36</v>
      </c>
      <c r="M68" s="21"/>
      <c r="N68" s="15"/>
    </row>
    <row r="69" spans="1:14" s="1" customFormat="1" x14ac:dyDescent="0.2">
      <c r="A69" s="180">
        <v>1</v>
      </c>
      <c r="B69" s="163">
        <f>'Varianten eingeben'!D9</f>
        <v>0.9</v>
      </c>
      <c r="C69" s="163">
        <f>'Varianten eingeben'!D10</f>
        <v>0.1</v>
      </c>
      <c r="D69" s="454">
        <f>'Varianten eingeben'!$B$15*(1+'Varianten eingeben'!$C$15)</f>
        <v>40</v>
      </c>
      <c r="E69" s="125">
        <v>1</v>
      </c>
      <c r="M69" s="21"/>
      <c r="N69" s="15"/>
    </row>
    <row r="70" spans="1:14" s="1" customFormat="1" x14ac:dyDescent="0.2">
      <c r="A70" s="180">
        <v>2</v>
      </c>
      <c r="B70" s="163">
        <f>B69</f>
        <v>0.9</v>
      </c>
      <c r="C70" s="163">
        <f>C69</f>
        <v>0.1</v>
      </c>
      <c r="D70" s="454">
        <f>'Varianten eingeben'!$B$15*(1+'Varianten eingeben'!$C$15)</f>
        <v>40</v>
      </c>
      <c r="E70" s="125">
        <v>2</v>
      </c>
      <c r="M70" s="21"/>
      <c r="N70" s="15"/>
    </row>
    <row r="71" spans="1:14" s="1" customFormat="1" x14ac:dyDescent="0.2">
      <c r="A71" s="180">
        <v>3</v>
      </c>
      <c r="B71" s="163">
        <f>B69</f>
        <v>0.9</v>
      </c>
      <c r="C71" s="163">
        <f>C69</f>
        <v>0.1</v>
      </c>
      <c r="D71" s="454">
        <f>'Varianten eingeben'!$B$15*(1+'Varianten eingeben'!$C$15)</f>
        <v>40</v>
      </c>
      <c r="E71" s="125">
        <v>3</v>
      </c>
      <c r="M71" s="21"/>
      <c r="N71" s="15"/>
    </row>
    <row r="72" spans="1:14" s="1" customFormat="1" x14ac:dyDescent="0.2">
      <c r="A72" s="180">
        <v>4</v>
      </c>
      <c r="B72" s="163">
        <f>B69</f>
        <v>0.9</v>
      </c>
      <c r="C72" s="163">
        <f>C69</f>
        <v>0.1</v>
      </c>
      <c r="D72" s="454">
        <f>'Varianten eingeben'!$B$15*(1+'Varianten eingeben'!$C$15)</f>
        <v>40</v>
      </c>
      <c r="E72" s="125">
        <v>4</v>
      </c>
      <c r="M72" s="21"/>
      <c r="N72" s="15"/>
    </row>
    <row r="73" spans="1:14" s="1" customFormat="1" ht="12.75" customHeight="1" x14ac:dyDescent="0.25">
      <c r="A73" s="49">
        <v>5</v>
      </c>
      <c r="B73" s="163">
        <f>B69</f>
        <v>0.9</v>
      </c>
      <c r="C73" s="163">
        <f>C69</f>
        <v>0.1</v>
      </c>
      <c r="D73" s="454">
        <f>'Varianten eingeben'!$B$15*(1+'Varianten eingeben'!$C$15)</f>
        <v>40</v>
      </c>
      <c r="E73" s="125">
        <v>5</v>
      </c>
      <c r="I73" s="76"/>
      <c r="J73" s="15"/>
      <c r="K73" s="159"/>
      <c r="L73" s="74"/>
      <c r="M73" s="21"/>
      <c r="N73" s="15"/>
    </row>
    <row r="74" spans="1:14" s="1" customFormat="1" ht="12.75" customHeight="1" x14ac:dyDescent="0.25">
      <c r="A74" s="49">
        <v>6</v>
      </c>
      <c r="B74" s="163">
        <f>B69</f>
        <v>0.9</v>
      </c>
      <c r="C74" s="163">
        <f>C69</f>
        <v>0.1</v>
      </c>
      <c r="D74" s="454">
        <f>'Varianten eingeben'!$B$15*(1+'Varianten eingeben'!$C$15)</f>
        <v>40</v>
      </c>
      <c r="E74" s="125">
        <v>6</v>
      </c>
      <c r="I74" s="76"/>
      <c r="J74" s="15"/>
      <c r="K74" s="159"/>
      <c r="L74" s="74"/>
      <c r="M74" s="21"/>
      <c r="N74" s="15"/>
    </row>
    <row r="75" spans="1:14" s="1" customFormat="1" ht="12.75" customHeight="1" x14ac:dyDescent="0.25">
      <c r="A75" s="49">
        <v>7</v>
      </c>
      <c r="B75" s="163">
        <f>B69</f>
        <v>0.9</v>
      </c>
      <c r="C75" s="163">
        <f>C69</f>
        <v>0.1</v>
      </c>
      <c r="D75" s="454">
        <f>'Varianten eingeben'!$B$15*(1+'Varianten eingeben'!$C$15)</f>
        <v>40</v>
      </c>
      <c r="E75" s="125">
        <v>7</v>
      </c>
      <c r="I75" s="76"/>
      <c r="J75" s="15"/>
      <c r="K75" s="159"/>
      <c r="L75" s="74"/>
      <c r="M75" s="21"/>
      <c r="N75" s="15"/>
    </row>
    <row r="76" spans="1:14" s="1" customFormat="1" ht="12.75" customHeight="1" x14ac:dyDescent="0.25">
      <c r="A76" s="49">
        <v>8</v>
      </c>
      <c r="B76" s="163">
        <f>'Varianten eingeben'!D11</f>
        <v>0.9</v>
      </c>
      <c r="C76" s="163">
        <f>'Varianten eingeben'!D12</f>
        <v>0.1</v>
      </c>
      <c r="D76" s="454">
        <f>'Varianten eingeben'!$B$15*(1+'Varianten eingeben'!$C$15)</f>
        <v>40</v>
      </c>
      <c r="E76" s="125">
        <v>8</v>
      </c>
      <c r="I76" s="76"/>
      <c r="J76" s="15"/>
      <c r="K76" s="159"/>
      <c r="L76" s="74"/>
      <c r="M76" s="21"/>
      <c r="N76" s="15"/>
    </row>
    <row r="77" spans="1:14" s="1" customFormat="1" ht="12.75" customHeight="1" x14ac:dyDescent="0.25">
      <c r="A77" s="49">
        <v>9</v>
      </c>
      <c r="B77" s="163">
        <f>$B$76</f>
        <v>0.9</v>
      </c>
      <c r="C77" s="163">
        <f>C76</f>
        <v>0.1</v>
      </c>
      <c r="D77" s="454">
        <f>'Varianten eingeben'!$B$15*(1+'Varianten eingeben'!$C$15)</f>
        <v>40</v>
      </c>
      <c r="E77" s="125">
        <v>9</v>
      </c>
      <c r="I77" s="76"/>
      <c r="J77" s="15"/>
      <c r="K77" s="159"/>
      <c r="L77" s="74"/>
      <c r="M77" s="21"/>
      <c r="N77" s="15"/>
    </row>
    <row r="78" spans="1:14" s="1" customFormat="1" ht="12.75" customHeight="1" x14ac:dyDescent="0.25">
      <c r="A78" s="49">
        <v>10</v>
      </c>
      <c r="B78" s="163">
        <f t="shared" ref="B78:B84" si="2">$B$76</f>
        <v>0.9</v>
      </c>
      <c r="C78" s="163">
        <f t="shared" ref="C78:C84" si="3">C77</f>
        <v>0.1</v>
      </c>
      <c r="D78" s="454">
        <f>'Varianten eingeben'!$B$15*(1+'Varianten eingeben'!$C$15)</f>
        <v>40</v>
      </c>
      <c r="E78" s="125">
        <v>10</v>
      </c>
      <c r="I78" s="76"/>
      <c r="J78" s="15"/>
      <c r="K78" s="159"/>
      <c r="L78" s="74"/>
      <c r="M78" s="21"/>
      <c r="N78" s="15"/>
    </row>
    <row r="79" spans="1:14" s="1" customFormat="1" ht="12.75" customHeight="1" x14ac:dyDescent="0.25">
      <c r="A79" s="49">
        <v>11</v>
      </c>
      <c r="B79" s="163">
        <f t="shared" si="2"/>
        <v>0.9</v>
      </c>
      <c r="C79" s="163">
        <f t="shared" si="3"/>
        <v>0.1</v>
      </c>
      <c r="D79" s="454">
        <f>'Varianten eingeben'!$B$15*(1+'Varianten eingeben'!$C$15)</f>
        <v>40</v>
      </c>
      <c r="E79" s="125">
        <v>11</v>
      </c>
      <c r="I79" s="76"/>
      <c r="J79" s="15"/>
      <c r="K79" s="159"/>
      <c r="L79" s="74"/>
      <c r="M79" s="21"/>
      <c r="N79" s="15"/>
    </row>
    <row r="80" spans="1:14" s="1" customFormat="1" ht="12.75" customHeight="1" x14ac:dyDescent="0.25">
      <c r="A80" s="49">
        <v>12</v>
      </c>
      <c r="B80" s="163">
        <f t="shared" si="2"/>
        <v>0.9</v>
      </c>
      <c r="C80" s="163">
        <f t="shared" si="3"/>
        <v>0.1</v>
      </c>
      <c r="D80" s="454">
        <f>'Varianten eingeben'!$B$15*(1+'Varianten eingeben'!$C$15)</f>
        <v>40</v>
      </c>
      <c r="E80" s="125">
        <v>12</v>
      </c>
      <c r="I80" s="76"/>
      <c r="J80" s="15"/>
      <c r="K80" s="159"/>
      <c r="L80" s="74"/>
      <c r="M80" s="21"/>
      <c r="N80" s="15"/>
    </row>
    <row r="81" spans="1:14" s="1" customFormat="1" ht="12.75" customHeight="1" x14ac:dyDescent="0.25">
      <c r="A81" s="49">
        <v>13</v>
      </c>
      <c r="B81" s="163">
        <f t="shared" si="2"/>
        <v>0.9</v>
      </c>
      <c r="C81" s="163">
        <f t="shared" si="3"/>
        <v>0.1</v>
      </c>
      <c r="D81" s="454">
        <f>'Varianten eingeben'!$B$15*(1+'Varianten eingeben'!$C$15)</f>
        <v>40</v>
      </c>
      <c r="E81" s="125">
        <v>13</v>
      </c>
      <c r="I81" s="76"/>
      <c r="J81" s="15"/>
      <c r="K81" s="159"/>
      <c r="L81" s="74"/>
      <c r="M81" s="21"/>
      <c r="N81" s="15"/>
    </row>
    <row r="82" spans="1:14" s="1" customFormat="1" ht="12.75" customHeight="1" x14ac:dyDescent="0.25">
      <c r="A82" s="49">
        <v>14</v>
      </c>
      <c r="B82" s="163">
        <f t="shared" si="2"/>
        <v>0.9</v>
      </c>
      <c r="C82" s="163">
        <f t="shared" si="3"/>
        <v>0.1</v>
      </c>
      <c r="D82" s="454">
        <f>'Varianten eingeben'!$B$15*(1+'Varianten eingeben'!$C$15)</f>
        <v>40</v>
      </c>
      <c r="E82" s="125">
        <v>14</v>
      </c>
      <c r="I82" s="76"/>
      <c r="J82" s="15"/>
      <c r="K82" s="159"/>
      <c r="L82" s="74"/>
      <c r="M82" s="21"/>
      <c r="N82" s="15"/>
    </row>
    <row r="83" spans="1:14" s="1" customFormat="1" ht="12.75" customHeight="1" x14ac:dyDescent="0.25">
      <c r="A83" s="49">
        <v>15</v>
      </c>
      <c r="B83" s="163">
        <f t="shared" si="2"/>
        <v>0.9</v>
      </c>
      <c r="C83" s="163">
        <f t="shared" si="3"/>
        <v>0.1</v>
      </c>
      <c r="D83" s="454">
        <f>'Varianten eingeben'!$B$15*(1+'Varianten eingeben'!$C$15)</f>
        <v>40</v>
      </c>
      <c r="E83" s="125">
        <v>15</v>
      </c>
      <c r="I83" s="76"/>
      <c r="J83" s="15"/>
      <c r="K83" s="159"/>
      <c r="L83" s="74"/>
      <c r="M83" s="21"/>
      <c r="N83" s="15"/>
    </row>
    <row r="84" spans="1:14" x14ac:dyDescent="0.2">
      <c r="A84" s="49">
        <v>16</v>
      </c>
      <c r="B84" s="163">
        <f t="shared" si="2"/>
        <v>0.9</v>
      </c>
      <c r="C84" s="163">
        <f t="shared" si="3"/>
        <v>0.1</v>
      </c>
      <c r="D84" s="454">
        <f>'Varianten eingeben'!$B$15*(1+'Varianten eingeben'!$C$15)</f>
        <v>40</v>
      </c>
      <c r="E84" s="125">
        <v>16</v>
      </c>
    </row>
    <row r="85" spans="1:14" s="1" customFormat="1" ht="15.75" x14ac:dyDescent="0.25">
      <c r="A85" s="54" t="s">
        <v>237</v>
      </c>
      <c r="B85" s="102">
        <f>AVERAGE(B73:B84)</f>
        <v>0.90000000000000024</v>
      </c>
      <c r="C85" s="102">
        <f>AVERAGE(C73:C84)</f>
        <v>9.9999999999999992E-2</v>
      </c>
      <c r="D85" s="327">
        <f>'Varianten eingeben'!D15</f>
        <v>40</v>
      </c>
      <c r="E85" s="69"/>
      <c r="I85" s="76"/>
      <c r="J85" s="15"/>
      <c r="K85" s="159"/>
      <c r="L85" s="74"/>
      <c r="M85" s="21"/>
      <c r="N85" s="15"/>
    </row>
    <row r="86" spans="1:14" s="1" customFormat="1" ht="15.75" x14ac:dyDescent="0.25">
      <c r="A86" s="54" t="s">
        <v>238</v>
      </c>
      <c r="B86" s="102">
        <f>AVERAGE(B69:B84)</f>
        <v>0.90000000000000024</v>
      </c>
      <c r="C86" s="102">
        <f>AVERAGE(C69:C84)</f>
        <v>0.10000000000000002</v>
      </c>
      <c r="D86" s="327">
        <f>AVERAGE(D69:D84)</f>
        <v>40</v>
      </c>
      <c r="E86" s="84"/>
      <c r="I86" s="76"/>
      <c r="J86" s="15"/>
      <c r="K86" s="159"/>
      <c r="L86" s="74"/>
      <c r="M86" s="21"/>
      <c r="N86" s="15"/>
    </row>
    <row r="87" spans="1:14" s="1" customFormat="1" ht="15.75" x14ac:dyDescent="0.25">
      <c r="B87" s="83"/>
      <c r="C87" s="83"/>
      <c r="D87" s="83"/>
      <c r="E87" s="69"/>
      <c r="F87" s="84"/>
      <c r="I87" s="98"/>
      <c r="J87" s="21"/>
      <c r="K87" s="159"/>
      <c r="L87" s="127"/>
      <c r="M87" s="21"/>
      <c r="N87" s="21"/>
    </row>
    <row r="88" spans="1:14" s="1" customFormat="1" ht="33" x14ac:dyDescent="0.45">
      <c r="A88" s="199" t="s">
        <v>335</v>
      </c>
      <c r="B88" s="455"/>
      <c r="C88" s="455"/>
      <c r="D88" s="455"/>
      <c r="E88" s="456"/>
      <c r="F88" s="457"/>
      <c r="G88" s="341"/>
      <c r="H88" s="198"/>
      <c r="I88" s="153"/>
      <c r="J88" s="21"/>
      <c r="K88" s="159"/>
      <c r="L88" s="127"/>
      <c r="M88" s="21"/>
      <c r="N88" s="21"/>
    </row>
    <row r="89" spans="1:14" s="1" customFormat="1" ht="35.25" customHeight="1" x14ac:dyDescent="0.25">
      <c r="A89" s="21"/>
      <c r="B89" s="797" t="s">
        <v>139</v>
      </c>
      <c r="C89" s="797" t="s">
        <v>140</v>
      </c>
      <c r="D89" s="799" t="s">
        <v>419</v>
      </c>
      <c r="E89" s="800" t="s">
        <v>418</v>
      </c>
      <c r="F89" s="798" t="s">
        <v>142</v>
      </c>
      <c r="G89" s="801" t="s">
        <v>143</v>
      </c>
      <c r="I89" s="98"/>
      <c r="J89" s="21"/>
      <c r="K89" s="159"/>
      <c r="L89" s="127"/>
      <c r="M89" s="21"/>
      <c r="N89" s="21"/>
    </row>
    <row r="90" spans="1:14" s="1" customFormat="1" ht="15.75" x14ac:dyDescent="0.25">
      <c r="B90" s="110" t="s">
        <v>141</v>
      </c>
      <c r="C90" s="110" t="s">
        <v>141</v>
      </c>
      <c r="D90" s="110" t="s">
        <v>141</v>
      </c>
      <c r="E90" s="110" t="s">
        <v>141</v>
      </c>
      <c r="F90" s="110" t="s">
        <v>141</v>
      </c>
      <c r="G90" s="110" t="s">
        <v>141</v>
      </c>
      <c r="I90" s="98"/>
      <c r="J90" s="21"/>
      <c r="K90" s="159"/>
      <c r="L90" s="127"/>
      <c r="M90" s="21"/>
      <c r="N90" s="21"/>
    </row>
    <row r="91" spans="1:14" s="1" customFormat="1" ht="15.75" x14ac:dyDescent="0.25">
      <c r="A91" s="80" t="s">
        <v>441</v>
      </c>
      <c r="B91" s="729">
        <v>10</v>
      </c>
      <c r="C91" s="729">
        <v>5</v>
      </c>
      <c r="D91" s="729">
        <v>100</v>
      </c>
      <c r="E91" s="1222">
        <f>'Varianten eingeben'!D20</f>
        <v>100</v>
      </c>
      <c r="F91" s="730">
        <v>30</v>
      </c>
      <c r="G91" s="731">
        <v>10</v>
      </c>
      <c r="I91" s="98"/>
      <c r="J91" s="21"/>
      <c r="K91" s="159"/>
      <c r="L91" s="127"/>
      <c r="M91" s="21"/>
      <c r="N91" s="21"/>
    </row>
    <row r="92" spans="1:14" s="1" customFormat="1" ht="15.75" x14ac:dyDescent="0.25">
      <c r="A92" s="1" t="s">
        <v>110</v>
      </c>
      <c r="B92" s="732">
        <v>10</v>
      </c>
      <c r="C92" s="732">
        <v>5</v>
      </c>
      <c r="D92" s="732">
        <v>20</v>
      </c>
      <c r="E92" s="732">
        <v>0</v>
      </c>
      <c r="F92" s="730">
        <v>10</v>
      </c>
      <c r="G92" s="731">
        <v>10</v>
      </c>
      <c r="I92" s="98"/>
      <c r="J92" s="21"/>
      <c r="K92" s="159"/>
      <c r="L92" s="127"/>
      <c r="M92" s="21"/>
      <c r="N92" s="21"/>
    </row>
    <row r="93" spans="1:14" s="1" customFormat="1" ht="15.75" x14ac:dyDescent="0.25">
      <c r="A93" s="1" t="s">
        <v>144</v>
      </c>
      <c r="B93" s="732">
        <v>10</v>
      </c>
      <c r="C93" s="732">
        <v>5</v>
      </c>
      <c r="D93" s="732">
        <v>40</v>
      </c>
      <c r="E93" s="732">
        <v>0</v>
      </c>
      <c r="F93" s="730">
        <v>10</v>
      </c>
      <c r="G93" s="731">
        <v>10</v>
      </c>
      <c r="I93" s="98"/>
      <c r="J93" s="21"/>
      <c r="K93" s="159"/>
      <c r="L93" s="127"/>
      <c r="M93" s="21"/>
      <c r="N93" s="21"/>
    </row>
    <row r="94" spans="1:14" s="1" customFormat="1" ht="15.75" x14ac:dyDescent="0.25">
      <c r="A94" s="1" t="s">
        <v>442</v>
      </c>
      <c r="B94" s="732">
        <v>10</v>
      </c>
      <c r="C94" s="732">
        <v>5</v>
      </c>
      <c r="D94" s="732">
        <v>60</v>
      </c>
      <c r="E94" s="732">
        <v>60</v>
      </c>
      <c r="F94" s="730">
        <v>10</v>
      </c>
      <c r="G94" s="730">
        <v>10</v>
      </c>
      <c r="I94" s="98"/>
      <c r="J94" s="21"/>
      <c r="K94" s="159"/>
      <c r="L94" s="127"/>
      <c r="M94" s="21"/>
      <c r="N94" s="21"/>
    </row>
    <row r="95" spans="1:14" s="1" customFormat="1" ht="15.75" x14ac:dyDescent="0.25">
      <c r="B95" s="168"/>
      <c r="C95" s="168"/>
      <c r="D95" s="168"/>
      <c r="E95" s="168"/>
      <c r="F95" s="84"/>
      <c r="I95" s="98"/>
      <c r="J95" s="21"/>
      <c r="K95" s="159"/>
      <c r="L95" s="127"/>
      <c r="M95" s="21"/>
      <c r="N95" s="21"/>
    </row>
    <row r="96" spans="1:14" s="1" customFormat="1" ht="32.1" customHeight="1" x14ac:dyDescent="0.4">
      <c r="A96" s="199" t="s">
        <v>345</v>
      </c>
      <c r="B96" s="344"/>
      <c r="C96" s="344"/>
      <c r="D96" s="344"/>
      <c r="E96" s="344"/>
      <c r="F96" s="344"/>
      <c r="G96" s="344"/>
    </row>
    <row r="97" spans="1:14" x14ac:dyDescent="0.2">
      <c r="K97" s="1"/>
      <c r="M97" s="21"/>
      <c r="N97" s="77"/>
    </row>
    <row r="98" spans="1:14" s="1" customFormat="1" ht="26.25" x14ac:dyDescent="0.4">
      <c r="A98" s="199" t="s">
        <v>109</v>
      </c>
      <c r="B98" s="344"/>
      <c r="C98" s="201"/>
      <c r="D98" s="202"/>
      <c r="E98" s="340"/>
      <c r="F98" s="341"/>
      <c r="G98" s="345"/>
      <c r="M98" s="21"/>
      <c r="N98" s="15"/>
    </row>
    <row r="99" spans="1:14" ht="33" customHeight="1" x14ac:dyDescent="0.2">
      <c r="A99" s="763"/>
      <c r="B99" s="87" t="s">
        <v>62</v>
      </c>
      <c r="C99" s="1308" t="s">
        <v>674</v>
      </c>
      <c r="D99" s="1221" t="s">
        <v>426</v>
      </c>
      <c r="E99" s="87" t="s">
        <v>152</v>
      </c>
      <c r="F99" s="37"/>
      <c r="G99" s="134"/>
      <c r="I99" s="21"/>
      <c r="J99" s="21"/>
      <c r="K99" s="21"/>
      <c r="L99" s="21"/>
      <c r="M99" s="21"/>
      <c r="N99" s="15"/>
    </row>
    <row r="100" spans="1:14" x14ac:dyDescent="0.2">
      <c r="A100" s="764" t="s">
        <v>58</v>
      </c>
      <c r="B100" s="726">
        <v>0.9</v>
      </c>
      <c r="C100" s="726">
        <v>1.08</v>
      </c>
      <c r="D100" s="726">
        <v>0.79</v>
      </c>
      <c r="E100" s="726">
        <v>0.67</v>
      </c>
      <c r="H100" s="650"/>
      <c r="I100" s="154"/>
      <c r="J100" s="41"/>
      <c r="K100" s="41"/>
      <c r="L100" s="153"/>
      <c r="M100" s="21"/>
    </row>
    <row r="101" spans="1:14" x14ac:dyDescent="0.2">
      <c r="A101" s="42"/>
      <c r="B101" s="727"/>
      <c r="C101" s="727"/>
      <c r="D101" s="371"/>
      <c r="E101" s="371"/>
      <c r="I101" s="154"/>
      <c r="J101" s="44"/>
      <c r="K101" s="44"/>
      <c r="L101" s="44"/>
      <c r="M101" s="21"/>
    </row>
    <row r="102" spans="1:14" x14ac:dyDescent="0.2">
      <c r="A102" s="765" t="s">
        <v>96</v>
      </c>
      <c r="B102" s="728">
        <v>150</v>
      </c>
      <c r="C102" s="728">
        <v>270</v>
      </c>
      <c r="D102" s="728">
        <v>0</v>
      </c>
      <c r="E102" s="728">
        <v>0</v>
      </c>
      <c r="I102" s="154"/>
      <c r="J102" s="155"/>
      <c r="K102" s="155"/>
      <c r="L102" s="156"/>
      <c r="M102" s="21"/>
    </row>
    <row r="103" spans="1:14" x14ac:dyDescent="0.2">
      <c r="A103" s="763"/>
      <c r="B103" s="696"/>
      <c r="C103" s="669"/>
      <c r="D103" s="13"/>
      <c r="E103" s="13"/>
      <c r="I103" s="21"/>
      <c r="J103" s="21"/>
      <c r="K103" s="21"/>
      <c r="L103" s="21"/>
      <c r="M103" s="21"/>
    </row>
    <row r="104" spans="1:14" x14ac:dyDescent="0.2">
      <c r="A104" s="765" t="s">
        <v>110</v>
      </c>
      <c r="B104" s="882">
        <v>150</v>
      </c>
      <c r="C104" s="882">
        <v>0</v>
      </c>
      <c r="D104" s="882">
        <v>0</v>
      </c>
      <c r="E104" s="882">
        <v>0</v>
      </c>
      <c r="I104" s="40"/>
      <c r="J104" s="21"/>
      <c r="K104" s="40"/>
      <c r="L104" s="40"/>
      <c r="M104" s="21"/>
    </row>
    <row r="105" spans="1:14" x14ac:dyDescent="0.2">
      <c r="A105" s="766" t="s">
        <v>155</v>
      </c>
      <c r="B105" s="881">
        <v>2</v>
      </c>
      <c r="C105" s="881">
        <v>0</v>
      </c>
      <c r="D105" s="881">
        <v>0</v>
      </c>
      <c r="E105" s="881">
        <v>0</v>
      </c>
      <c r="I105" s="40"/>
      <c r="J105" s="21"/>
      <c r="K105" s="40"/>
      <c r="L105" s="40"/>
      <c r="M105" s="21"/>
    </row>
    <row r="106" spans="1:14" x14ac:dyDescent="0.2">
      <c r="A106" s="765" t="s">
        <v>111</v>
      </c>
      <c r="B106" s="882">
        <v>150</v>
      </c>
      <c r="C106" s="882">
        <v>0</v>
      </c>
      <c r="D106" s="882">
        <v>0</v>
      </c>
      <c r="E106" s="882">
        <v>0</v>
      </c>
      <c r="I106" s="40"/>
      <c r="J106" s="21"/>
      <c r="K106" s="157"/>
      <c r="L106" s="21"/>
      <c r="M106" s="21"/>
    </row>
    <row r="107" spans="1:14" x14ac:dyDescent="0.2">
      <c r="A107" s="766" t="s">
        <v>155</v>
      </c>
      <c r="B107" s="881">
        <v>2</v>
      </c>
      <c r="C107" s="881">
        <v>0</v>
      </c>
      <c r="D107" s="881">
        <v>0</v>
      </c>
      <c r="E107" s="881">
        <v>0</v>
      </c>
      <c r="I107" s="40"/>
      <c r="J107" s="21"/>
      <c r="K107" s="158"/>
      <c r="L107" s="21"/>
      <c r="M107" s="21"/>
    </row>
    <row r="108" spans="1:14" ht="15.75" x14ac:dyDescent="0.25">
      <c r="A108" s="765" t="s">
        <v>436</v>
      </c>
      <c r="B108" s="882">
        <v>180</v>
      </c>
      <c r="C108" s="882">
        <v>0</v>
      </c>
      <c r="D108" s="882">
        <v>0</v>
      </c>
      <c r="E108" s="882">
        <v>0</v>
      </c>
      <c r="I108" s="98"/>
      <c r="J108" s="21"/>
      <c r="K108" s="159"/>
      <c r="L108" s="127"/>
      <c r="M108" s="21"/>
    </row>
    <row r="109" spans="1:14" x14ac:dyDescent="0.2">
      <c r="A109" s="766" t="s">
        <v>155</v>
      </c>
      <c r="B109" s="881">
        <v>2</v>
      </c>
      <c r="C109" s="881">
        <v>0</v>
      </c>
      <c r="D109" s="881">
        <v>0</v>
      </c>
      <c r="E109" s="881">
        <v>0</v>
      </c>
    </row>
    <row r="110" spans="1:14" x14ac:dyDescent="0.2">
      <c r="A110" s="765" t="s">
        <v>437</v>
      </c>
      <c r="B110" s="882">
        <v>220</v>
      </c>
      <c r="C110" s="882">
        <v>300</v>
      </c>
      <c r="D110" s="882">
        <v>35</v>
      </c>
      <c r="E110" s="882">
        <v>180</v>
      </c>
    </row>
    <row r="111" spans="1:14" x14ac:dyDescent="0.2">
      <c r="A111" s="766" t="s">
        <v>155</v>
      </c>
      <c r="B111" s="881">
        <v>3</v>
      </c>
      <c r="C111" s="1310">
        <v>1</v>
      </c>
      <c r="D111" s="881">
        <v>0</v>
      </c>
      <c r="E111" s="881">
        <v>0</v>
      </c>
    </row>
    <row r="113" spans="1:8" s="1" customFormat="1" ht="30.75" customHeight="1" x14ac:dyDescent="0.4">
      <c r="A113" s="199" t="s">
        <v>427</v>
      </c>
      <c r="B113" s="344"/>
      <c r="C113" s="201"/>
      <c r="D113" s="202"/>
      <c r="E113" s="1361"/>
      <c r="F113" s="1361"/>
      <c r="G113" s="1361"/>
    </row>
    <row r="114" spans="1:8" x14ac:dyDescent="0.2">
      <c r="A114" s="676"/>
      <c r="B114" s="1320" t="s">
        <v>41</v>
      </c>
      <c r="C114" s="1320" t="s">
        <v>42</v>
      </c>
      <c r="D114" s="1320" t="s">
        <v>43</v>
      </c>
      <c r="E114" s="1320" t="s">
        <v>688</v>
      </c>
      <c r="F114" s="676"/>
    </row>
    <row r="115" spans="1:8" x14ac:dyDescent="0.2">
      <c r="A115" s="1319" t="s">
        <v>683</v>
      </c>
      <c r="B115" s="1321">
        <v>420</v>
      </c>
      <c r="C115" s="1321">
        <v>550</v>
      </c>
      <c r="D115" s="1321">
        <v>1200</v>
      </c>
      <c r="E115" s="1321">
        <v>1200</v>
      </c>
      <c r="F115" s="53"/>
    </row>
    <row r="116" spans="1:8" x14ac:dyDescent="0.2">
      <c r="A116" s="4" t="s">
        <v>684</v>
      </c>
      <c r="B116" s="1321">
        <v>55</v>
      </c>
      <c r="C116" s="1321">
        <v>55</v>
      </c>
      <c r="D116" s="1321">
        <v>900</v>
      </c>
      <c r="E116" s="1321">
        <v>1200</v>
      </c>
      <c r="F116" s="53"/>
    </row>
    <row r="117" spans="1:8" x14ac:dyDescent="0.2">
      <c r="A117" s="4" t="s">
        <v>685</v>
      </c>
      <c r="B117" s="1321">
        <v>0</v>
      </c>
      <c r="C117" s="1321">
        <v>80</v>
      </c>
      <c r="D117" s="1321">
        <v>150</v>
      </c>
      <c r="E117" s="1321">
        <v>160</v>
      </c>
      <c r="F117" s="4"/>
      <c r="G117" s="650"/>
    </row>
    <row r="118" spans="1:8" x14ac:dyDescent="0.2">
      <c r="A118" s="53"/>
      <c r="B118" s="53"/>
      <c r="C118" s="53"/>
      <c r="D118" s="53"/>
      <c r="E118" s="53"/>
      <c r="F118" s="4"/>
      <c r="G118" s="650"/>
    </row>
    <row r="119" spans="1:8" x14ac:dyDescent="0.2">
      <c r="A119" s="1319" t="s">
        <v>686</v>
      </c>
      <c r="B119" s="53">
        <v>6</v>
      </c>
      <c r="C119" s="53">
        <v>7</v>
      </c>
      <c r="D119" s="53">
        <v>13</v>
      </c>
      <c r="E119" s="53">
        <v>13</v>
      </c>
      <c r="F119" s="4"/>
      <c r="G119" s="650"/>
    </row>
    <row r="120" spans="1:8" x14ac:dyDescent="0.2">
      <c r="A120" s="4" t="s">
        <v>687</v>
      </c>
      <c r="B120" s="1225">
        <v>2</v>
      </c>
      <c r="C120" s="1225">
        <v>2</v>
      </c>
      <c r="D120" s="1225">
        <v>4</v>
      </c>
      <c r="E120" s="1225">
        <v>4</v>
      </c>
      <c r="F120" s="4"/>
      <c r="G120" s="650"/>
    </row>
    <row r="121" spans="1:8" x14ac:dyDescent="0.2">
      <c r="A121" s="4"/>
      <c r="B121" s="4"/>
      <c r="C121" s="4"/>
      <c r="D121" s="4"/>
      <c r="E121" s="4"/>
      <c r="F121" s="4"/>
      <c r="G121" s="650"/>
    </row>
    <row r="122" spans="1:8" x14ac:dyDescent="0.2">
      <c r="A122" s="674"/>
      <c r="B122" s="674"/>
      <c r="C122" s="674"/>
      <c r="D122" s="674"/>
      <c r="E122" s="674"/>
      <c r="F122" s="675"/>
      <c r="G122" s="650"/>
    </row>
    <row r="123" spans="1:8" x14ac:dyDescent="0.2">
      <c r="A123" s="676"/>
      <c r="B123" s="676"/>
      <c r="C123" s="676"/>
      <c r="D123" s="676"/>
      <c r="E123" s="676"/>
      <c r="F123" s="34"/>
      <c r="G123" s="650"/>
    </row>
    <row r="124" spans="1:8" ht="26.25" x14ac:dyDescent="0.4">
      <c r="A124" s="459" t="s">
        <v>23</v>
      </c>
      <c r="B124" s="200"/>
      <c r="C124" s="460"/>
      <c r="D124" s="461"/>
      <c r="E124" s="461"/>
      <c r="F124" s="1352" t="s">
        <v>667</v>
      </c>
      <c r="G124" s="1353"/>
      <c r="H124" s="1353"/>
    </row>
    <row r="125" spans="1:8" x14ac:dyDescent="0.2">
      <c r="A125" s="462" t="s">
        <v>171</v>
      </c>
      <c r="B125" s="108"/>
      <c r="C125" s="11"/>
      <c r="D125" s="11"/>
      <c r="E125" s="11"/>
      <c r="F125" s="15"/>
    </row>
    <row r="126" spans="1:8" x14ac:dyDescent="0.2">
      <c r="A126" s="462" t="s">
        <v>409</v>
      </c>
      <c r="B126" s="108"/>
      <c r="C126" s="10"/>
      <c r="F126"/>
    </row>
    <row r="127" spans="1:8" x14ac:dyDescent="0.2">
      <c r="A127" s="4"/>
      <c r="B127" s="171"/>
      <c r="C127" s="107"/>
      <c r="D127" s="11"/>
      <c r="E127" s="11"/>
      <c r="F127" s="11"/>
    </row>
    <row r="128" spans="1:8" ht="15.75" x14ac:dyDescent="0.25">
      <c r="A128" s="194" t="s">
        <v>99</v>
      </c>
      <c r="B128" s="15"/>
      <c r="C128" s="113"/>
      <c r="D128" s="11"/>
      <c r="E128" s="11"/>
      <c r="F128" s="11"/>
    </row>
    <row r="129" spans="1:9" ht="18" customHeight="1" x14ac:dyDescent="0.25">
      <c r="A129" s="773" t="s">
        <v>24</v>
      </c>
      <c r="B129" s="98" t="s">
        <v>368</v>
      </c>
      <c r="C129" s="669"/>
      <c r="D129" s="1324">
        <f>D141</f>
        <v>41</v>
      </c>
      <c r="E129" s="772"/>
      <c r="F129" s="11"/>
      <c r="G129" s="128"/>
      <c r="H129" s="15"/>
    </row>
    <row r="130" spans="1:9" x14ac:dyDescent="0.2">
      <c r="A130" s="80"/>
      <c r="B130" s="15"/>
      <c r="C130" s="136" t="s">
        <v>115</v>
      </c>
      <c r="D130" s="778" t="s">
        <v>116</v>
      </c>
      <c r="E130" s="110" t="s">
        <v>11</v>
      </c>
      <c r="F130" s="87" t="s">
        <v>402</v>
      </c>
      <c r="G130" s="87" t="s">
        <v>403</v>
      </c>
      <c r="H130" s="87" t="s">
        <v>404</v>
      </c>
    </row>
    <row r="131" spans="1:9" x14ac:dyDescent="0.2">
      <c r="A131" s="1354" t="s">
        <v>113</v>
      </c>
      <c r="B131" s="774" t="s">
        <v>439</v>
      </c>
      <c r="C131" s="719">
        <v>1</v>
      </c>
      <c r="D131" s="1329">
        <v>37</v>
      </c>
      <c r="E131" s="1318"/>
      <c r="F131" s="1198"/>
      <c r="G131" s="1332">
        <v>11.67</v>
      </c>
      <c r="H131" s="683"/>
      <c r="I131" s="1"/>
    </row>
    <row r="132" spans="1:9" x14ac:dyDescent="0.2">
      <c r="A132" s="1354"/>
      <c r="B132" s="1224" t="s">
        <v>680</v>
      </c>
      <c r="C132" s="719">
        <v>1</v>
      </c>
      <c r="D132" s="1330">
        <v>69</v>
      </c>
      <c r="E132" s="1318"/>
      <c r="F132" s="1198"/>
      <c r="G132" s="1332">
        <v>13.22</v>
      </c>
      <c r="H132" s="683"/>
      <c r="I132" s="1"/>
    </row>
    <row r="133" spans="1:9" ht="20.25" customHeight="1" x14ac:dyDescent="0.2">
      <c r="A133" s="1354"/>
      <c r="B133" s="763" t="s">
        <v>681</v>
      </c>
      <c r="C133" s="719">
        <v>1</v>
      </c>
      <c r="D133" s="1330">
        <v>18</v>
      </c>
      <c r="E133" s="1318"/>
      <c r="F133" s="1198"/>
      <c r="G133" s="1332">
        <v>7.03</v>
      </c>
      <c r="H133" s="683"/>
      <c r="I133" s="1"/>
    </row>
    <row r="134" spans="1:9" ht="12.75" customHeight="1" x14ac:dyDescent="0.2">
      <c r="A134" s="1354"/>
      <c r="B134" s="171" t="s">
        <v>156</v>
      </c>
      <c r="C134" s="720">
        <v>0.1</v>
      </c>
      <c r="D134" s="1331">
        <v>25</v>
      </c>
      <c r="E134" s="44"/>
      <c r="F134" s="1198"/>
      <c r="G134" s="1332">
        <v>5</v>
      </c>
      <c r="H134" s="683"/>
      <c r="I134" s="151"/>
    </row>
    <row r="135" spans="1:9" ht="25.5" x14ac:dyDescent="0.2">
      <c r="A135" s="1354"/>
      <c r="B135" s="1224" t="s">
        <v>663</v>
      </c>
      <c r="C135" s="719">
        <v>1</v>
      </c>
      <c r="D135" s="1330">
        <v>42</v>
      </c>
      <c r="E135" s="44"/>
      <c r="F135" s="1198"/>
      <c r="G135" s="1332">
        <v>14.5</v>
      </c>
      <c r="H135" s="683"/>
      <c r="I135" s="151"/>
    </row>
    <row r="136" spans="1:9" ht="12.75" customHeight="1" x14ac:dyDescent="0.2">
      <c r="A136" s="1354"/>
      <c r="B136" s="774" t="s">
        <v>67</v>
      </c>
      <c r="C136" s="719">
        <v>2</v>
      </c>
      <c r="D136" s="1330">
        <v>68.3</v>
      </c>
      <c r="E136" s="44"/>
      <c r="F136" s="1198"/>
      <c r="G136" s="1332">
        <v>29.05</v>
      </c>
      <c r="H136" s="683"/>
      <c r="I136" s="151"/>
    </row>
    <row r="137" spans="1:9" ht="12.75" customHeight="1" x14ac:dyDescent="0.2">
      <c r="A137" s="1354"/>
      <c r="B137" s="774" t="s">
        <v>157</v>
      </c>
      <c r="C137" s="39"/>
      <c r="D137" s="776">
        <v>500</v>
      </c>
      <c r="E137" s="44"/>
      <c r="F137" s="1198"/>
      <c r="G137" s="1198"/>
      <c r="H137" s="683"/>
      <c r="I137" s="151"/>
    </row>
    <row r="138" spans="1:9" ht="12.75" customHeight="1" x14ac:dyDescent="0.25">
      <c r="A138" s="194"/>
      <c r="B138" s="15"/>
      <c r="C138" s="684"/>
      <c r="D138" s="107"/>
      <c r="E138" s="44"/>
      <c r="F138" s="1198"/>
      <c r="G138" s="1198"/>
      <c r="H138" s="683"/>
      <c r="I138" s="1"/>
    </row>
    <row r="139" spans="1:9" ht="15.75" x14ac:dyDescent="0.25">
      <c r="A139" s="194"/>
      <c r="B139" s="194" t="s">
        <v>107</v>
      </c>
      <c r="C139" s="113"/>
      <c r="D139" s="11"/>
      <c r="E139" s="11"/>
      <c r="F139" s="763"/>
      <c r="G139" s="763"/>
      <c r="H139" s="41"/>
      <c r="I139" s="135"/>
    </row>
    <row r="140" spans="1:9" ht="17.850000000000001" customHeight="1" x14ac:dyDescent="0.25">
      <c r="A140" s="194"/>
      <c r="B140" s="76"/>
      <c r="C140" s="136" t="s">
        <v>84</v>
      </c>
      <c r="D140" s="110" t="s">
        <v>21</v>
      </c>
      <c r="E140" s="11"/>
      <c r="F140" s="1105"/>
      <c r="G140" s="1105"/>
      <c r="H140" s="1105"/>
    </row>
    <row r="141" spans="1:9" ht="17.850000000000001" customHeight="1" x14ac:dyDescent="0.25">
      <c r="A141" s="773" t="s">
        <v>24</v>
      </c>
      <c r="B141" s="763" t="s">
        <v>664</v>
      </c>
      <c r="C141" s="684" t="s">
        <v>2</v>
      </c>
      <c r="D141" s="1325">
        <v>41</v>
      </c>
      <c r="E141" s="11"/>
      <c r="F141" s="1200"/>
      <c r="G141" s="1200"/>
      <c r="H141" s="1223"/>
    </row>
    <row r="142" spans="1:9" ht="15.75" x14ac:dyDescent="0.25">
      <c r="A142" s="773" t="s">
        <v>113</v>
      </c>
      <c r="B142" s="21" t="s">
        <v>187</v>
      </c>
      <c r="C142" s="719">
        <v>3.8</v>
      </c>
      <c r="D142" s="1325">
        <v>23</v>
      </c>
      <c r="E142" s="11"/>
      <c r="F142" s="1198"/>
      <c r="G142" s="1198"/>
      <c r="H142" s="683"/>
    </row>
    <row r="143" spans="1:9" x14ac:dyDescent="0.2">
      <c r="A143" s="763"/>
      <c r="B143" s="763" t="s">
        <v>665</v>
      </c>
      <c r="C143" s="719">
        <v>1.8</v>
      </c>
      <c r="D143" s="1325">
        <v>101</v>
      </c>
      <c r="E143" s="11"/>
      <c r="F143" s="1198"/>
      <c r="G143" s="1198"/>
      <c r="H143" s="683"/>
    </row>
    <row r="144" spans="1:9" x14ac:dyDescent="0.2">
      <c r="A144" s="763"/>
      <c r="B144" s="21" t="s">
        <v>97</v>
      </c>
      <c r="C144" s="719">
        <v>1.6</v>
      </c>
      <c r="D144" s="1325">
        <v>90</v>
      </c>
      <c r="E144" s="11"/>
      <c r="F144" s="683"/>
      <c r="G144" s="683"/>
      <c r="H144" s="683"/>
    </row>
    <row r="145" spans="1:11" x14ac:dyDescent="0.2">
      <c r="A145" s="763"/>
      <c r="B145" s="21" t="s">
        <v>98</v>
      </c>
      <c r="C145" s="685">
        <v>0.1</v>
      </c>
      <c r="D145" s="1326">
        <v>15</v>
      </c>
      <c r="E145" s="11"/>
      <c r="F145" s="683"/>
      <c r="G145" s="683"/>
      <c r="H145" s="683"/>
    </row>
    <row r="146" spans="1:11" x14ac:dyDescent="0.2">
      <c r="A146" s="763"/>
      <c r="B146" s="21" t="s">
        <v>470</v>
      </c>
      <c r="C146" s="685"/>
      <c r="D146" s="1326">
        <v>25</v>
      </c>
      <c r="E146" s="11"/>
      <c r="F146" s="683"/>
      <c r="G146" s="683"/>
      <c r="H146" s="683"/>
    </row>
    <row r="147" spans="1:11" x14ac:dyDescent="0.2">
      <c r="A147" s="763"/>
      <c r="B147" s="763" t="s">
        <v>440</v>
      </c>
      <c r="C147" s="1197"/>
      <c r="D147" s="1326">
        <v>8</v>
      </c>
      <c r="E147" s="41"/>
      <c r="F147" s="1198"/>
      <c r="G147" s="1198"/>
      <c r="H147" s="1198"/>
      <c r="I147" s="1"/>
      <c r="J147" s="1"/>
      <c r="K147" s="1"/>
    </row>
    <row r="148" spans="1:11" x14ac:dyDescent="0.2">
      <c r="A148" s="21"/>
      <c r="B148" s="763" t="s">
        <v>25</v>
      </c>
      <c r="C148" s="886"/>
      <c r="D148" s="1327">
        <v>220</v>
      </c>
      <c r="E148" s="41"/>
      <c r="F148" s="41"/>
      <c r="G148" s="763"/>
      <c r="H148" s="1198"/>
      <c r="I148" s="1"/>
      <c r="J148" s="651"/>
      <c r="K148" s="1"/>
    </row>
    <row r="149" spans="1:11" x14ac:dyDescent="0.2">
      <c r="A149" s="1"/>
      <c r="B149" s="763" t="s">
        <v>666</v>
      </c>
      <c r="C149" s="1199"/>
      <c r="D149" s="1328">
        <v>37</v>
      </c>
      <c r="E149" s="1225"/>
      <c r="F149" s="1225"/>
      <c r="G149" s="4"/>
      <c r="H149" s="1198"/>
      <c r="I149" s="1"/>
      <c r="J149" s="651"/>
      <c r="K149" s="1"/>
    </row>
    <row r="150" spans="1:11" x14ac:dyDescent="0.2">
      <c r="A150" s="1"/>
      <c r="B150" s="763" t="s">
        <v>384</v>
      </c>
      <c r="C150" s="1199" t="s">
        <v>405</v>
      </c>
      <c r="D150" s="1326">
        <v>150</v>
      </c>
      <c r="E150" s="1225"/>
      <c r="F150" s="1225"/>
      <c r="G150" s="4"/>
      <c r="H150" s="1200"/>
      <c r="I150" s="1"/>
      <c r="J150" s="651"/>
      <c r="K150" s="1"/>
    </row>
    <row r="151" spans="1:11" x14ac:dyDescent="0.2">
      <c r="A151" s="1"/>
      <c r="B151" s="763" t="s">
        <v>679</v>
      </c>
      <c r="C151" s="1199"/>
      <c r="D151" s="1326">
        <v>17.5</v>
      </c>
      <c r="E151" s="1225"/>
      <c r="F151" s="1225"/>
      <c r="G151" s="4"/>
      <c r="H151" s="1198"/>
      <c r="I151" s="1226"/>
      <c r="J151" s="1226"/>
      <c r="K151" s="1"/>
    </row>
    <row r="152" spans="1:11" x14ac:dyDescent="0.2">
      <c r="C152" s="111"/>
      <c r="D152" s="34"/>
      <c r="H152" s="135"/>
      <c r="I152" s="135"/>
      <c r="J152" s="135"/>
    </row>
    <row r="153" spans="1:11" ht="26.25" x14ac:dyDescent="0.4">
      <c r="A153" s="199" t="s">
        <v>17</v>
      </c>
      <c r="B153" s="200"/>
      <c r="C153" s="201"/>
      <c r="D153" s="202"/>
      <c r="E153" s="202"/>
      <c r="F153" s="202"/>
      <c r="G153" s="200"/>
      <c r="H153" s="200"/>
    </row>
    <row r="154" spans="1:11" x14ac:dyDescent="0.2">
      <c r="A154" s="49" t="s">
        <v>215</v>
      </c>
      <c r="C154" s="206" t="s">
        <v>218</v>
      </c>
      <c r="D154" s="37" t="s">
        <v>217</v>
      </c>
      <c r="E154" s="37" t="s">
        <v>199</v>
      </c>
    </row>
    <row r="155" spans="1:11" ht="38.25" x14ac:dyDescent="0.2">
      <c r="B155" s="687" t="s">
        <v>220</v>
      </c>
      <c r="C155" s="721">
        <v>10</v>
      </c>
      <c r="D155" s="723">
        <v>21</v>
      </c>
      <c r="E155" s="34"/>
      <c r="F155" s="118"/>
    </row>
    <row r="156" spans="1:11" x14ac:dyDescent="0.2">
      <c r="B156" s="1" t="s">
        <v>678</v>
      </c>
      <c r="C156" s="722">
        <v>15</v>
      </c>
      <c r="D156" s="1316">
        <v>15.7</v>
      </c>
      <c r="E156" s="34"/>
    </row>
    <row r="157" spans="1:11" x14ac:dyDescent="0.2">
      <c r="B157" s="1"/>
      <c r="C157" s="326">
        <f>SUM(C155:C156)</f>
        <v>25</v>
      </c>
      <c r="D157" s="323">
        <f>((C155*D155)+(C156*D156))/C157</f>
        <v>17.82</v>
      </c>
      <c r="E157" s="34"/>
    </row>
    <row r="158" spans="1:11" x14ac:dyDescent="0.2">
      <c r="A158" s="49" t="s">
        <v>202</v>
      </c>
      <c r="B158" s="1"/>
      <c r="C158" s="111"/>
      <c r="D158" s="34"/>
      <c r="E158" s="34"/>
    </row>
    <row r="159" spans="1:11" x14ac:dyDescent="0.2">
      <c r="A159" t="s">
        <v>200</v>
      </c>
      <c r="B159" s="1"/>
      <c r="C159" s="111"/>
      <c r="D159" s="34"/>
      <c r="E159" s="724">
        <v>200</v>
      </c>
    </row>
    <row r="160" spans="1:11" x14ac:dyDescent="0.2">
      <c r="A160" t="s">
        <v>201</v>
      </c>
      <c r="B160" s="1"/>
      <c r="C160" s="111"/>
      <c r="D160" s="34"/>
      <c r="E160" s="724">
        <v>50</v>
      </c>
    </row>
    <row r="161" spans="1:7" ht="26.25" x14ac:dyDescent="0.4">
      <c r="A161" s="199" t="s">
        <v>14</v>
      </c>
      <c r="B161" s="344"/>
      <c r="C161" s="201"/>
      <c r="D161" s="202"/>
      <c r="E161" s="340"/>
      <c r="F161" s="202"/>
      <c r="G161" s="345"/>
    </row>
    <row r="162" spans="1:7" x14ac:dyDescent="0.2">
      <c r="A162" s="15"/>
      <c r="B162" s="15"/>
      <c r="C162" s="87" t="s">
        <v>11</v>
      </c>
      <c r="D162" s="87" t="s">
        <v>12</v>
      </c>
      <c r="E162" s="87" t="s">
        <v>199</v>
      </c>
      <c r="F162" s="44"/>
    </row>
    <row r="163" spans="1:7" x14ac:dyDescent="0.2">
      <c r="A163" s="76" t="s">
        <v>280</v>
      </c>
      <c r="B163" s="21" t="s">
        <v>100</v>
      </c>
      <c r="C163" s="902"/>
      <c r="D163" s="703">
        <v>6.9</v>
      </c>
      <c r="E163" s="44"/>
      <c r="F163" s="903"/>
    </row>
    <row r="164" spans="1:7" x14ac:dyDescent="0.2">
      <c r="A164" s="15"/>
      <c r="B164" s="21" t="s">
        <v>369</v>
      </c>
      <c r="C164" s="47"/>
      <c r="D164" s="703">
        <v>9.6</v>
      </c>
      <c r="E164" s="44"/>
      <c r="F164" s="903"/>
    </row>
    <row r="165" spans="1:7" x14ac:dyDescent="0.2">
      <c r="A165" s="15"/>
      <c r="B165" s="21" t="s">
        <v>370</v>
      </c>
      <c r="C165" s="47"/>
      <c r="D165" s="703">
        <v>15.5</v>
      </c>
      <c r="E165" s="44"/>
      <c r="F165" s="903"/>
    </row>
    <row r="166" spans="1:7" x14ac:dyDescent="0.2">
      <c r="A166" s="15"/>
      <c r="B166" s="21" t="s">
        <v>370</v>
      </c>
      <c r="C166" s="668">
        <v>6</v>
      </c>
      <c r="D166" s="703">
        <v>19.8</v>
      </c>
      <c r="E166" s="44"/>
      <c r="F166" s="903"/>
    </row>
    <row r="167" spans="1:7" x14ac:dyDescent="0.2">
      <c r="A167" s="15"/>
      <c r="B167" s="21" t="s">
        <v>15</v>
      </c>
      <c r="C167" s="668">
        <v>2</v>
      </c>
      <c r="D167" s="703">
        <v>200</v>
      </c>
      <c r="E167" s="44"/>
      <c r="F167" s="903"/>
    </row>
    <row r="168" spans="1:7" x14ac:dyDescent="0.2">
      <c r="A168" s="15"/>
      <c r="B168" s="21" t="s">
        <v>371</v>
      </c>
      <c r="C168" s="904"/>
      <c r="D168" s="703">
        <v>4.0999999999999996</v>
      </c>
      <c r="E168" s="44"/>
      <c r="F168" s="903"/>
    </row>
    <row r="169" spans="1:7" x14ac:dyDescent="0.2">
      <c r="A169" s="15"/>
      <c r="B169" s="21" t="s">
        <v>101</v>
      </c>
      <c r="C169" s="905">
        <v>3</v>
      </c>
      <c r="D169" s="703">
        <v>11.95</v>
      </c>
      <c r="E169" s="44"/>
      <c r="F169" s="903"/>
    </row>
    <row r="170" spans="1:7" x14ac:dyDescent="0.2">
      <c r="A170" s="15"/>
      <c r="B170" s="21" t="s">
        <v>16</v>
      </c>
      <c r="C170" s="47" t="s">
        <v>445</v>
      </c>
      <c r="D170" s="906">
        <v>0.25</v>
      </c>
      <c r="E170" s="44"/>
      <c r="F170" s="34"/>
    </row>
    <row r="171" spans="1:7" x14ac:dyDescent="0.2">
      <c r="A171" s="15"/>
      <c r="B171" s="21" t="s">
        <v>446</v>
      </c>
      <c r="C171" s="47" t="s">
        <v>447</v>
      </c>
      <c r="D171" s="906">
        <v>1</v>
      </c>
      <c r="E171" s="44"/>
      <c r="F171" s="34"/>
    </row>
    <row r="172" spans="1:7" x14ac:dyDescent="0.2">
      <c r="A172" s="21"/>
      <c r="B172" s="21" t="s">
        <v>103</v>
      </c>
      <c r="C172" s="47"/>
      <c r="D172" s="163"/>
      <c r="E172" s="907">
        <v>300</v>
      </c>
      <c r="F172" s="34"/>
    </row>
    <row r="173" spans="1:7" x14ac:dyDescent="0.2">
      <c r="A173" s="15"/>
      <c r="B173" s="15"/>
      <c r="C173" s="113"/>
      <c r="D173" s="44"/>
      <c r="E173" s="44"/>
      <c r="F173" s="34"/>
    </row>
    <row r="174" spans="1:7" x14ac:dyDescent="0.2">
      <c r="A174" s="40" t="s">
        <v>28</v>
      </c>
      <c r="B174" s="15"/>
      <c r="C174" s="908" t="s">
        <v>27</v>
      </c>
      <c r="D174" s="44"/>
      <c r="E174" s="44"/>
      <c r="F174" s="34"/>
    </row>
    <row r="175" spans="1:7" x14ac:dyDescent="0.2">
      <c r="A175" s="15"/>
      <c r="B175" s="21" t="s">
        <v>33</v>
      </c>
      <c r="C175" s="667">
        <v>70</v>
      </c>
      <c r="D175" s="44"/>
      <c r="E175" s="44"/>
      <c r="F175" s="34"/>
    </row>
    <row r="176" spans="1:7" ht="26.25" x14ac:dyDescent="0.4">
      <c r="A176" s="199" t="s">
        <v>372</v>
      </c>
      <c r="B176" s="344"/>
      <c r="C176" s="201"/>
      <c r="D176" s="202"/>
      <c r="E176" s="340"/>
      <c r="F176" s="202"/>
      <c r="G176" s="345"/>
    </row>
    <row r="177" spans="1:7" x14ac:dyDescent="0.2">
      <c r="B177" t="str">
        <f>'Varianten eingeben'!A31</f>
        <v>Hagelnetz  (ja=1, nein =0)</v>
      </c>
      <c r="C177" s="112">
        <f>'Varianten eingeben'!D31</f>
        <v>0</v>
      </c>
    </row>
    <row r="178" spans="1:7" x14ac:dyDescent="0.2">
      <c r="B178" t="str">
        <f>'Varianten eingeben'!A32</f>
        <v>Hagelversicherung (ja =1, nein =0)</v>
      </c>
      <c r="C178" s="112">
        <f>'Varianten eingeben'!D32</f>
        <v>0</v>
      </c>
      <c r="D178" s="111"/>
    </row>
    <row r="179" spans="1:7" x14ac:dyDescent="0.2">
      <c r="B179" t="str">
        <f>'Varianten eingeben'!A33</f>
        <v>Versicherte Summe</v>
      </c>
      <c r="C179" s="112">
        <f>'Varianten eingeben'!D33</f>
        <v>41400</v>
      </c>
      <c r="D179" s="111"/>
    </row>
    <row r="180" spans="1:7" ht="26.25" x14ac:dyDescent="0.4">
      <c r="A180" s="199" t="s">
        <v>431</v>
      </c>
      <c r="B180" s="344"/>
      <c r="C180" s="201"/>
      <c r="D180" s="202"/>
      <c r="E180" s="340"/>
      <c r="F180" s="202"/>
      <c r="G180" s="345"/>
    </row>
    <row r="181" spans="1:7" x14ac:dyDescent="0.2">
      <c r="B181" t="str">
        <f>'Varianten eingeben'!A38</f>
        <v>Regendach</v>
      </c>
      <c r="C181" s="112">
        <f>'Varianten eingeben'!D38</f>
        <v>0</v>
      </c>
    </row>
    <row r="182" spans="1:7" ht="26.25" x14ac:dyDescent="0.4">
      <c r="A182" s="199" t="s">
        <v>430</v>
      </c>
      <c r="B182" s="344"/>
      <c r="C182" s="201"/>
      <c r="D182" s="202"/>
      <c r="E182" s="340"/>
      <c r="F182" s="202"/>
      <c r="G182" s="345"/>
    </row>
    <row r="183" spans="1:7" x14ac:dyDescent="0.2">
      <c r="B183" t="str">
        <f>'Varianten eingeben'!A34</f>
        <v>Wasserpreis (Fr/m3)</v>
      </c>
      <c r="C183" s="1314">
        <f>'Varianten eingeben'!D34</f>
        <v>1.5</v>
      </c>
    </row>
    <row r="184" spans="1:7" x14ac:dyDescent="0.2">
      <c r="B184" t="s">
        <v>448</v>
      </c>
      <c r="C184" s="1191">
        <f>'Varianten eingeben'!D35</f>
        <v>500</v>
      </c>
    </row>
    <row r="185" spans="1:7" x14ac:dyDescent="0.2">
      <c r="B185" t="str">
        <f>'Varianten eingeben'!A36</f>
        <v>Bewässerung mit Tropfenbewässerung (ja=1, nein =0)</v>
      </c>
      <c r="C185" s="1190">
        <f>'Varianten eingeben'!D36</f>
        <v>0</v>
      </c>
    </row>
    <row r="186" spans="1:7" x14ac:dyDescent="0.2">
      <c r="B186" t="str">
        <f>'Varianten eingeben'!A37</f>
        <v>Bewässerung mit Mikrojet   (ja=1, nein=0)</v>
      </c>
      <c r="C186" s="1190">
        <f>'Varianten eingeben'!D37</f>
        <v>1</v>
      </c>
    </row>
    <row r="187" spans="1:7" x14ac:dyDescent="0.2">
      <c r="B187" t="s">
        <v>449</v>
      </c>
      <c r="C187" s="121">
        <f>SUM(C185:C186)</f>
        <v>1</v>
      </c>
    </row>
    <row r="188" spans="1:7" x14ac:dyDescent="0.2">
      <c r="B188" t="s">
        <v>450</v>
      </c>
      <c r="C188" s="112">
        <f>C185*'Var Bewässerung'!H55+C186*'Var Bewässerung'!H112</f>
        <v>2107.5169002666662</v>
      </c>
    </row>
    <row r="189" spans="1:7" ht="26.25" x14ac:dyDescent="0.4">
      <c r="A189" s="199" t="s">
        <v>451</v>
      </c>
      <c r="B189" s="344"/>
      <c r="C189" s="201"/>
      <c r="D189" s="202"/>
      <c r="E189" s="340"/>
      <c r="F189" s="202"/>
      <c r="G189" s="345"/>
    </row>
    <row r="190" spans="1:7" x14ac:dyDescent="0.2">
      <c r="B190" s="10" t="s">
        <v>452</v>
      </c>
      <c r="C190" s="10">
        <f>C177+C187</f>
        <v>1</v>
      </c>
    </row>
    <row r="191" spans="1:7" ht="26.25" x14ac:dyDescent="0.4">
      <c r="A191" s="199" t="s">
        <v>621</v>
      </c>
      <c r="B191" s="344"/>
      <c r="C191" s="201"/>
      <c r="D191" s="202"/>
      <c r="E191" s="340"/>
      <c r="F191" s="202"/>
      <c r="G191" s="345"/>
    </row>
    <row r="192" spans="1:7" x14ac:dyDescent="0.2">
      <c r="B192" s="10" t="s">
        <v>622</v>
      </c>
      <c r="C192" s="121">
        <f>C187+C181</f>
        <v>1</v>
      </c>
    </row>
  </sheetData>
  <mergeCells count="7">
    <mergeCell ref="F124:H124"/>
    <mergeCell ref="A131:A137"/>
    <mergeCell ref="B3:G3"/>
    <mergeCell ref="C4:G4"/>
    <mergeCell ref="A4:B4"/>
    <mergeCell ref="E44:G44"/>
    <mergeCell ref="E113:G113"/>
  </mergeCells>
  <phoneticPr fontId="23" type="noConversion"/>
  <dataValidations count="2">
    <dataValidation type="custom" showErrorMessage="1" errorTitle="Falsche Bruttofläche" error="Die Bruttofläche entspricht nicht 10000 m2" sqref="J101 E11 B19" xr:uid="{00000000-0002-0000-0100-000000000000}">
      <formula1>B10*B11=10000</formula1>
    </dataValidation>
    <dataValidation type="whole" operator="notEqual" showErrorMessage="1" errorTitle="Falsche Länge" error="Es muss eine Länge eingetragen sein" sqref="J100 E10 B18" xr:uid="{00000000-0002-0000-0100-000001000000}">
      <formula1>0</formula1>
    </dataValidation>
  </dataValidations>
  <printOptions gridLines="1" gridLinesSet="0"/>
  <pageMargins left="0.59055118110236227" right="0.39370078740157483" top="0.59055118110236227" bottom="0.59055118110236227" header="0.51181102362204722" footer="0.51181102362204722"/>
  <pageSetup paperSize="9" scale="55" orientation="portrait" horizontalDpi="4294967292" r:id="rId1"/>
  <headerFooter alignWithMargins="0">
    <oddFooter>&amp;L&amp;6Arbokost Zwetschgen 2005 - Variante&amp;C&amp;6&amp;A  &amp;D&amp;R&amp;6Matthias Zürcher, Yvonne Leuenberger</oddFooter>
  </headerFooter>
  <rowBreaks count="1" manualBreakCount="1">
    <brk id="123" max="16383" man="1"/>
  </rowBreaks>
  <cellWatches>
    <cellWatch r="D59"/>
    <cellWatch r="D50"/>
  </cellWatche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H101"/>
  <sheetViews>
    <sheetView zoomScale="85" workbookViewId="0">
      <selection activeCell="A5" sqref="A5:D5"/>
    </sheetView>
  </sheetViews>
  <sheetFormatPr baseColWidth="10" defaultRowHeight="12.75" x14ac:dyDescent="0.2"/>
  <cols>
    <col min="1" max="1" width="29.28515625" customWidth="1"/>
    <col min="2" max="2" width="21.5703125" customWidth="1"/>
  </cols>
  <sheetData>
    <row r="1" spans="1:8" ht="44.25" customHeight="1" x14ac:dyDescent="0.6">
      <c r="A1" s="1182" t="str">
        <f>'Varianten eingeben'!A1</f>
        <v>Arbokost 2023</v>
      </c>
      <c r="B1" s="1166"/>
      <c r="C1" s="341"/>
      <c r="D1" s="615"/>
      <c r="E1" s="617"/>
      <c r="F1" s="616"/>
      <c r="G1" s="913"/>
      <c r="H1" s="611"/>
    </row>
    <row r="2" spans="1:8" ht="27" customHeight="1" x14ac:dyDescent="0.35">
      <c r="A2" s="560" t="s">
        <v>580</v>
      </c>
      <c r="B2" s="622"/>
      <c r="C2" s="621"/>
      <c r="D2" s="615"/>
      <c r="E2" s="617"/>
      <c r="F2" s="616"/>
      <c r="G2" s="913"/>
      <c r="H2" s="611"/>
    </row>
    <row r="3" spans="1:8" s="1" customFormat="1" ht="48.6" customHeight="1" x14ac:dyDescent="0.2">
      <c r="A3" s="919" t="str">
        <f>'Var Vorgaben'!A3</f>
        <v>Definition Variante:</v>
      </c>
      <c r="B3" s="1362" t="str">
        <f>'Var Vorgaben'!B3:G3</f>
        <v>Moderne Tafelzwetschenanlage auf schwachwachsender Unterlage. Werte sind ausgelegt auf gemischtwirtschaftliche Betriebe mit mehr als 0.5 ha Tafelzwetschgen, an geeignetem Standort in einem der Hauptproduktionsgebiete der Schweiz.</v>
      </c>
      <c r="C3" s="1362"/>
      <c r="D3" s="1362"/>
      <c r="E3" s="1362"/>
      <c r="F3" s="1362"/>
      <c r="G3" s="1362"/>
      <c r="H3" s="1362"/>
    </row>
    <row r="4" spans="1:8" s="1" customFormat="1" ht="38.25" customHeight="1" x14ac:dyDescent="0.2">
      <c r="A4" s="1363" t="s">
        <v>581</v>
      </c>
      <c r="B4" s="1363"/>
      <c r="C4" s="1363"/>
      <c r="D4" s="1363"/>
      <c r="E4" s="1363"/>
      <c r="F4" s="1363"/>
      <c r="G4" s="1363"/>
      <c r="H4" s="1363"/>
    </row>
    <row r="5" spans="1:8" ht="15.75" x14ac:dyDescent="0.25">
      <c r="A5" s="40" t="s">
        <v>695</v>
      </c>
      <c r="C5" s="1334"/>
      <c r="D5" s="1335">
        <v>0.18</v>
      </c>
      <c r="E5" s="64"/>
      <c r="F5" s="64"/>
      <c r="G5" s="64"/>
      <c r="H5" s="64"/>
    </row>
    <row r="6" spans="1:8" x14ac:dyDescent="0.2">
      <c r="A6" s="64"/>
      <c r="B6" s="64"/>
      <c r="C6" s="64"/>
      <c r="D6" s="64"/>
      <c r="E6" s="64"/>
      <c r="F6" s="64"/>
      <c r="G6" s="64"/>
      <c r="H6" s="64"/>
    </row>
    <row r="7" spans="1:8" x14ac:dyDescent="0.2">
      <c r="A7" s="1364" t="s">
        <v>694</v>
      </c>
      <c r="B7" s="1364"/>
      <c r="C7" s="1364"/>
      <c r="D7" s="1364"/>
      <c r="E7" s="1364"/>
      <c r="F7" s="1364"/>
      <c r="G7" s="1364"/>
      <c r="H7" s="1364"/>
    </row>
    <row r="8" spans="1:8" x14ac:dyDescent="0.2">
      <c r="A8" s="80" t="s">
        <v>280</v>
      </c>
      <c r="B8" s="98"/>
      <c r="C8" s="779" t="s">
        <v>11</v>
      </c>
      <c r="D8" s="779" t="s">
        <v>12</v>
      </c>
      <c r="E8" s="87" t="s">
        <v>93</v>
      </c>
      <c r="F8" s="324"/>
      <c r="G8" s="64"/>
      <c r="H8" s="64"/>
    </row>
    <row r="9" spans="1:8" x14ac:dyDescent="0.2">
      <c r="A9" s="98"/>
      <c r="B9" s="171"/>
      <c r="C9" s="1120"/>
      <c r="D9" s="1120"/>
      <c r="E9" s="558"/>
      <c r="F9" s="324"/>
      <c r="G9" s="64"/>
      <c r="H9" s="64"/>
    </row>
    <row r="10" spans="1:8" x14ac:dyDescent="0.2">
      <c r="A10" s="75"/>
      <c r="B10" s="75"/>
      <c r="C10" s="663"/>
      <c r="D10" s="324"/>
      <c r="E10" s="324"/>
      <c r="F10" s="323"/>
      <c r="G10" s="64"/>
      <c r="H10" s="64"/>
    </row>
    <row r="11" spans="1:8" x14ac:dyDescent="0.2">
      <c r="A11" s="98" t="s">
        <v>160</v>
      </c>
      <c r="B11" s="171" t="s">
        <v>460</v>
      </c>
      <c r="C11" s="1170">
        <f>'Var Vorgaben'!$B$10</f>
        <v>1125</v>
      </c>
      <c r="D11" s="666">
        <f>1.35*(1+$D$5)</f>
        <v>1.593</v>
      </c>
      <c r="E11" s="324">
        <f>C11*D11</f>
        <v>1792.125</v>
      </c>
      <c r="F11" s="903"/>
      <c r="G11" s="64"/>
      <c r="H11" s="64"/>
    </row>
    <row r="12" spans="1:8" x14ac:dyDescent="0.2">
      <c r="A12" s="98"/>
      <c r="B12" s="171" t="s">
        <v>461</v>
      </c>
      <c r="C12" s="1171">
        <v>2530</v>
      </c>
      <c r="D12" s="666">
        <f>0.16*(1+$D$5)</f>
        <v>0.1888</v>
      </c>
      <c r="E12" s="324">
        <f>C12*D12</f>
        <v>477.66399999999999</v>
      </c>
      <c r="F12" s="903"/>
      <c r="G12" s="64"/>
      <c r="H12" s="64"/>
    </row>
    <row r="13" spans="1:8" x14ac:dyDescent="0.2">
      <c r="A13" s="98"/>
      <c r="B13" s="171" t="s">
        <v>462</v>
      </c>
      <c r="C13" s="1172">
        <v>6</v>
      </c>
      <c r="D13" s="666">
        <f>5.5*(1+$D$5)</f>
        <v>6.4899999999999993</v>
      </c>
      <c r="E13" s="324">
        <f>C13*D13</f>
        <v>38.94</v>
      </c>
      <c r="F13" s="903"/>
      <c r="G13" s="64"/>
      <c r="H13" s="64"/>
    </row>
    <row r="14" spans="1:8" x14ac:dyDescent="0.2">
      <c r="A14" s="98"/>
      <c r="B14" s="171" t="s">
        <v>463</v>
      </c>
      <c r="C14" s="1170">
        <f>'Var Vorgaben'!$B$10</f>
        <v>1125</v>
      </c>
      <c r="D14" s="666">
        <f>0.2*(1+$D$5)</f>
        <v>0.23599999999999999</v>
      </c>
      <c r="E14" s="324">
        <f>C14*D14</f>
        <v>265.5</v>
      </c>
      <c r="F14" s="903"/>
      <c r="G14" s="64"/>
      <c r="H14" s="64"/>
    </row>
    <row r="15" spans="1:8" x14ac:dyDescent="0.2">
      <c r="A15" s="98"/>
      <c r="B15" s="171"/>
      <c r="C15" s="473"/>
      <c r="D15" s="485"/>
      <c r="E15" s="324"/>
      <c r="F15" s="903"/>
      <c r="G15" s="64"/>
      <c r="H15" s="64"/>
    </row>
    <row r="16" spans="1:8" x14ac:dyDescent="0.2">
      <c r="A16" s="98" t="s">
        <v>372</v>
      </c>
      <c r="B16" s="75" t="s">
        <v>373</v>
      </c>
      <c r="C16" s="664">
        <v>9800</v>
      </c>
      <c r="D16" s="665">
        <f>0.58*(1+$D$5)</f>
        <v>0.6843999999999999</v>
      </c>
      <c r="E16" s="485">
        <f t="shared" ref="E16:E25" si="0">C16*D16</f>
        <v>6707.119999999999</v>
      </c>
      <c r="F16" s="903"/>
      <c r="G16" s="64"/>
      <c r="H16" s="64"/>
    </row>
    <row r="17" spans="1:8" x14ac:dyDescent="0.2">
      <c r="A17" s="98"/>
      <c r="B17" s="75" t="s">
        <v>374</v>
      </c>
      <c r="C17" s="664">
        <v>1200</v>
      </c>
      <c r="D17" s="665">
        <f>0.28*(1+$D$5)</f>
        <v>0.33040000000000003</v>
      </c>
      <c r="E17" s="485">
        <f t="shared" si="0"/>
        <v>396.48</v>
      </c>
      <c r="F17" s="903"/>
      <c r="G17" s="64"/>
      <c r="H17" s="64"/>
    </row>
    <row r="18" spans="1:8" x14ac:dyDescent="0.2">
      <c r="A18" s="98"/>
      <c r="B18" s="75" t="s">
        <v>375</v>
      </c>
      <c r="C18" s="664">
        <v>1750</v>
      </c>
      <c r="D18" s="665">
        <f>0.83*(1+$D$5)</f>
        <v>0.97939999999999994</v>
      </c>
      <c r="E18" s="485">
        <f t="shared" si="0"/>
        <v>1713.9499999999998</v>
      </c>
      <c r="F18" s="903"/>
      <c r="G18" s="64"/>
      <c r="H18" s="64"/>
    </row>
    <row r="19" spans="1:8" x14ac:dyDescent="0.2">
      <c r="A19" s="98"/>
      <c r="B19" s="75" t="s">
        <v>464</v>
      </c>
      <c r="C19" s="664">
        <v>100</v>
      </c>
      <c r="D19" s="665">
        <f>0.55*(1+$D$5)</f>
        <v>0.64900000000000002</v>
      </c>
      <c r="E19" s="485">
        <f t="shared" si="0"/>
        <v>64.900000000000006</v>
      </c>
      <c r="F19" s="903"/>
      <c r="G19" s="64"/>
      <c r="H19" s="64"/>
    </row>
    <row r="20" spans="1:8" x14ac:dyDescent="0.2">
      <c r="A20" s="98"/>
      <c r="B20" s="75" t="s">
        <v>411</v>
      </c>
      <c r="C20" s="664">
        <v>165</v>
      </c>
      <c r="D20" s="665">
        <f>1.19*(1+$D$5)</f>
        <v>1.4041999999999999</v>
      </c>
      <c r="E20" s="485">
        <f t="shared" si="0"/>
        <v>231.69299999999998</v>
      </c>
      <c r="F20" s="903"/>
      <c r="G20" s="64"/>
      <c r="H20" s="64"/>
    </row>
    <row r="21" spans="1:8" x14ac:dyDescent="0.2">
      <c r="A21" s="98"/>
      <c r="B21" s="75" t="s">
        <v>465</v>
      </c>
      <c r="C21" s="664">
        <v>310</v>
      </c>
      <c r="D21" s="665">
        <f>1.19*(1+$D$5)</f>
        <v>1.4041999999999999</v>
      </c>
      <c r="E21" s="485">
        <f t="shared" si="0"/>
        <v>435.30199999999996</v>
      </c>
      <c r="F21" s="903"/>
      <c r="G21" s="64"/>
      <c r="H21" s="64"/>
    </row>
    <row r="22" spans="1:8" x14ac:dyDescent="0.2">
      <c r="A22" s="98"/>
      <c r="B22" s="75" t="s">
        <v>466</v>
      </c>
      <c r="C22" s="664">
        <v>810</v>
      </c>
      <c r="D22" s="665">
        <f>0.7*(1+$D$5)</f>
        <v>0.82599999999999996</v>
      </c>
      <c r="E22" s="485">
        <f t="shared" si="0"/>
        <v>669.06</v>
      </c>
      <c r="F22" s="903"/>
      <c r="G22" s="64"/>
      <c r="H22" s="64"/>
    </row>
    <row r="23" spans="1:8" x14ac:dyDescent="0.2">
      <c r="A23" s="98"/>
      <c r="B23" s="75" t="s">
        <v>376</v>
      </c>
      <c r="C23" s="664">
        <v>3100</v>
      </c>
      <c r="D23" s="665">
        <f>0.3*(1+$D$5)</f>
        <v>0.35399999999999998</v>
      </c>
      <c r="E23" s="485">
        <f t="shared" si="0"/>
        <v>1097.3999999999999</v>
      </c>
      <c r="F23" s="903"/>
      <c r="G23" s="64"/>
      <c r="H23" s="64"/>
    </row>
    <row r="24" spans="1:8" x14ac:dyDescent="0.2">
      <c r="A24" s="98"/>
      <c r="B24" s="75" t="s">
        <v>377</v>
      </c>
      <c r="C24" s="664">
        <v>3400</v>
      </c>
      <c r="D24" s="665">
        <f>0.1*(1+$D$5)</f>
        <v>0.11799999999999999</v>
      </c>
      <c r="E24" s="485">
        <f t="shared" si="0"/>
        <v>401.2</v>
      </c>
      <c r="F24" s="903"/>
      <c r="G24" s="64"/>
      <c r="H24" s="64"/>
    </row>
    <row r="25" spans="1:8" x14ac:dyDescent="0.2">
      <c r="A25" s="98"/>
      <c r="B25" s="75" t="s">
        <v>378</v>
      </c>
      <c r="C25" s="664">
        <v>26</v>
      </c>
      <c r="D25" s="665">
        <f>9.15*(1+$D$5)</f>
        <v>10.797000000000001</v>
      </c>
      <c r="E25" s="485">
        <f t="shared" si="0"/>
        <v>280.72200000000004</v>
      </c>
      <c r="F25" s="903"/>
      <c r="G25" s="64"/>
      <c r="H25" s="64"/>
    </row>
    <row r="26" spans="1:8" x14ac:dyDescent="0.2">
      <c r="A26" s="98"/>
      <c r="B26" s="75" t="s">
        <v>379</v>
      </c>
      <c r="C26" s="524"/>
      <c r="D26" s="686"/>
      <c r="E26" s="666">
        <v>500</v>
      </c>
      <c r="F26" s="903"/>
      <c r="G26" s="64"/>
      <c r="H26" s="64"/>
    </row>
    <row r="27" spans="1:8" x14ac:dyDescent="0.2">
      <c r="A27" s="98"/>
      <c r="B27" s="75"/>
      <c r="C27" s="524"/>
      <c r="D27" s="914"/>
      <c r="E27" s="485"/>
      <c r="F27" s="903"/>
      <c r="G27" s="64"/>
      <c r="H27" s="64"/>
    </row>
    <row r="28" spans="1:8" x14ac:dyDescent="0.2">
      <c r="A28" s="98" t="s">
        <v>380</v>
      </c>
      <c r="B28" s="75" t="s">
        <v>467</v>
      </c>
      <c r="C28" s="664">
        <v>240</v>
      </c>
      <c r="D28" s="665">
        <f>18.5*(1+$D$5)</f>
        <v>21.83</v>
      </c>
      <c r="E28" s="485">
        <f>C28*D28</f>
        <v>5239.2</v>
      </c>
      <c r="F28" s="903"/>
      <c r="G28" s="64"/>
      <c r="H28" s="64"/>
    </row>
    <row r="29" spans="1:8" x14ac:dyDescent="0.2">
      <c r="A29" s="98"/>
      <c r="B29" s="75" t="s">
        <v>602</v>
      </c>
      <c r="C29" s="664">
        <v>44</v>
      </c>
      <c r="D29" s="665">
        <f>27*(1+$D$5)</f>
        <v>31.86</v>
      </c>
      <c r="E29" s="485">
        <f>C29*D29</f>
        <v>1401.84</v>
      </c>
      <c r="F29" s="903"/>
      <c r="G29" s="64"/>
      <c r="H29" s="64"/>
    </row>
    <row r="30" spans="1:8" x14ac:dyDescent="0.2">
      <c r="A30" s="98"/>
      <c r="B30" s="75" t="s">
        <v>468</v>
      </c>
      <c r="C30" s="664">
        <v>4</v>
      </c>
      <c r="D30" s="665">
        <f>58.95*(1+$D$5)</f>
        <v>69.560999999999993</v>
      </c>
      <c r="E30" s="485">
        <f>C30*D30</f>
        <v>278.24399999999997</v>
      </c>
      <c r="F30" s="903"/>
      <c r="G30" s="64"/>
      <c r="H30" s="64"/>
    </row>
    <row r="31" spans="1:8" x14ac:dyDescent="0.2">
      <c r="A31" s="98"/>
      <c r="B31" s="75" t="s">
        <v>381</v>
      </c>
      <c r="C31" s="664">
        <v>72</v>
      </c>
      <c r="D31" s="665">
        <f>20.15*(1+$D$5)</f>
        <v>23.776999999999997</v>
      </c>
      <c r="E31" s="485">
        <f>C31*D31</f>
        <v>1711.9439999999997</v>
      </c>
      <c r="F31" s="903"/>
      <c r="G31" s="64"/>
      <c r="H31" s="64"/>
    </row>
    <row r="32" spans="1:8" ht="13.5" thickBot="1" x14ac:dyDescent="0.25">
      <c r="A32" s="98"/>
      <c r="B32" s="75" t="s">
        <v>382</v>
      </c>
      <c r="C32" s="664">
        <v>68</v>
      </c>
      <c r="D32" s="665">
        <f>1*(1+$D$5)</f>
        <v>1.18</v>
      </c>
      <c r="E32" s="780">
        <f>C32*D32</f>
        <v>80.239999999999995</v>
      </c>
      <c r="F32" s="903"/>
      <c r="G32" s="64"/>
      <c r="H32" s="64"/>
    </row>
    <row r="33" spans="1:8" x14ac:dyDescent="0.2">
      <c r="A33" s="98"/>
      <c r="B33" s="75"/>
      <c r="C33" s="1173"/>
      <c r="D33" s="485"/>
      <c r="E33" s="477">
        <f>SUM(E16:E32)</f>
        <v>21209.294999999998</v>
      </c>
      <c r="F33" s="903"/>
      <c r="G33" s="64"/>
      <c r="H33" s="64"/>
    </row>
    <row r="34" spans="1:8" x14ac:dyDescent="0.2">
      <c r="A34" s="98"/>
      <c r="B34" s="75"/>
      <c r="C34" s="1173"/>
      <c r="D34" s="485"/>
      <c r="E34" s="324"/>
      <c r="F34" s="903"/>
      <c r="G34" s="64"/>
      <c r="H34" s="64"/>
    </row>
    <row r="35" spans="1:8" x14ac:dyDescent="0.2">
      <c r="A35" s="98" t="s">
        <v>17</v>
      </c>
      <c r="B35" s="171" t="s">
        <v>34</v>
      </c>
      <c r="C35" s="1172">
        <v>40</v>
      </c>
      <c r="D35" s="666">
        <v>7.2</v>
      </c>
      <c r="E35" s="324"/>
      <c r="F35" s="903"/>
      <c r="G35" s="64"/>
      <c r="H35" s="64"/>
    </row>
    <row r="36" spans="1:8" x14ac:dyDescent="0.2">
      <c r="A36" s="98"/>
      <c r="B36" s="171" t="s">
        <v>18</v>
      </c>
      <c r="C36" s="1173"/>
      <c r="D36" s="324"/>
      <c r="E36" s="666">
        <v>150</v>
      </c>
      <c r="F36" s="903"/>
      <c r="G36" s="64"/>
      <c r="H36" s="64"/>
    </row>
    <row r="37" spans="1:8" x14ac:dyDescent="0.2">
      <c r="A37" s="171"/>
      <c r="B37" s="171" t="s">
        <v>161</v>
      </c>
      <c r="C37" s="1173"/>
      <c r="D37" s="324"/>
      <c r="E37" s="666">
        <v>500</v>
      </c>
      <c r="F37" s="903"/>
      <c r="G37" s="64"/>
      <c r="H37" s="64"/>
    </row>
    <row r="38" spans="1:8" x14ac:dyDescent="0.2">
      <c r="A38" s="171"/>
      <c r="B38" s="171"/>
      <c r="C38" s="1173"/>
      <c r="D38" s="324"/>
      <c r="E38" s="485"/>
      <c r="F38" s="903"/>
      <c r="G38" s="64"/>
      <c r="H38" s="64"/>
    </row>
    <row r="39" spans="1:8" ht="25.5" x14ac:dyDescent="0.2">
      <c r="A39" s="887" t="s">
        <v>469</v>
      </c>
      <c r="B39" s="75" t="s">
        <v>383</v>
      </c>
      <c r="C39" s="915">
        <v>55</v>
      </c>
      <c r="D39" s="485">
        <f>'Var Vorgaben'!D129</f>
        <v>41</v>
      </c>
      <c r="E39" s="485">
        <f>C39*D39</f>
        <v>2255</v>
      </c>
      <c r="F39" s="903"/>
      <c r="G39" s="64"/>
      <c r="H39" s="64"/>
    </row>
    <row r="40" spans="1:8" x14ac:dyDescent="0.2">
      <c r="A40" s="98"/>
      <c r="B40" s="75" t="s">
        <v>384</v>
      </c>
      <c r="C40" s="915">
        <v>15</v>
      </c>
      <c r="D40" s="485">
        <f>'Var Vorgaben'!D150</f>
        <v>150</v>
      </c>
      <c r="E40" s="485">
        <f>C40*D40</f>
        <v>2250</v>
      </c>
      <c r="F40" s="903"/>
      <c r="G40" s="64"/>
      <c r="H40" s="64"/>
    </row>
    <row r="41" spans="1:8" x14ac:dyDescent="0.2">
      <c r="A41" s="98"/>
      <c r="B41" s="171" t="s">
        <v>470</v>
      </c>
      <c r="C41" s="915">
        <v>20</v>
      </c>
      <c r="D41" s="485">
        <f>'Var Vorgaben'!D146</f>
        <v>25</v>
      </c>
      <c r="E41" s="485">
        <f>C41*D41</f>
        <v>500</v>
      </c>
      <c r="F41" s="903"/>
      <c r="G41" s="64"/>
      <c r="H41" s="64"/>
    </row>
    <row r="42" spans="1:8" ht="13.5" thickBot="1" x14ac:dyDescent="0.25">
      <c r="A42" s="98"/>
      <c r="B42" s="774" t="s">
        <v>679</v>
      </c>
      <c r="C42" s="915">
        <v>20</v>
      </c>
      <c r="D42" s="485">
        <f>'Var Vorgaben'!D151</f>
        <v>17.5</v>
      </c>
      <c r="E42" s="780">
        <f>C42*D42</f>
        <v>350</v>
      </c>
      <c r="F42" s="903"/>
      <c r="G42" s="64"/>
      <c r="H42" s="64"/>
    </row>
    <row r="43" spans="1:8" x14ac:dyDescent="0.2">
      <c r="A43" s="171"/>
      <c r="B43" s="171"/>
      <c r="C43" s="1173"/>
      <c r="D43" s="324"/>
      <c r="E43" s="477">
        <f>SUM(E39:E42)</f>
        <v>5355</v>
      </c>
      <c r="F43" s="903"/>
      <c r="G43" s="64"/>
      <c r="H43" s="64"/>
    </row>
    <row r="44" spans="1:8" x14ac:dyDescent="0.2">
      <c r="A44" s="1145" t="s">
        <v>28</v>
      </c>
      <c r="B44" s="1165"/>
      <c r="C44" s="1174"/>
      <c r="D44" s="1175"/>
      <c r="E44" s="1175"/>
      <c r="F44" s="903"/>
      <c r="G44" s="64"/>
      <c r="H44" s="64"/>
    </row>
    <row r="45" spans="1:8" x14ac:dyDescent="0.2">
      <c r="A45" s="171"/>
      <c r="B45" s="75"/>
      <c r="C45" s="916" t="s">
        <v>27</v>
      </c>
      <c r="D45" s="917" t="s">
        <v>21</v>
      </c>
      <c r="E45" s="86" t="s">
        <v>93</v>
      </c>
      <c r="F45" s="903"/>
      <c r="G45" s="64"/>
      <c r="H45" s="64"/>
    </row>
    <row r="46" spans="1:8" x14ac:dyDescent="0.2">
      <c r="A46" s="98" t="s">
        <v>472</v>
      </c>
      <c r="B46" s="171" t="s">
        <v>30</v>
      </c>
      <c r="C46" s="667">
        <v>1</v>
      </c>
      <c r="D46" s="323"/>
      <c r="E46" s="323"/>
      <c r="F46" s="903"/>
      <c r="G46" s="64"/>
      <c r="H46" s="64"/>
    </row>
    <row r="47" spans="1:8" x14ac:dyDescent="0.2">
      <c r="A47" s="75"/>
      <c r="B47" s="171" t="s">
        <v>31</v>
      </c>
      <c r="C47" s="667">
        <v>7.5</v>
      </c>
      <c r="D47" s="323"/>
      <c r="E47" s="323"/>
      <c r="F47" s="903"/>
      <c r="G47" s="64"/>
      <c r="H47" s="64"/>
    </row>
    <row r="48" spans="1:8" x14ac:dyDescent="0.2">
      <c r="A48" s="75"/>
      <c r="B48" s="171" t="s">
        <v>32</v>
      </c>
      <c r="C48" s="667">
        <v>75</v>
      </c>
      <c r="D48" s="323"/>
      <c r="E48" s="323"/>
      <c r="F48" s="903"/>
      <c r="G48" s="64"/>
      <c r="H48" s="64"/>
    </row>
    <row r="49" spans="1:8" x14ac:dyDescent="0.2">
      <c r="A49" s="75"/>
      <c r="B49" s="171" t="s">
        <v>162</v>
      </c>
      <c r="C49" s="667">
        <v>10</v>
      </c>
      <c r="D49" s="323"/>
      <c r="E49" s="323"/>
      <c r="F49" s="903"/>
      <c r="G49" s="64"/>
      <c r="H49" s="64"/>
    </row>
    <row r="50" spans="1:8" x14ac:dyDescent="0.2">
      <c r="A50" s="75"/>
      <c r="B50" s="171" t="s">
        <v>473</v>
      </c>
      <c r="C50" s="667">
        <v>70</v>
      </c>
      <c r="D50" s="323"/>
      <c r="E50" s="323"/>
      <c r="F50" s="903"/>
      <c r="G50" s="64"/>
      <c r="H50" s="64"/>
    </row>
    <row r="51" spans="1:8" x14ac:dyDescent="0.2">
      <c r="A51" s="75"/>
      <c r="B51" s="171"/>
      <c r="C51" s="500"/>
      <c r="D51" s="323"/>
      <c r="E51" s="323"/>
      <c r="F51" s="323"/>
      <c r="G51" s="64"/>
      <c r="H51" s="64"/>
    </row>
    <row r="52" spans="1:8" x14ac:dyDescent="0.2">
      <c r="A52" s="75"/>
      <c r="B52" s="171"/>
      <c r="C52" s="500"/>
      <c r="D52" s="324"/>
      <c r="E52" s="324"/>
      <c r="F52" s="323"/>
      <c r="G52" s="64"/>
      <c r="H52" s="64"/>
    </row>
    <row r="53" spans="1:8" x14ac:dyDescent="0.2">
      <c r="A53" s="76" t="s">
        <v>385</v>
      </c>
      <c r="B53" s="171" t="s">
        <v>386</v>
      </c>
      <c r="C53" s="667">
        <v>15</v>
      </c>
      <c r="D53" s="485">
        <f>'Var Vorgaben'!$C$36</f>
        <v>32.700000000000003</v>
      </c>
      <c r="E53" s="485">
        <f>C53*D53</f>
        <v>490.50000000000006</v>
      </c>
      <c r="F53" s="903"/>
      <c r="G53" s="64"/>
      <c r="H53" s="64"/>
    </row>
    <row r="54" spans="1:8" x14ac:dyDescent="0.2">
      <c r="A54" s="75"/>
      <c r="B54" s="171" t="s">
        <v>474</v>
      </c>
      <c r="C54" s="667">
        <v>100</v>
      </c>
      <c r="D54" s="485">
        <f>'Var Vorgaben'!$C$36</f>
        <v>32.700000000000003</v>
      </c>
      <c r="E54" s="485">
        <f>C54*D54</f>
        <v>3270.0000000000005</v>
      </c>
      <c r="F54" s="903"/>
      <c r="G54" s="64"/>
      <c r="H54" s="64"/>
    </row>
    <row r="55" spans="1:8" x14ac:dyDescent="0.2">
      <c r="A55" s="75"/>
      <c r="B55" s="171" t="s">
        <v>387</v>
      </c>
      <c r="C55" s="667">
        <v>175</v>
      </c>
      <c r="D55" s="485">
        <f>'Var Vorgaben'!$C$36</f>
        <v>32.700000000000003</v>
      </c>
      <c r="E55" s="485">
        <f>C55*D55</f>
        <v>5722.5000000000009</v>
      </c>
      <c r="F55" s="903"/>
      <c r="G55" s="64"/>
      <c r="H55" s="64"/>
    </row>
    <row r="56" spans="1:8" ht="13.5" thickBot="1" x14ac:dyDescent="0.25">
      <c r="A56" s="75"/>
      <c r="B56" s="171" t="s">
        <v>388</v>
      </c>
      <c r="C56" s="500">
        <f>SUM(C53:C55) * 0.1</f>
        <v>29</v>
      </c>
      <c r="D56" s="485">
        <f>'Var Vorgaben'!$C$36</f>
        <v>32.700000000000003</v>
      </c>
      <c r="E56" s="780">
        <f>C56*D56</f>
        <v>948.30000000000007</v>
      </c>
      <c r="F56" s="903"/>
      <c r="G56" s="64"/>
      <c r="H56" s="64"/>
    </row>
    <row r="57" spans="1:8" x14ac:dyDescent="0.2">
      <c r="A57" s="75"/>
      <c r="B57" s="171"/>
      <c r="C57" s="500"/>
      <c r="D57" s="324"/>
      <c r="E57" s="477">
        <f>SUM(E53:E56)</f>
        <v>10431.300000000001</v>
      </c>
      <c r="F57" s="903"/>
      <c r="G57" s="64"/>
      <c r="H57" s="64"/>
    </row>
    <row r="58" spans="1:8" x14ac:dyDescent="0.2">
      <c r="A58" s="75"/>
      <c r="B58" s="75"/>
      <c r="C58" s="663"/>
      <c r="D58" s="324"/>
      <c r="E58" s="324"/>
      <c r="F58" s="903"/>
      <c r="G58" s="64"/>
      <c r="H58" s="64"/>
    </row>
    <row r="59" spans="1:8" x14ac:dyDescent="0.2">
      <c r="A59" s="76" t="s">
        <v>389</v>
      </c>
      <c r="B59" s="75"/>
      <c r="C59" s="663"/>
      <c r="D59" s="324"/>
      <c r="E59" s="324"/>
      <c r="F59" s="903"/>
      <c r="G59" s="64"/>
      <c r="H59" s="64"/>
    </row>
    <row r="60" spans="1:8" x14ac:dyDescent="0.2">
      <c r="A60" s="75"/>
      <c r="B60" s="75" t="s">
        <v>390</v>
      </c>
      <c r="C60" s="664">
        <v>45</v>
      </c>
      <c r="D60" s="666">
        <f>14*(1+$D$5)</f>
        <v>16.52</v>
      </c>
      <c r="E60" s="485">
        <f>C60*D60</f>
        <v>743.4</v>
      </c>
      <c r="F60" s="903"/>
      <c r="G60" s="64"/>
      <c r="H60" s="64"/>
    </row>
    <row r="61" spans="1:8" x14ac:dyDescent="0.2">
      <c r="A61" s="75"/>
      <c r="B61" s="75" t="s">
        <v>391</v>
      </c>
      <c r="C61" s="664">
        <v>336</v>
      </c>
      <c r="D61" s="666">
        <f>10*(1+$D$5)</f>
        <v>11.799999999999999</v>
      </c>
      <c r="E61" s="485">
        <f>C61*D61</f>
        <v>3964.7999999999997</v>
      </c>
      <c r="F61" s="903"/>
      <c r="G61" s="64"/>
      <c r="H61" s="64"/>
    </row>
    <row r="62" spans="1:8" ht="13.5" thickBot="1" x14ac:dyDescent="0.25">
      <c r="A62" s="75"/>
      <c r="B62" s="75" t="s">
        <v>186</v>
      </c>
      <c r="C62" s="664">
        <v>45</v>
      </c>
      <c r="D62" s="666">
        <f>5.2*(1+$D$5)</f>
        <v>6.1360000000000001</v>
      </c>
      <c r="E62" s="780">
        <f>C62*D62</f>
        <v>276.12</v>
      </c>
      <c r="F62" s="903"/>
      <c r="G62" s="64"/>
      <c r="H62" s="64"/>
    </row>
    <row r="63" spans="1:8" x14ac:dyDescent="0.2">
      <c r="A63" s="75"/>
      <c r="B63" s="75"/>
      <c r="C63" s="524"/>
      <c r="D63" s="485"/>
      <c r="E63" s="477">
        <f>SUM(E60:E62)</f>
        <v>4984.32</v>
      </c>
      <c r="F63" s="903"/>
      <c r="G63" s="64"/>
      <c r="H63" s="64"/>
    </row>
    <row r="64" spans="1:8" x14ac:dyDescent="0.2">
      <c r="A64" s="76" t="s">
        <v>412</v>
      </c>
      <c r="B64" s="171"/>
      <c r="C64" s="663"/>
      <c r="D64" s="324"/>
      <c r="E64" s="558"/>
      <c r="F64" s="903"/>
      <c r="G64" s="64"/>
      <c r="H64" s="64"/>
    </row>
    <row r="65" spans="1:8" x14ac:dyDescent="0.2">
      <c r="A65" s="75"/>
      <c r="B65" s="171" t="s">
        <v>386</v>
      </c>
      <c r="C65" s="667">
        <v>7.5</v>
      </c>
      <c r="D65" s="485">
        <f>'Var Vorgaben'!$C$36</f>
        <v>32.700000000000003</v>
      </c>
      <c r="E65" s="485">
        <f>C65*D65</f>
        <v>245.25000000000003</v>
      </c>
      <c r="F65" s="903"/>
      <c r="G65" s="64"/>
      <c r="H65" s="64"/>
    </row>
    <row r="66" spans="1:8" x14ac:dyDescent="0.2">
      <c r="A66" s="75"/>
      <c r="B66" s="171" t="s">
        <v>414</v>
      </c>
      <c r="C66" s="667">
        <v>35</v>
      </c>
      <c r="D66" s="485">
        <f>'Var Vorgaben'!$C$36</f>
        <v>32.700000000000003</v>
      </c>
      <c r="E66" s="485">
        <f>C66*D66</f>
        <v>1144.5</v>
      </c>
      <c r="F66" s="903"/>
      <c r="G66" s="64"/>
      <c r="H66" s="64"/>
    </row>
    <row r="67" spans="1:8" x14ac:dyDescent="0.2">
      <c r="A67" s="75"/>
      <c r="B67" s="75" t="s">
        <v>413</v>
      </c>
      <c r="C67" s="667">
        <v>10</v>
      </c>
      <c r="D67" s="485">
        <f>'Var Vorgaben'!D129</f>
        <v>41</v>
      </c>
      <c r="E67" s="485">
        <f>C67*D67</f>
        <v>410</v>
      </c>
      <c r="F67" s="903"/>
      <c r="G67" s="64"/>
      <c r="H67" s="64"/>
    </row>
    <row r="68" spans="1:8" ht="13.5" thickBot="1" x14ac:dyDescent="0.25">
      <c r="A68" s="75"/>
      <c r="B68" s="171" t="s">
        <v>188</v>
      </c>
      <c r="C68" s="667">
        <v>10</v>
      </c>
      <c r="D68" s="485">
        <f>'Var Vorgaben'!D146</f>
        <v>25</v>
      </c>
      <c r="E68" s="780">
        <f>C68*D68</f>
        <v>250</v>
      </c>
      <c r="F68" s="903"/>
      <c r="G68" s="64"/>
      <c r="H68" s="64"/>
    </row>
    <row r="69" spans="1:8" x14ac:dyDescent="0.2">
      <c r="A69" s="75"/>
      <c r="B69" s="171"/>
      <c r="C69" s="500"/>
      <c r="D69" s="485"/>
      <c r="E69" s="477">
        <f>SUM(E65:E68)</f>
        <v>2049.75</v>
      </c>
      <c r="F69" s="903"/>
      <c r="G69" s="64"/>
      <c r="H69" s="64"/>
    </row>
    <row r="70" spans="1:8" x14ac:dyDescent="0.2">
      <c r="A70" s="75"/>
      <c r="B70" s="171"/>
      <c r="C70" s="500"/>
      <c r="D70" s="485"/>
      <c r="E70" s="477"/>
      <c r="F70" s="903"/>
      <c r="G70" s="64"/>
      <c r="H70" s="64"/>
    </row>
    <row r="71" spans="1:8" x14ac:dyDescent="0.2">
      <c r="A71" s="98"/>
      <c r="B71" s="171" t="s">
        <v>392</v>
      </c>
      <c r="C71" s="663"/>
      <c r="D71" s="324"/>
      <c r="E71" s="485">
        <f>E33</f>
        <v>21209.294999999998</v>
      </c>
      <c r="F71" s="903"/>
      <c r="G71" s="64"/>
      <c r="H71" s="64"/>
    </row>
    <row r="72" spans="1:8" x14ac:dyDescent="0.2">
      <c r="A72" s="75"/>
      <c r="B72" s="171" t="s">
        <v>23</v>
      </c>
      <c r="C72" s="663"/>
      <c r="D72" s="324"/>
      <c r="E72" s="485">
        <f>E43</f>
        <v>5355</v>
      </c>
      <c r="F72" s="903"/>
      <c r="G72" s="64"/>
      <c r="H72" s="64"/>
    </row>
    <row r="73" spans="1:8" x14ac:dyDescent="0.2">
      <c r="A73" s="75"/>
      <c r="B73" s="171" t="s">
        <v>28</v>
      </c>
      <c r="C73" s="663"/>
      <c r="D73" s="324"/>
      <c r="E73" s="485">
        <f>E57</f>
        <v>10431.300000000001</v>
      </c>
      <c r="F73" s="903"/>
      <c r="G73" s="64"/>
      <c r="H73" s="64"/>
    </row>
    <row r="74" spans="1:8" ht="13.5" thickBot="1" x14ac:dyDescent="0.25">
      <c r="A74" s="75"/>
      <c r="B74" s="171" t="s">
        <v>393</v>
      </c>
      <c r="C74" s="663"/>
      <c r="D74" s="324"/>
      <c r="E74" s="780">
        <f>E63+E69</f>
        <v>7034.07</v>
      </c>
      <c r="F74" s="903"/>
      <c r="G74" s="64"/>
      <c r="H74" s="64"/>
    </row>
    <row r="75" spans="1:8" x14ac:dyDescent="0.2">
      <c r="A75" s="98" t="s">
        <v>394</v>
      </c>
      <c r="B75" s="171"/>
      <c r="C75" s="663"/>
      <c r="D75" s="324"/>
      <c r="E75" s="477">
        <f>SUM(E71:E73)-E74</f>
        <v>29961.525000000001</v>
      </c>
      <c r="F75" s="323"/>
      <c r="G75" s="64"/>
      <c r="H75" s="64"/>
    </row>
    <row r="76" spans="1:8" x14ac:dyDescent="0.2">
      <c r="A76" s="1145" t="s">
        <v>192</v>
      </c>
      <c r="B76" s="64"/>
      <c r="C76" s="120"/>
      <c r="D76" s="64"/>
      <c r="E76" s="64"/>
      <c r="F76" s="64"/>
      <c r="G76" s="64"/>
      <c r="H76" s="64"/>
    </row>
    <row r="77" spans="1:8" x14ac:dyDescent="0.2">
      <c r="A77" s="1145" t="s">
        <v>475</v>
      </c>
      <c r="B77" s="1145" t="s">
        <v>476</v>
      </c>
      <c r="C77" s="1167" t="s">
        <v>93</v>
      </c>
      <c r="D77" s="1145" t="s">
        <v>477</v>
      </c>
      <c r="E77" s="1145" t="s">
        <v>478</v>
      </c>
      <c r="F77" s="64"/>
      <c r="G77" s="64"/>
      <c r="H77" s="64"/>
    </row>
    <row r="78" spans="1:8" x14ac:dyDescent="0.2">
      <c r="A78" s="64"/>
      <c r="B78" s="64"/>
      <c r="C78" s="120"/>
      <c r="D78" s="64"/>
      <c r="E78" s="64"/>
      <c r="F78" s="64"/>
      <c r="G78" s="64"/>
      <c r="H78" s="64"/>
    </row>
    <row r="79" spans="1:8" x14ac:dyDescent="0.2">
      <c r="A79" s="64">
        <v>1</v>
      </c>
      <c r="B79" s="1176">
        <v>1</v>
      </c>
      <c r="C79" s="481">
        <f>('Var Vorgaben'!B46*'Var Vorgaben'!D46*'Var Vorgaben'!B69)*(1+'Varianten eingeben'!C33)</f>
        <v>0</v>
      </c>
      <c r="D79" s="191">
        <v>0.112</v>
      </c>
      <c r="E79" s="1176">
        <v>0.8</v>
      </c>
      <c r="F79" s="64"/>
      <c r="G79" s="64"/>
      <c r="H79" s="64"/>
    </row>
    <row r="80" spans="1:8" x14ac:dyDescent="0.2">
      <c r="A80" s="64">
        <v>2</v>
      </c>
      <c r="B80" s="1177">
        <f>B79</f>
        <v>1</v>
      </c>
      <c r="C80" s="481">
        <f>('Var Vorgaben'!B47*'Var Vorgaben'!D47*'Var Vorgaben'!B70)*(1+'Varianten eingeben'!C33)</f>
        <v>6624</v>
      </c>
      <c r="D80" s="267">
        <f>D79</f>
        <v>0.112</v>
      </c>
      <c r="E80" s="1177">
        <f>E79</f>
        <v>0.8</v>
      </c>
      <c r="F80" s="64"/>
      <c r="G80" s="64"/>
      <c r="H80" s="64"/>
    </row>
    <row r="81" spans="1:8" x14ac:dyDescent="0.2">
      <c r="A81" s="64">
        <v>3</v>
      </c>
      <c r="B81" s="1177">
        <f>B79</f>
        <v>1</v>
      </c>
      <c r="C81" s="481">
        <f>('Var Vorgaben'!B48*'Var Vorgaben'!D48*'Var Vorgaben'!B71)*(1+'Varianten eingeben'!C33)</f>
        <v>9936</v>
      </c>
      <c r="D81" s="267">
        <f>D79</f>
        <v>0.112</v>
      </c>
      <c r="E81" s="1177">
        <f>E79</f>
        <v>0.8</v>
      </c>
      <c r="F81" s="64"/>
      <c r="G81" s="64"/>
      <c r="H81" s="64"/>
    </row>
    <row r="82" spans="1:8" x14ac:dyDescent="0.2">
      <c r="A82" s="64">
        <v>4</v>
      </c>
      <c r="B82" s="1177">
        <f>B79</f>
        <v>1</v>
      </c>
      <c r="C82" s="481">
        <f>('Var Vorgaben'!B49*'Var Vorgaben'!D49*'Var Vorgaben'!B72)*(1+'Varianten eingeben'!C33)</f>
        <v>16560</v>
      </c>
      <c r="D82" s="267">
        <f>D79</f>
        <v>0.112</v>
      </c>
      <c r="E82" s="1177">
        <f>E79</f>
        <v>0.8</v>
      </c>
      <c r="F82" s="918">
        <f>C82*D82*E82</f>
        <v>1483.7760000000001</v>
      </c>
      <c r="G82" s="64"/>
      <c r="H82" s="64"/>
    </row>
    <row r="83" spans="1:8" x14ac:dyDescent="0.2">
      <c r="A83" s="64">
        <v>5</v>
      </c>
      <c r="B83" s="1177">
        <f>B79</f>
        <v>1</v>
      </c>
      <c r="C83" s="481">
        <f>('Var Vorgaben'!B50*'Var Vorgaben'!D50*'Var Vorgaben'!B73)*(1+'Varianten eingeben'!C33)</f>
        <v>29808</v>
      </c>
      <c r="D83" s="267">
        <f>D79</f>
        <v>0.112</v>
      </c>
      <c r="E83" s="1177">
        <f>E79</f>
        <v>0.8</v>
      </c>
      <c r="F83" s="918">
        <f t="shared" ref="F83:F95" si="1">C83*D83</f>
        <v>3338.4960000000001</v>
      </c>
      <c r="G83" s="64"/>
      <c r="H83" s="64"/>
    </row>
    <row r="84" spans="1:8" x14ac:dyDescent="0.2">
      <c r="A84" s="64">
        <v>6</v>
      </c>
      <c r="B84" s="1177">
        <f>B79</f>
        <v>1</v>
      </c>
      <c r="C84" s="481">
        <f>('Var Vorgaben'!B51*'Var Vorgaben'!D51*'Var Vorgaben'!B74)*(1+'Varianten eingeben'!C33)</f>
        <v>36432</v>
      </c>
      <c r="D84" s="267">
        <f>D79</f>
        <v>0.112</v>
      </c>
      <c r="E84" s="1177">
        <f>E79</f>
        <v>0.8</v>
      </c>
      <c r="F84" s="918">
        <f t="shared" si="1"/>
        <v>4080.384</v>
      </c>
      <c r="G84" s="64"/>
      <c r="H84" s="64"/>
    </row>
    <row r="85" spans="1:8" x14ac:dyDescent="0.2">
      <c r="A85" s="64">
        <v>7</v>
      </c>
      <c r="B85" s="1177">
        <f>B79</f>
        <v>1</v>
      </c>
      <c r="C85" s="481">
        <f>('Var Vorgaben'!B52*'Var Vorgaben'!D52*'Var Vorgaben'!B75)*(1+'Varianten eingeben'!C33)</f>
        <v>43056</v>
      </c>
      <c r="D85" s="267">
        <f>D79</f>
        <v>0.112</v>
      </c>
      <c r="E85" s="1177">
        <f>E79</f>
        <v>0.8</v>
      </c>
      <c r="F85" s="918">
        <f t="shared" si="1"/>
        <v>4822.2719999999999</v>
      </c>
      <c r="G85" s="64"/>
      <c r="H85" s="64"/>
    </row>
    <row r="86" spans="1:8" x14ac:dyDescent="0.2">
      <c r="A86" s="64">
        <v>8</v>
      </c>
      <c r="B86" s="1177">
        <f>B79</f>
        <v>1</v>
      </c>
      <c r="C86" s="481">
        <f>('Var Vorgaben'!B53*'Var Vorgaben'!D53*'Var Vorgaben'!B76)*(1+'Varianten eingeben'!C33)</f>
        <v>43056</v>
      </c>
      <c r="D86" s="267">
        <f>D79</f>
        <v>0.112</v>
      </c>
      <c r="E86" s="1177">
        <f>E79</f>
        <v>0.8</v>
      </c>
      <c r="F86" s="918">
        <f t="shared" si="1"/>
        <v>4822.2719999999999</v>
      </c>
      <c r="G86" s="64"/>
      <c r="H86" s="64"/>
    </row>
    <row r="87" spans="1:8" x14ac:dyDescent="0.2">
      <c r="A87" s="64">
        <v>9</v>
      </c>
      <c r="B87" s="1177">
        <f>B79</f>
        <v>1</v>
      </c>
      <c r="C87" s="481">
        <f>('Var Vorgaben'!B54*'Var Vorgaben'!D54*'Var Vorgaben'!B77)*(1+'Varianten eingeben'!C33)</f>
        <v>43056</v>
      </c>
      <c r="D87" s="267">
        <f>D79</f>
        <v>0.112</v>
      </c>
      <c r="E87" s="1177">
        <f>E79</f>
        <v>0.8</v>
      </c>
      <c r="F87" s="918">
        <f t="shared" si="1"/>
        <v>4822.2719999999999</v>
      </c>
      <c r="G87" s="64"/>
      <c r="H87" s="64"/>
    </row>
    <row r="88" spans="1:8" x14ac:dyDescent="0.2">
      <c r="A88" s="64">
        <v>10</v>
      </c>
      <c r="B88" s="1177">
        <f>B79</f>
        <v>1</v>
      </c>
      <c r="C88" s="481">
        <f>('Var Vorgaben'!B55*'Var Vorgaben'!D55*'Var Vorgaben'!B78)*(1+'Varianten eingeben'!C33)</f>
        <v>43056</v>
      </c>
      <c r="D88" s="267">
        <f>D79</f>
        <v>0.112</v>
      </c>
      <c r="E88" s="1177">
        <f>E79</f>
        <v>0.8</v>
      </c>
      <c r="F88" s="918">
        <f t="shared" si="1"/>
        <v>4822.2719999999999</v>
      </c>
      <c r="G88" s="64"/>
      <c r="H88" s="64"/>
    </row>
    <row r="89" spans="1:8" x14ac:dyDescent="0.2">
      <c r="A89" s="64">
        <v>11</v>
      </c>
      <c r="B89" s="1177">
        <f>B79</f>
        <v>1</v>
      </c>
      <c r="C89" s="481">
        <f>('Var Vorgaben'!B56*'Var Vorgaben'!D56*'Var Vorgaben'!B79)*(1+'Varianten eingeben'!C33)</f>
        <v>43056</v>
      </c>
      <c r="D89" s="267">
        <f>D79</f>
        <v>0.112</v>
      </c>
      <c r="E89" s="1177">
        <f>E79</f>
        <v>0.8</v>
      </c>
      <c r="F89" s="918">
        <f t="shared" si="1"/>
        <v>4822.2719999999999</v>
      </c>
      <c r="G89" s="64"/>
      <c r="H89" s="64"/>
    </row>
    <row r="90" spans="1:8" x14ac:dyDescent="0.2">
      <c r="A90" s="64">
        <v>12</v>
      </c>
      <c r="B90" s="1177">
        <f>B79</f>
        <v>1</v>
      </c>
      <c r="C90" s="481">
        <f>('Var Vorgaben'!B57*'Var Vorgaben'!D57*'Var Vorgaben'!B80)*(1+'Varianten eingeben'!C33)</f>
        <v>43056</v>
      </c>
      <c r="D90" s="267">
        <f>D79</f>
        <v>0.112</v>
      </c>
      <c r="E90" s="1177">
        <f>E79</f>
        <v>0.8</v>
      </c>
      <c r="F90" s="918">
        <f t="shared" si="1"/>
        <v>4822.2719999999999</v>
      </c>
      <c r="G90" s="64"/>
      <c r="H90" s="64"/>
    </row>
    <row r="91" spans="1:8" x14ac:dyDescent="0.2">
      <c r="A91" s="64">
        <v>13</v>
      </c>
      <c r="B91" s="1177">
        <f>B79</f>
        <v>1</v>
      </c>
      <c r="C91" s="481">
        <f>('Var Vorgaben'!B58*'Var Vorgaben'!D58*'Var Vorgaben'!B81)*(1+'Varianten eingeben'!C33)</f>
        <v>43056</v>
      </c>
      <c r="D91" s="267">
        <f>D79</f>
        <v>0.112</v>
      </c>
      <c r="E91" s="1177">
        <f>E79</f>
        <v>0.8</v>
      </c>
      <c r="F91" s="918">
        <f t="shared" si="1"/>
        <v>4822.2719999999999</v>
      </c>
      <c r="G91" s="64"/>
      <c r="H91" s="64"/>
    </row>
    <row r="92" spans="1:8" x14ac:dyDescent="0.2">
      <c r="A92" s="64">
        <v>14</v>
      </c>
      <c r="B92" s="1177">
        <f>B79</f>
        <v>1</v>
      </c>
      <c r="C92" s="481">
        <f>('Var Vorgaben'!B59*'Var Vorgaben'!D59*'Var Vorgaben'!B82)*(1+'Varianten eingeben'!C33)</f>
        <v>43056</v>
      </c>
      <c r="D92" s="267">
        <f>D79</f>
        <v>0.112</v>
      </c>
      <c r="E92" s="1177">
        <f>E79</f>
        <v>0.8</v>
      </c>
      <c r="F92" s="918">
        <f t="shared" si="1"/>
        <v>4822.2719999999999</v>
      </c>
      <c r="G92" s="64"/>
      <c r="H92" s="64"/>
    </row>
    <row r="93" spans="1:8" x14ac:dyDescent="0.2">
      <c r="A93" s="64">
        <v>15</v>
      </c>
      <c r="B93" s="1177">
        <f>B79</f>
        <v>1</v>
      </c>
      <c r="C93" s="481">
        <f>('Var Vorgaben'!B60*'Var Vorgaben'!D60*'Var Vorgaben'!B83)*(1+'Varianten eingeben'!C33)</f>
        <v>43056</v>
      </c>
      <c r="D93" s="267">
        <f>D80</f>
        <v>0.112</v>
      </c>
      <c r="E93" s="1177">
        <f>E79</f>
        <v>0.8</v>
      </c>
      <c r="F93" s="918">
        <f t="shared" si="1"/>
        <v>4822.2719999999999</v>
      </c>
      <c r="G93" s="64"/>
      <c r="H93" s="64"/>
    </row>
    <row r="94" spans="1:8" x14ac:dyDescent="0.2">
      <c r="A94" s="64">
        <v>16</v>
      </c>
      <c r="B94" s="1177">
        <f>B81</f>
        <v>1</v>
      </c>
      <c r="C94" s="481">
        <f>('Var Vorgaben'!B61*'Var Vorgaben'!D61*'Var Vorgaben'!B84)*(1+'Varianten eingeben'!C33)</f>
        <v>43056</v>
      </c>
      <c r="D94" s="267">
        <f>D81</f>
        <v>0.112</v>
      </c>
      <c r="E94" s="1177">
        <f>E81</f>
        <v>0.8</v>
      </c>
      <c r="F94" s="918">
        <f>C94*D94</f>
        <v>4822.2719999999999</v>
      </c>
      <c r="G94" s="64"/>
      <c r="H94" s="64"/>
    </row>
    <row r="95" spans="1:8" x14ac:dyDescent="0.2">
      <c r="A95" s="1145" t="s">
        <v>479</v>
      </c>
      <c r="B95" s="64"/>
      <c r="C95" s="1168">
        <f>AVERAGE(C83:C94)</f>
        <v>41400</v>
      </c>
      <c r="D95" s="1169">
        <f>AVERAGE(D82:D94)</f>
        <v>0.11200000000000003</v>
      </c>
      <c r="E95" s="64"/>
      <c r="F95" s="1168">
        <f t="shared" si="1"/>
        <v>4636.8000000000011</v>
      </c>
      <c r="G95" s="64"/>
      <c r="H95" s="64"/>
    </row>
    <row r="96" spans="1:8" x14ac:dyDescent="0.2">
      <c r="A96" s="1145" t="s">
        <v>480</v>
      </c>
      <c r="B96" s="64"/>
      <c r="C96" s="1168">
        <f>SUM(C82:C94)</f>
        <v>513360</v>
      </c>
      <c r="D96" s="64"/>
      <c r="E96" s="64"/>
      <c r="F96" s="64"/>
      <c r="G96" s="64"/>
      <c r="H96" s="64"/>
    </row>
    <row r="97" spans="1:8" x14ac:dyDescent="0.2">
      <c r="A97" s="64"/>
      <c r="B97" s="64"/>
      <c r="C97" s="64"/>
      <c r="D97" s="64"/>
      <c r="E97" s="64"/>
      <c r="F97" s="64"/>
      <c r="G97" s="64"/>
      <c r="H97" s="64"/>
    </row>
    <row r="98" spans="1:8" x14ac:dyDescent="0.2">
      <c r="A98" s="64"/>
      <c r="B98" s="64"/>
      <c r="C98" s="64"/>
      <c r="D98" s="64"/>
      <c r="E98" s="64"/>
      <c r="F98" s="64"/>
      <c r="G98" s="64"/>
      <c r="H98" s="64"/>
    </row>
    <row r="99" spans="1:8" x14ac:dyDescent="0.2">
      <c r="A99" s="64"/>
      <c r="B99" s="64"/>
      <c r="C99" s="64"/>
      <c r="D99" s="64"/>
      <c r="E99" s="64"/>
      <c r="F99" s="64"/>
      <c r="G99" s="64"/>
      <c r="H99" s="64"/>
    </row>
    <row r="100" spans="1:8" x14ac:dyDescent="0.2">
      <c r="A100" s="64"/>
      <c r="B100" s="64"/>
      <c r="C100" s="64"/>
      <c r="D100" s="64"/>
      <c r="E100" s="64"/>
      <c r="F100" s="64"/>
      <c r="G100" s="64"/>
      <c r="H100" s="64"/>
    </row>
    <row r="101" spans="1:8" x14ac:dyDescent="0.2">
      <c r="A101" s="64"/>
      <c r="B101" s="64"/>
      <c r="C101" s="64"/>
      <c r="D101" s="64"/>
      <c r="E101" s="64"/>
      <c r="F101" s="64"/>
      <c r="G101" s="64"/>
      <c r="H101" s="64"/>
    </row>
  </sheetData>
  <mergeCells count="3">
    <mergeCell ref="B3:H3"/>
    <mergeCell ref="A4:H4"/>
    <mergeCell ref="A7:H7"/>
  </mergeCells>
  <phoneticPr fontId="23" type="noConversion"/>
  <pageMargins left="0.78740157499999996" right="0.78740157499999996" top="0.984251969" bottom="0.984251969" header="0.4921259845" footer="0.4921259845"/>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7"/>
  </sheetPr>
  <dimension ref="A1:H91"/>
  <sheetViews>
    <sheetView workbookViewId="0">
      <selection activeCell="G63" sqref="G63"/>
    </sheetView>
  </sheetViews>
  <sheetFormatPr baseColWidth="10" defaultRowHeight="12.75" x14ac:dyDescent="0.2"/>
  <cols>
    <col min="1" max="1" width="18.7109375" bestFit="1" customWidth="1"/>
  </cols>
  <sheetData>
    <row r="1" spans="1:8" ht="44.25" customHeight="1" x14ac:dyDescent="0.3">
      <c r="A1" s="1368" t="str">
        <f>'Varianten eingeben'!A1</f>
        <v>Arbokost 2023</v>
      </c>
      <c r="B1" s="1368"/>
      <c r="C1" s="920"/>
      <c r="D1" s="921"/>
      <c r="E1" s="922"/>
      <c r="F1" s="921"/>
      <c r="G1" s="1058"/>
      <c r="H1" s="1059"/>
    </row>
    <row r="2" spans="1:8" ht="27" customHeight="1" x14ac:dyDescent="0.2">
      <c r="A2" s="925" t="s">
        <v>580</v>
      </c>
      <c r="B2" s="1060"/>
      <c r="C2" s="920"/>
      <c r="D2" s="921"/>
      <c r="E2" s="922"/>
      <c r="F2" s="921"/>
      <c r="G2" s="1058"/>
      <c r="H2" s="1059"/>
    </row>
    <row r="3" spans="1:8" s="1" customFormat="1" ht="48.6" customHeight="1" x14ac:dyDescent="0.2">
      <c r="A3" s="927" t="s">
        <v>633</v>
      </c>
      <c r="B3" s="1365" t="str">
        <f>'Var Vorgaben'!B3:G3</f>
        <v>Moderne Tafelzwetschenanlage auf schwachwachsender Unterlage. Werte sind ausgelegt auf gemischtwirtschaftliche Betriebe mit mehr als 0.5 ha Tafelzwetschgen, an geeignetem Standort in einem der Hauptproduktionsgebiete der Schweiz.</v>
      </c>
      <c r="C3" s="1365"/>
      <c r="D3" s="1365"/>
      <c r="E3" s="1365"/>
      <c r="F3" s="1365"/>
      <c r="G3" s="1365"/>
      <c r="H3" s="1365"/>
    </row>
    <row r="4" spans="1:8" s="1" customFormat="1" ht="38.25" customHeight="1" x14ac:dyDescent="0.2">
      <c r="A4" s="1366" t="s">
        <v>634</v>
      </c>
      <c r="B4" s="1366"/>
      <c r="C4" s="1366"/>
      <c r="D4" s="1366"/>
      <c r="E4" s="1366"/>
      <c r="F4" s="1366"/>
      <c r="G4" s="1366"/>
      <c r="H4" s="1366"/>
    </row>
    <row r="5" spans="1:8" x14ac:dyDescent="0.2">
      <c r="A5" s="924" t="str">
        <f>'Var Hagel'!A5</f>
        <v>Teuerung 2015-2023 (Baumaterialien gemäss Bundesamt für Statistik)</v>
      </c>
      <c r="B5" s="924"/>
      <c r="C5" s="924"/>
      <c r="D5" s="1099">
        <f>'Var Hagel'!D5</f>
        <v>0.18</v>
      </c>
      <c r="E5" s="924"/>
      <c r="F5" s="924"/>
      <c r="G5" s="924"/>
      <c r="H5" s="924"/>
    </row>
    <row r="6" spans="1:8" x14ac:dyDescent="0.2">
      <c r="A6" s="924"/>
      <c r="B6" s="924"/>
      <c r="C6" s="924"/>
      <c r="D6" s="924"/>
      <c r="E6" s="924"/>
      <c r="F6" s="924"/>
      <c r="G6" s="924"/>
      <c r="H6" s="924"/>
    </row>
    <row r="7" spans="1:8" x14ac:dyDescent="0.2">
      <c r="A7" s="1367" t="s">
        <v>586</v>
      </c>
      <c r="B7" s="1367"/>
      <c r="C7" s="1367"/>
      <c r="D7" s="1367"/>
      <c r="E7" s="1367"/>
      <c r="F7" s="1367"/>
      <c r="G7" s="1367"/>
      <c r="H7" s="1367"/>
    </row>
    <row r="8" spans="1:8" x14ac:dyDescent="0.2">
      <c r="A8" s="1061" t="s">
        <v>280</v>
      </c>
      <c r="B8" s="964"/>
      <c r="C8" s="1062" t="s">
        <v>11</v>
      </c>
      <c r="D8" s="1062" t="s">
        <v>12</v>
      </c>
      <c r="E8" s="929" t="s">
        <v>93</v>
      </c>
      <c r="F8" s="1044"/>
      <c r="G8" s="924"/>
      <c r="H8" s="924"/>
    </row>
    <row r="9" spans="1:8" x14ac:dyDescent="0.2">
      <c r="A9" s="964"/>
      <c r="B9" s="953"/>
      <c r="C9" s="1063"/>
      <c r="D9" s="1063"/>
      <c r="E9" s="1064"/>
      <c r="F9" s="1044"/>
      <c r="G9" s="924"/>
      <c r="H9" s="924"/>
    </row>
    <row r="10" spans="1:8" x14ac:dyDescent="0.2">
      <c r="A10" s="939"/>
      <c r="B10" s="939"/>
      <c r="C10" s="1065"/>
      <c r="D10" s="1044"/>
      <c r="E10" s="1044"/>
      <c r="F10" s="1066"/>
      <c r="G10" s="924"/>
      <c r="H10" s="924"/>
    </row>
    <row r="11" spans="1:8" x14ac:dyDescent="0.2">
      <c r="A11" s="1024" t="s">
        <v>160</v>
      </c>
      <c r="B11" s="953" t="s">
        <v>460</v>
      </c>
      <c r="C11" s="1067">
        <v>2000</v>
      </c>
      <c r="D11" s="1068">
        <f>1.35*(1+$D$5)</f>
        <v>1.593</v>
      </c>
      <c r="E11" s="1044">
        <f>C11*D11</f>
        <v>3186</v>
      </c>
      <c r="F11" s="1069"/>
      <c r="G11" s="924"/>
      <c r="H11" s="924"/>
    </row>
    <row r="12" spans="1:8" x14ac:dyDescent="0.2">
      <c r="A12" s="1024"/>
      <c r="B12" s="953" t="s">
        <v>461</v>
      </c>
      <c r="C12" s="1070">
        <v>2530</v>
      </c>
      <c r="D12" s="1068">
        <f>0.16*(1+$D$5)</f>
        <v>0.1888</v>
      </c>
      <c r="E12" s="1044">
        <f>C12*D12</f>
        <v>477.66399999999999</v>
      </c>
      <c r="F12" s="1069"/>
      <c r="G12" s="924"/>
      <c r="H12" s="924"/>
    </row>
    <row r="13" spans="1:8" x14ac:dyDescent="0.2">
      <c r="A13" s="1024"/>
      <c r="B13" s="953" t="s">
        <v>462</v>
      </c>
      <c r="C13" s="1071">
        <v>6</v>
      </c>
      <c r="D13" s="1068">
        <f>5.5*(1+$D$5)</f>
        <v>6.4899999999999993</v>
      </c>
      <c r="E13" s="1044">
        <f>C13*D13</f>
        <v>38.94</v>
      </c>
      <c r="F13" s="1069"/>
      <c r="G13" s="924"/>
      <c r="H13" s="924"/>
    </row>
    <row r="14" spans="1:8" x14ac:dyDescent="0.2">
      <c r="A14" s="1024"/>
      <c r="B14" s="953" t="s">
        <v>463</v>
      </c>
      <c r="C14" s="1067">
        <v>2000</v>
      </c>
      <c r="D14" s="1068">
        <f>0.2*(1+$D$5)</f>
        <v>0.23599999999999999</v>
      </c>
      <c r="E14" s="1044">
        <f>C14*D14</f>
        <v>472</v>
      </c>
      <c r="F14" s="1069"/>
      <c r="G14" s="924"/>
      <c r="H14" s="924"/>
    </row>
    <row r="15" spans="1:8" x14ac:dyDescent="0.2">
      <c r="A15" s="1024"/>
      <c r="B15" s="953"/>
      <c r="C15" s="1072"/>
      <c r="D15" s="1049"/>
      <c r="E15" s="1044"/>
      <c r="F15" s="1069"/>
      <c r="G15" s="924"/>
      <c r="H15" s="924"/>
    </row>
    <row r="16" spans="1:8" x14ac:dyDescent="0.2">
      <c r="A16" s="964" t="s">
        <v>587</v>
      </c>
      <c r="B16" s="946" t="s">
        <v>588</v>
      </c>
      <c r="C16" s="1073">
        <v>8446</v>
      </c>
      <c r="D16" s="1074">
        <f>2.2*(1+$D$5)</f>
        <v>2.5960000000000001</v>
      </c>
      <c r="E16" s="1075">
        <f>C16*D16</f>
        <v>21925.816000000003</v>
      </c>
      <c r="F16" s="1069"/>
      <c r="G16" s="924"/>
      <c r="H16" s="924"/>
    </row>
    <row r="17" spans="1:8" x14ac:dyDescent="0.2">
      <c r="A17" s="964"/>
      <c r="B17" s="946" t="s">
        <v>589</v>
      </c>
      <c r="C17" s="1073">
        <v>4080</v>
      </c>
      <c r="D17" s="1074">
        <f>0.75*(1+$D$5)</f>
        <v>0.88500000000000001</v>
      </c>
      <c r="E17" s="1075">
        <f>C17*D17</f>
        <v>3610.8</v>
      </c>
      <c r="F17" s="1069"/>
    </row>
    <row r="18" spans="1:8" x14ac:dyDescent="0.2">
      <c r="A18" s="964"/>
      <c r="B18" s="946" t="s">
        <v>590</v>
      </c>
      <c r="C18" s="1073">
        <v>78</v>
      </c>
      <c r="D18" s="1074">
        <f>5.5*(1+$D$5)</f>
        <v>6.4899999999999993</v>
      </c>
      <c r="E18" s="1075">
        <f>C18*D18</f>
        <v>506.21999999999997</v>
      </c>
      <c r="F18" s="1069"/>
    </row>
    <row r="19" spans="1:8" x14ac:dyDescent="0.2">
      <c r="A19" s="964"/>
      <c r="B19" s="946"/>
      <c r="C19" s="1073"/>
      <c r="D19" s="1074"/>
      <c r="E19" s="1075"/>
      <c r="F19" s="1069"/>
    </row>
    <row r="20" spans="1:8" x14ac:dyDescent="0.2">
      <c r="A20" s="964" t="s">
        <v>591</v>
      </c>
      <c r="B20" s="946" t="s">
        <v>592</v>
      </c>
      <c r="C20" s="1073">
        <v>864</v>
      </c>
      <c r="D20" s="1074">
        <f>0.58*(1+$D$5)</f>
        <v>0.6843999999999999</v>
      </c>
      <c r="E20" s="1075">
        <f>C20*D20</f>
        <v>591.32159999999988</v>
      </c>
      <c r="F20" s="1069"/>
    </row>
    <row r="21" spans="1:8" x14ac:dyDescent="0.2">
      <c r="A21" s="964"/>
      <c r="B21" s="946" t="s">
        <v>592</v>
      </c>
      <c r="C21" s="1073">
        <v>648</v>
      </c>
      <c r="D21" s="1074">
        <f>0.58*(1+$D$5)</f>
        <v>0.6843999999999999</v>
      </c>
      <c r="E21" s="1075">
        <f>C21*D21</f>
        <v>443.49119999999994</v>
      </c>
      <c r="F21" s="1069"/>
      <c r="G21" s="924"/>
      <c r="H21" s="924"/>
    </row>
    <row r="22" spans="1:8" x14ac:dyDescent="0.2">
      <c r="A22" s="964"/>
      <c r="B22" s="946" t="s">
        <v>593</v>
      </c>
      <c r="C22" s="1073">
        <v>1210</v>
      </c>
      <c r="D22" s="1074">
        <f>0.58*(1+$D$5)</f>
        <v>0.6843999999999999</v>
      </c>
      <c r="E22" s="1075">
        <f>C22*D22</f>
        <v>828.12399999999991</v>
      </c>
      <c r="F22" s="1069"/>
      <c r="G22" s="924"/>
      <c r="H22" s="924"/>
    </row>
    <row r="23" spans="1:8" x14ac:dyDescent="0.2">
      <c r="A23" s="964"/>
      <c r="B23" s="946" t="s">
        <v>594</v>
      </c>
      <c r="C23" s="1073">
        <v>400</v>
      </c>
      <c r="D23" s="1074">
        <f>0.28*(1+$D$5)</f>
        <v>0.33040000000000003</v>
      </c>
      <c r="E23" s="1075">
        <f>C23*D23</f>
        <v>132.16000000000003</v>
      </c>
      <c r="F23" s="1069"/>
      <c r="G23" s="924"/>
      <c r="H23" s="924"/>
    </row>
    <row r="24" spans="1:8" x14ac:dyDescent="0.2">
      <c r="A24" s="964"/>
      <c r="B24" s="946"/>
      <c r="C24" s="1073"/>
      <c r="D24" s="1074"/>
      <c r="E24" s="1075"/>
      <c r="F24" s="1069"/>
      <c r="G24" s="924"/>
      <c r="H24" s="924"/>
    </row>
    <row r="25" spans="1:8" x14ac:dyDescent="0.2">
      <c r="A25" s="964" t="s">
        <v>595</v>
      </c>
      <c r="B25" s="946" t="s">
        <v>597</v>
      </c>
      <c r="C25" s="1073">
        <v>1630</v>
      </c>
      <c r="D25" s="1074">
        <f>0.7*(1+$D$5)</f>
        <v>0.82599999999999996</v>
      </c>
      <c r="E25" s="1075">
        <f>C25*D25</f>
        <v>1346.3799999999999</v>
      </c>
      <c r="F25" s="1069"/>
      <c r="G25" s="924"/>
      <c r="H25" s="924"/>
    </row>
    <row r="26" spans="1:8" x14ac:dyDescent="0.2">
      <c r="A26" s="964"/>
      <c r="B26" s="946" t="s">
        <v>596</v>
      </c>
      <c r="C26" s="1073">
        <v>6030</v>
      </c>
      <c r="D26" s="1074">
        <f>0.41*(1+$D$5)</f>
        <v>0.48379999999999995</v>
      </c>
      <c r="E26" s="1075">
        <f>C26*D26</f>
        <v>2917.3139999999999</v>
      </c>
      <c r="F26" s="1069"/>
      <c r="G26" s="924"/>
      <c r="H26" s="924"/>
    </row>
    <row r="27" spans="1:8" x14ac:dyDescent="0.2">
      <c r="A27" s="964"/>
      <c r="B27" s="946" t="s">
        <v>598</v>
      </c>
      <c r="C27" s="1073">
        <v>340</v>
      </c>
      <c r="D27" s="1074">
        <f>19.5*(1+$D$5)</f>
        <v>23.009999999999998</v>
      </c>
      <c r="E27" s="1075">
        <f>C27*D27</f>
        <v>7823.4</v>
      </c>
      <c r="F27" s="1069"/>
      <c r="G27" s="924"/>
      <c r="H27" s="924"/>
    </row>
    <row r="28" spans="1:8" x14ac:dyDescent="0.2">
      <c r="A28" s="964"/>
      <c r="B28" s="946" t="s">
        <v>599</v>
      </c>
      <c r="C28" s="1076">
        <v>800</v>
      </c>
      <c r="D28" s="1336">
        <f>0.44*(1+$D$5)</f>
        <v>0.51919999999999999</v>
      </c>
      <c r="E28" s="1075">
        <f>C28*D28</f>
        <v>415.36</v>
      </c>
      <c r="F28" s="1069"/>
      <c r="G28" s="924"/>
      <c r="H28" s="924"/>
    </row>
    <row r="29" spans="1:8" x14ac:dyDescent="0.2">
      <c r="A29" s="964"/>
      <c r="B29" s="946" t="s">
        <v>600</v>
      </c>
      <c r="C29" s="1076">
        <v>52</v>
      </c>
      <c r="D29" s="1336">
        <f>4.5*(1+$D$5)</f>
        <v>5.31</v>
      </c>
      <c r="E29" s="1075">
        <f>C29*D29</f>
        <v>276.12</v>
      </c>
      <c r="F29" s="1069"/>
      <c r="G29" s="924"/>
      <c r="H29" s="924"/>
    </row>
    <row r="30" spans="1:8" x14ac:dyDescent="0.2">
      <c r="A30" s="964"/>
      <c r="B30" s="946" t="s">
        <v>601</v>
      </c>
      <c r="C30" s="1076"/>
      <c r="D30" s="1077"/>
      <c r="E30" s="1078">
        <f>1233*(1+$D$5)</f>
        <v>1454.9399999999998</v>
      </c>
      <c r="F30" s="1069"/>
      <c r="G30" s="924"/>
      <c r="H30" s="924"/>
    </row>
    <row r="31" spans="1:8" x14ac:dyDescent="0.2">
      <c r="A31" s="964"/>
      <c r="B31" s="946" t="s">
        <v>379</v>
      </c>
      <c r="C31" s="1076"/>
      <c r="D31" s="1077"/>
      <c r="E31" s="1078">
        <v>800</v>
      </c>
      <c r="F31" s="1069"/>
      <c r="G31" s="924"/>
      <c r="H31" s="924"/>
    </row>
    <row r="32" spans="1:8" x14ac:dyDescent="0.2">
      <c r="A32" s="964"/>
      <c r="B32" s="946"/>
      <c r="C32" s="1076"/>
      <c r="D32" s="1077"/>
      <c r="E32" s="1075"/>
      <c r="F32" s="1069"/>
      <c r="G32" s="924"/>
      <c r="H32" s="924"/>
    </row>
    <row r="33" spans="1:8" x14ac:dyDescent="0.2">
      <c r="A33" s="964" t="s">
        <v>380</v>
      </c>
      <c r="B33" s="946" t="s">
        <v>605</v>
      </c>
      <c r="C33" s="1073">
        <v>4</v>
      </c>
      <c r="D33" s="1074">
        <f>58.95*(1+$D$5)</f>
        <v>69.560999999999993</v>
      </c>
      <c r="E33" s="1075">
        <f>C33*D33</f>
        <v>278.24399999999997</v>
      </c>
      <c r="F33" s="1069"/>
      <c r="G33" s="924"/>
      <c r="H33" s="924"/>
    </row>
    <row r="34" spans="1:8" x14ac:dyDescent="0.2">
      <c r="B34" s="946" t="s">
        <v>603</v>
      </c>
      <c r="C34" s="1073">
        <v>380</v>
      </c>
      <c r="D34" s="1074">
        <f>23.25*(1+$D$5)</f>
        <v>27.434999999999999</v>
      </c>
      <c r="E34" s="1075">
        <f>C34*D34</f>
        <v>10425.299999999999</v>
      </c>
      <c r="F34" s="1069"/>
      <c r="G34" s="924"/>
      <c r="H34" s="924"/>
    </row>
    <row r="35" spans="1:8" x14ac:dyDescent="0.2">
      <c r="A35" s="964"/>
      <c r="B35" s="946" t="s">
        <v>604</v>
      </c>
      <c r="C35" s="1073">
        <v>34</v>
      </c>
      <c r="D35" s="1074">
        <f>33.5*(1+$D$5)</f>
        <v>39.53</v>
      </c>
      <c r="E35" s="1075">
        <f>C35*D35</f>
        <v>1344.02</v>
      </c>
      <c r="F35" s="1069"/>
      <c r="G35" s="924"/>
      <c r="H35" s="924"/>
    </row>
    <row r="36" spans="1:8" x14ac:dyDescent="0.2">
      <c r="A36" s="964"/>
      <c r="B36" s="946" t="s">
        <v>606</v>
      </c>
      <c r="C36" s="1073">
        <v>82</v>
      </c>
      <c r="D36" s="1074">
        <f>20.18*(1+$D$5)</f>
        <v>23.812399999999997</v>
      </c>
      <c r="E36" s="1075">
        <f>C36*D36</f>
        <v>1952.6167999999998</v>
      </c>
      <c r="F36" s="1069"/>
      <c r="G36" s="924"/>
      <c r="H36" s="924"/>
    </row>
    <row r="37" spans="1:8" ht="13.5" thickBot="1" x14ac:dyDescent="0.25">
      <c r="A37" s="964"/>
      <c r="B37" s="946" t="s">
        <v>607</v>
      </c>
      <c r="C37" s="1073">
        <v>530</v>
      </c>
      <c r="D37" s="1074">
        <f>1.28*(1+$D$5)</f>
        <v>1.5104</v>
      </c>
      <c r="E37" s="1080">
        <f>C37*D37</f>
        <v>800.51199999999994</v>
      </c>
      <c r="F37" s="1069"/>
      <c r="G37" s="924"/>
      <c r="H37" s="924"/>
    </row>
    <row r="38" spans="1:8" x14ac:dyDescent="0.2">
      <c r="A38" s="1024"/>
      <c r="B38" s="939"/>
      <c r="C38" s="1081"/>
      <c r="D38" s="1049"/>
      <c r="E38" s="1082">
        <f>SUM(E16:E37)</f>
        <v>57872.139599999995</v>
      </c>
      <c r="F38" s="1069"/>
      <c r="G38" s="924"/>
      <c r="H38" s="924"/>
    </row>
    <row r="39" spans="1:8" x14ac:dyDescent="0.2">
      <c r="A39" s="1024"/>
      <c r="B39" s="939"/>
      <c r="C39" s="1081"/>
      <c r="D39" s="1049"/>
      <c r="E39" s="1044"/>
      <c r="F39" s="1069"/>
      <c r="G39" s="924"/>
      <c r="H39" s="924"/>
    </row>
    <row r="40" spans="1:8" x14ac:dyDescent="0.2">
      <c r="A40" s="1024" t="s">
        <v>17</v>
      </c>
      <c r="B40" s="953" t="s">
        <v>34</v>
      </c>
      <c r="C40" s="1071">
        <v>40</v>
      </c>
      <c r="D40" s="1068">
        <v>7.2</v>
      </c>
      <c r="E40" s="1044"/>
      <c r="F40" s="1069"/>
      <c r="G40" s="924"/>
      <c r="H40" s="924"/>
    </row>
    <row r="41" spans="1:8" x14ac:dyDescent="0.2">
      <c r="A41" s="1024"/>
      <c r="B41" s="953" t="s">
        <v>18</v>
      </c>
      <c r="C41" s="1081"/>
      <c r="D41" s="1044"/>
      <c r="E41" s="1068">
        <v>150</v>
      </c>
      <c r="F41" s="1069"/>
      <c r="G41" s="924"/>
      <c r="H41" s="924"/>
    </row>
    <row r="42" spans="1:8" x14ac:dyDescent="0.2">
      <c r="A42" s="953"/>
      <c r="B42" s="953" t="s">
        <v>161</v>
      </c>
      <c r="C42" s="1081"/>
      <c r="D42" s="1044"/>
      <c r="E42" s="1068">
        <v>500</v>
      </c>
      <c r="F42" s="1069"/>
      <c r="G42" s="924"/>
      <c r="H42" s="924"/>
    </row>
    <row r="43" spans="1:8" x14ac:dyDescent="0.2">
      <c r="A43" s="953"/>
      <c r="B43" s="953"/>
      <c r="C43" s="1081"/>
      <c r="D43" s="1044"/>
      <c r="E43" s="1049"/>
      <c r="F43" s="1069"/>
      <c r="G43" s="924"/>
      <c r="H43" s="924"/>
    </row>
    <row r="44" spans="1:8" x14ac:dyDescent="0.2">
      <c r="A44" s="1083" t="s">
        <v>23</v>
      </c>
      <c r="B44" s="946" t="s">
        <v>383</v>
      </c>
      <c r="C44" s="1084">
        <v>55</v>
      </c>
      <c r="D44" s="1075">
        <f>'Var Vorgaben'!D129</f>
        <v>41</v>
      </c>
      <c r="E44" s="1075">
        <f>C44*D44</f>
        <v>2255</v>
      </c>
      <c r="F44" s="1069"/>
      <c r="G44" s="924"/>
      <c r="H44" s="924"/>
    </row>
    <row r="45" spans="1:8" x14ac:dyDescent="0.2">
      <c r="A45" s="964"/>
      <c r="B45" s="946" t="s">
        <v>384</v>
      </c>
      <c r="C45" s="1084">
        <v>15</v>
      </c>
      <c r="D45" s="1075">
        <f>'Var Vorgaben'!D150</f>
        <v>150</v>
      </c>
      <c r="E45" s="1075">
        <f>C45*D45</f>
        <v>2250</v>
      </c>
      <c r="F45" s="1069"/>
      <c r="G45" s="924"/>
      <c r="H45" s="924"/>
    </row>
    <row r="46" spans="1:8" x14ac:dyDescent="0.2">
      <c r="A46" s="964"/>
      <c r="B46" s="947" t="s">
        <v>470</v>
      </c>
      <c r="C46" s="1084">
        <v>20</v>
      </c>
      <c r="D46" s="1075">
        <f>'Var Vorgaben'!D146</f>
        <v>25</v>
      </c>
      <c r="E46" s="1075">
        <f>C46*D46</f>
        <v>500</v>
      </c>
      <c r="F46" s="1069"/>
      <c r="G46" s="924"/>
      <c r="H46" s="924"/>
    </row>
    <row r="47" spans="1:8" ht="13.5" thickBot="1" x14ac:dyDescent="0.25">
      <c r="A47" s="964"/>
      <c r="B47" s="946" t="s">
        <v>471</v>
      </c>
      <c r="C47" s="1084">
        <v>10</v>
      </c>
      <c r="D47" s="1075">
        <f>'Var Vorgaben'!D151</f>
        <v>17.5</v>
      </c>
      <c r="E47" s="1080">
        <f>C47*D47</f>
        <v>175</v>
      </c>
      <c r="F47" s="1069"/>
      <c r="G47" s="924"/>
      <c r="H47" s="924"/>
    </row>
    <row r="48" spans="1:8" x14ac:dyDescent="0.2">
      <c r="A48" s="953"/>
      <c r="B48" s="953"/>
      <c r="C48" s="1081"/>
      <c r="D48" s="1044"/>
      <c r="E48" s="1082">
        <f>SUM(E44:E47)</f>
        <v>5180</v>
      </c>
      <c r="F48" s="1069"/>
      <c r="G48" s="924"/>
      <c r="H48" s="924"/>
    </row>
    <row r="49" spans="1:8" x14ac:dyDescent="0.2">
      <c r="A49" s="1141" t="s">
        <v>28</v>
      </c>
      <c r="B49" s="1142"/>
      <c r="C49" s="1143"/>
      <c r="D49" s="1144"/>
      <c r="E49" s="1144"/>
      <c r="F49" s="1069"/>
      <c r="G49" s="924"/>
      <c r="H49" s="924"/>
    </row>
    <row r="50" spans="1:8" x14ac:dyDescent="0.2">
      <c r="A50" s="953"/>
      <c r="B50" s="939"/>
      <c r="C50" s="1085" t="s">
        <v>27</v>
      </c>
      <c r="D50" s="1086" t="s">
        <v>21</v>
      </c>
      <c r="E50" s="1087" t="s">
        <v>93</v>
      </c>
      <c r="F50" s="1069"/>
      <c r="G50" s="924"/>
      <c r="H50" s="924"/>
    </row>
    <row r="51" spans="1:8" x14ac:dyDescent="0.2">
      <c r="A51" s="1024" t="s">
        <v>472</v>
      </c>
      <c r="B51" s="953" t="s">
        <v>30</v>
      </c>
      <c r="C51" s="1032">
        <v>1</v>
      </c>
      <c r="D51" s="1066"/>
      <c r="E51" s="1066"/>
      <c r="F51" s="1069"/>
      <c r="G51" s="924"/>
      <c r="H51" s="924"/>
    </row>
    <row r="52" spans="1:8" x14ac:dyDescent="0.2">
      <c r="A52" s="939"/>
      <c r="B52" s="953" t="s">
        <v>31</v>
      </c>
      <c r="C52" s="1032">
        <v>7.5</v>
      </c>
      <c r="D52" s="1066"/>
      <c r="E52" s="1066"/>
      <c r="F52" s="1069"/>
      <c r="G52" s="924"/>
      <c r="H52" s="924"/>
    </row>
    <row r="53" spans="1:8" x14ac:dyDescent="0.2">
      <c r="A53" s="939"/>
      <c r="B53" s="953" t="s">
        <v>32</v>
      </c>
      <c r="C53" s="1032">
        <v>75</v>
      </c>
      <c r="D53" s="1066"/>
      <c r="E53" s="1066"/>
      <c r="F53" s="1069"/>
      <c r="G53" s="924"/>
      <c r="H53" s="924"/>
    </row>
    <row r="54" spans="1:8" x14ac:dyDescent="0.2">
      <c r="A54" s="939"/>
      <c r="B54" s="953" t="s">
        <v>162</v>
      </c>
      <c r="C54" s="1032">
        <v>10</v>
      </c>
      <c r="D54" s="1066"/>
      <c r="E54" s="1066"/>
      <c r="F54" s="1069"/>
      <c r="G54" s="924"/>
      <c r="H54" s="924"/>
    </row>
    <row r="55" spans="1:8" x14ac:dyDescent="0.2">
      <c r="A55" s="939"/>
      <c r="B55" s="953" t="s">
        <v>473</v>
      </c>
      <c r="C55" s="1032">
        <v>70</v>
      </c>
      <c r="D55" s="1066"/>
      <c r="E55" s="1066"/>
      <c r="F55" s="1069"/>
      <c r="G55" s="924"/>
      <c r="H55" s="924"/>
    </row>
    <row r="56" spans="1:8" x14ac:dyDescent="0.2">
      <c r="A56" s="939"/>
      <c r="B56" s="953"/>
      <c r="C56" s="1088"/>
      <c r="D56" s="1066"/>
      <c r="E56" s="1066"/>
      <c r="F56" s="1066"/>
      <c r="G56" s="924"/>
      <c r="H56" s="924"/>
    </row>
    <row r="57" spans="1:8" x14ac:dyDescent="0.2">
      <c r="A57" s="939"/>
      <c r="B57" s="953"/>
      <c r="C57" s="1088"/>
      <c r="D57" s="1044"/>
      <c r="E57" s="1044"/>
      <c r="F57" s="1066"/>
      <c r="G57" s="924"/>
      <c r="H57" s="924"/>
    </row>
    <row r="58" spans="1:8" x14ac:dyDescent="0.2">
      <c r="A58" s="938" t="s">
        <v>609</v>
      </c>
      <c r="B58" s="947" t="s">
        <v>386</v>
      </c>
      <c r="C58" s="1089">
        <v>15</v>
      </c>
      <c r="D58" s="1075">
        <f>'Var Vorgaben'!$C$36</f>
        <v>32.700000000000003</v>
      </c>
      <c r="E58" s="1075">
        <f>C58*D58</f>
        <v>490.50000000000006</v>
      </c>
      <c r="F58" s="1069"/>
      <c r="G58" s="924"/>
      <c r="H58" s="924"/>
    </row>
    <row r="59" spans="1:8" x14ac:dyDescent="0.2">
      <c r="A59" s="946"/>
      <c r="B59" s="947" t="s">
        <v>474</v>
      </c>
      <c r="C59" s="1089">
        <v>100</v>
      </c>
      <c r="D59" s="1075">
        <f>'Var Vorgaben'!$C$36</f>
        <v>32.700000000000003</v>
      </c>
      <c r="E59" s="1075">
        <f>C59*D59</f>
        <v>3270.0000000000005</v>
      </c>
      <c r="F59" s="1069"/>
      <c r="G59" s="924"/>
      <c r="H59" s="924"/>
    </row>
    <row r="60" spans="1:8" x14ac:dyDescent="0.2">
      <c r="A60" s="946"/>
      <c r="B60" s="947" t="s">
        <v>610</v>
      </c>
      <c r="C60" s="1089">
        <v>150</v>
      </c>
      <c r="D60" s="1075">
        <f>'Var Vorgaben'!$C$36</f>
        <v>32.700000000000003</v>
      </c>
      <c r="E60" s="1075">
        <f>C60*D60</f>
        <v>4905</v>
      </c>
      <c r="F60" s="1069"/>
      <c r="G60" s="924"/>
      <c r="H60" s="924"/>
    </row>
    <row r="61" spans="1:8" ht="13.5" thickBot="1" x14ac:dyDescent="0.25">
      <c r="A61" s="946"/>
      <c r="B61" s="947" t="s">
        <v>388</v>
      </c>
      <c r="C61" s="1090">
        <f>SUM(C58:C60) * 0.1</f>
        <v>26.5</v>
      </c>
      <c r="D61" s="1075">
        <f>'Var Vorgaben'!$C$36</f>
        <v>32.700000000000003</v>
      </c>
      <c r="E61" s="1080">
        <f>C61*D61</f>
        <v>866.55000000000007</v>
      </c>
      <c r="F61" s="1069"/>
      <c r="G61" s="924"/>
      <c r="H61" s="924"/>
    </row>
    <row r="62" spans="1:8" x14ac:dyDescent="0.2">
      <c r="A62" s="939"/>
      <c r="B62" s="953"/>
      <c r="C62" s="1088"/>
      <c r="D62" s="1044"/>
      <c r="E62" s="1082">
        <f>SUM(E58:E61)</f>
        <v>9532.0499999999993</v>
      </c>
      <c r="F62" s="1069"/>
      <c r="G62" s="924"/>
      <c r="H62" s="924"/>
    </row>
    <row r="63" spans="1:8" x14ac:dyDescent="0.2">
      <c r="A63" s="939"/>
      <c r="B63" s="939"/>
      <c r="C63" s="1065"/>
      <c r="D63" s="1044"/>
      <c r="E63" s="1044"/>
      <c r="F63" s="1069"/>
      <c r="G63" s="924"/>
      <c r="H63" s="924"/>
    </row>
    <row r="64" spans="1:8" x14ac:dyDescent="0.2">
      <c r="A64" s="964"/>
      <c r="B64" s="947" t="s">
        <v>392</v>
      </c>
      <c r="C64" s="1093"/>
      <c r="D64" s="1094"/>
      <c r="E64" s="1075">
        <f>E38</f>
        <v>57872.139599999995</v>
      </c>
      <c r="F64" s="1069"/>
      <c r="G64" s="924"/>
      <c r="H64" s="924"/>
    </row>
    <row r="65" spans="1:8" x14ac:dyDescent="0.2">
      <c r="A65" s="939"/>
      <c r="B65" s="947" t="s">
        <v>23</v>
      </c>
      <c r="C65" s="1093"/>
      <c r="D65" s="1094"/>
      <c r="E65" s="1075">
        <f>E48</f>
        <v>5180</v>
      </c>
      <c r="F65" s="1069"/>
      <c r="G65" s="924"/>
      <c r="H65" s="924"/>
    </row>
    <row r="66" spans="1:8" x14ac:dyDescent="0.2">
      <c r="A66" s="939"/>
      <c r="B66" s="947" t="s">
        <v>28</v>
      </c>
      <c r="C66" s="1093"/>
      <c r="D66" s="1094"/>
      <c r="E66" s="1075">
        <f>E62</f>
        <v>9532.0499999999993</v>
      </c>
      <c r="F66" s="1069"/>
      <c r="G66" s="924"/>
      <c r="H66" s="924"/>
    </row>
    <row r="67" spans="1:8" x14ac:dyDescent="0.2">
      <c r="A67" s="964" t="s">
        <v>653</v>
      </c>
      <c r="B67" s="953"/>
      <c r="C67" s="1065"/>
      <c r="D67" s="1044"/>
      <c r="E67" s="1082">
        <f>SUM(E64:E66)</f>
        <v>72584.189599999998</v>
      </c>
      <c r="F67" s="1066"/>
      <c r="G67" s="924"/>
      <c r="H67" s="924"/>
    </row>
    <row r="68" spans="1:8" x14ac:dyDescent="0.2">
      <c r="A68" s="964"/>
      <c r="B68" s="953"/>
      <c r="C68" s="1065"/>
      <c r="D68" s="1044"/>
      <c r="E68" s="1082"/>
      <c r="F68" s="1066"/>
      <c r="G68" s="924"/>
      <c r="H68" s="924"/>
    </row>
    <row r="69" spans="1:8" x14ac:dyDescent="0.2">
      <c r="A69" s="1141" t="s">
        <v>192</v>
      </c>
      <c r="B69" s="924"/>
      <c r="C69" s="1095"/>
      <c r="D69" s="924"/>
      <c r="E69" s="924"/>
      <c r="F69" s="924"/>
      <c r="G69" s="924"/>
      <c r="H69" s="924"/>
    </row>
    <row r="70" spans="1:8" x14ac:dyDescent="0.2">
      <c r="A70" s="1141" t="s">
        <v>475</v>
      </c>
      <c r="B70" s="1141" t="s">
        <v>476</v>
      </c>
      <c r="C70" s="1141" t="s">
        <v>93</v>
      </c>
      <c r="D70" s="1141" t="s">
        <v>477</v>
      </c>
      <c r="E70" s="1141" t="s">
        <v>478</v>
      </c>
      <c r="F70" s="924"/>
      <c r="G70" s="924"/>
      <c r="H70" s="924"/>
    </row>
    <row r="71" spans="1:8" x14ac:dyDescent="0.2">
      <c r="A71" s="924"/>
      <c r="B71" s="924"/>
      <c r="C71" s="1095"/>
      <c r="D71" s="924"/>
      <c r="E71" s="924"/>
      <c r="F71" s="924"/>
      <c r="G71" s="924"/>
      <c r="H71" s="924"/>
    </row>
    <row r="72" spans="1:8" x14ac:dyDescent="0.2">
      <c r="A72" s="924">
        <v>1</v>
      </c>
      <c r="B72" s="1096">
        <v>1</v>
      </c>
      <c r="C72" s="1097">
        <f>'Var Vorgaben'!B46*'Var Vorgaben'!D46*'Var Vorgaben'!B69</f>
        <v>0</v>
      </c>
      <c r="D72" s="1098">
        <v>0.112</v>
      </c>
      <c r="E72" s="1096">
        <v>0.8</v>
      </c>
      <c r="F72" s="924"/>
      <c r="G72" s="924"/>
      <c r="H72" s="924"/>
    </row>
    <row r="73" spans="1:8" x14ac:dyDescent="0.2">
      <c r="A73" s="924">
        <v>2</v>
      </c>
      <c r="B73" s="1099">
        <f>B72</f>
        <v>1</v>
      </c>
      <c r="C73" s="1097">
        <f>'Var Vorgaben'!B47*'Var Vorgaben'!D47*'Var Vorgaben'!B70</f>
        <v>6624</v>
      </c>
      <c r="D73" s="1100">
        <f>D72</f>
        <v>0.112</v>
      </c>
      <c r="E73" s="1099">
        <f>E72</f>
        <v>0.8</v>
      </c>
      <c r="F73" s="924"/>
      <c r="G73" s="924"/>
      <c r="H73" s="924"/>
    </row>
    <row r="74" spans="1:8" x14ac:dyDescent="0.2">
      <c r="A74" s="924">
        <v>3</v>
      </c>
      <c r="B74" s="1099">
        <f>B72</f>
        <v>1</v>
      </c>
      <c r="C74" s="1097">
        <f>'Var Vorgaben'!B48*'Var Vorgaben'!D48*'Var Vorgaben'!B71</f>
        <v>9936</v>
      </c>
      <c r="D74" s="1100">
        <f>D72</f>
        <v>0.112</v>
      </c>
      <c r="E74" s="1099">
        <f>E72</f>
        <v>0.8</v>
      </c>
      <c r="F74" s="924"/>
      <c r="G74" s="924"/>
      <c r="H74" s="924"/>
    </row>
    <row r="75" spans="1:8" x14ac:dyDescent="0.2">
      <c r="A75" s="924">
        <v>4</v>
      </c>
      <c r="B75" s="1099">
        <f>B72</f>
        <v>1</v>
      </c>
      <c r="C75" s="1097">
        <f>'Var Vorgaben'!B49*'Var Vorgaben'!D49*'Var Vorgaben'!B72</f>
        <v>16560</v>
      </c>
      <c r="D75" s="1100">
        <f>D72</f>
        <v>0.112</v>
      </c>
      <c r="E75" s="1099">
        <f>E72</f>
        <v>0.8</v>
      </c>
      <c r="F75" s="1101">
        <f>C75*D75*E75</f>
        <v>1483.7760000000001</v>
      </c>
      <c r="G75" s="924"/>
      <c r="H75" s="924"/>
    </row>
    <row r="76" spans="1:8" x14ac:dyDescent="0.2">
      <c r="A76" s="924">
        <v>5</v>
      </c>
      <c r="B76" s="1099">
        <f>B72</f>
        <v>1</v>
      </c>
      <c r="C76" s="1097">
        <f>'Var Vorgaben'!B50*'Var Vorgaben'!D50*'Var Vorgaben'!B73</f>
        <v>29808</v>
      </c>
      <c r="D76" s="1100">
        <f>D72</f>
        <v>0.112</v>
      </c>
      <c r="E76" s="1099">
        <f>E72</f>
        <v>0.8</v>
      </c>
      <c r="F76" s="1101">
        <f t="shared" ref="F76:F88" si="0">C76*D76</f>
        <v>3338.4960000000001</v>
      </c>
      <c r="G76" s="924"/>
      <c r="H76" s="924"/>
    </row>
    <row r="77" spans="1:8" x14ac:dyDescent="0.2">
      <c r="A77" s="924">
        <v>6</v>
      </c>
      <c r="B77" s="1099">
        <f>B72</f>
        <v>1</v>
      </c>
      <c r="C77" s="1097">
        <f>'Var Vorgaben'!B51*'Var Vorgaben'!D51*'Var Vorgaben'!B74</f>
        <v>36432</v>
      </c>
      <c r="D77" s="1100">
        <f>D72</f>
        <v>0.112</v>
      </c>
      <c r="E77" s="1099">
        <f>E72</f>
        <v>0.8</v>
      </c>
      <c r="F77" s="1101">
        <f t="shared" si="0"/>
        <v>4080.384</v>
      </c>
      <c r="G77" s="924"/>
      <c r="H77" s="924"/>
    </row>
    <row r="78" spans="1:8" x14ac:dyDescent="0.2">
      <c r="A78" s="924">
        <v>7</v>
      </c>
      <c r="B78" s="1099">
        <f>B72</f>
        <v>1</v>
      </c>
      <c r="C78" s="1097">
        <f>'Var Vorgaben'!B52*'Var Vorgaben'!D52*'Var Vorgaben'!B75</f>
        <v>43056</v>
      </c>
      <c r="D78" s="1100">
        <f>D72</f>
        <v>0.112</v>
      </c>
      <c r="E78" s="1099">
        <f>E72</f>
        <v>0.8</v>
      </c>
      <c r="F78" s="1101">
        <f t="shared" si="0"/>
        <v>4822.2719999999999</v>
      </c>
      <c r="G78" s="924"/>
      <c r="H78" s="924"/>
    </row>
    <row r="79" spans="1:8" x14ac:dyDescent="0.2">
      <c r="A79" s="924">
        <v>8</v>
      </c>
      <c r="B79" s="1099">
        <f>B72</f>
        <v>1</v>
      </c>
      <c r="C79" s="1097">
        <f>'Var Vorgaben'!B53*'Var Vorgaben'!D53*'Var Vorgaben'!B76</f>
        <v>43056</v>
      </c>
      <c r="D79" s="1100">
        <f>D72</f>
        <v>0.112</v>
      </c>
      <c r="E79" s="1099">
        <f>E72</f>
        <v>0.8</v>
      </c>
      <c r="F79" s="1101">
        <f t="shared" si="0"/>
        <v>4822.2719999999999</v>
      </c>
      <c r="G79" s="924"/>
      <c r="H79" s="924"/>
    </row>
    <row r="80" spans="1:8" x14ac:dyDescent="0.2">
      <c r="A80" s="924">
        <v>9</v>
      </c>
      <c r="B80" s="1099">
        <f>B72</f>
        <v>1</v>
      </c>
      <c r="C80" s="1097">
        <f>'Var Vorgaben'!B54*'Var Vorgaben'!D54*'Var Vorgaben'!B77</f>
        <v>43056</v>
      </c>
      <c r="D80" s="1100">
        <f>D72</f>
        <v>0.112</v>
      </c>
      <c r="E80" s="1099">
        <f>E72</f>
        <v>0.8</v>
      </c>
      <c r="F80" s="1101">
        <f t="shared" si="0"/>
        <v>4822.2719999999999</v>
      </c>
      <c r="G80" s="924"/>
      <c r="H80" s="924"/>
    </row>
    <row r="81" spans="1:8" x14ac:dyDescent="0.2">
      <c r="A81" s="924">
        <v>10</v>
      </c>
      <c r="B81" s="1099">
        <f>B72</f>
        <v>1</v>
      </c>
      <c r="C81" s="1097">
        <f>'Var Vorgaben'!B55*'Var Vorgaben'!D55*'Var Vorgaben'!B78</f>
        <v>43056</v>
      </c>
      <c r="D81" s="1100">
        <f>D72</f>
        <v>0.112</v>
      </c>
      <c r="E81" s="1099">
        <f>E72</f>
        <v>0.8</v>
      </c>
      <c r="F81" s="1101">
        <f t="shared" si="0"/>
        <v>4822.2719999999999</v>
      </c>
      <c r="G81" s="924"/>
      <c r="H81" s="924"/>
    </row>
    <row r="82" spans="1:8" x14ac:dyDescent="0.2">
      <c r="A82" s="924">
        <v>11</v>
      </c>
      <c r="B82" s="1099">
        <f>B72</f>
        <v>1</v>
      </c>
      <c r="C82" s="1097">
        <f>'Var Vorgaben'!B56*'Var Vorgaben'!D56*'Var Vorgaben'!B79</f>
        <v>43056</v>
      </c>
      <c r="D82" s="1100">
        <f>D72</f>
        <v>0.112</v>
      </c>
      <c r="E82" s="1099">
        <f>E72</f>
        <v>0.8</v>
      </c>
      <c r="F82" s="1101">
        <f t="shared" si="0"/>
        <v>4822.2719999999999</v>
      </c>
      <c r="G82" s="924"/>
      <c r="H82" s="924"/>
    </row>
    <row r="83" spans="1:8" x14ac:dyDescent="0.2">
      <c r="A83" s="924">
        <v>12</v>
      </c>
      <c r="B83" s="1099">
        <f>B72</f>
        <v>1</v>
      </c>
      <c r="C83" s="1097">
        <f>'Var Vorgaben'!B57*'Var Vorgaben'!D57*'Var Vorgaben'!B80</f>
        <v>43056</v>
      </c>
      <c r="D83" s="1100">
        <f>D72</f>
        <v>0.112</v>
      </c>
      <c r="E83" s="1099">
        <f>E72</f>
        <v>0.8</v>
      </c>
      <c r="F83" s="1101">
        <f t="shared" si="0"/>
        <v>4822.2719999999999</v>
      </c>
      <c r="G83" s="924"/>
      <c r="H83" s="924"/>
    </row>
    <row r="84" spans="1:8" x14ac:dyDescent="0.2">
      <c r="A84" s="924">
        <v>13</v>
      </c>
      <c r="B84" s="1099">
        <f>B72</f>
        <v>1</v>
      </c>
      <c r="C84" s="1097">
        <f>'Var Vorgaben'!B58*'Var Vorgaben'!D58*'Var Vorgaben'!B81</f>
        <v>43056</v>
      </c>
      <c r="D84" s="1100">
        <f>D72</f>
        <v>0.112</v>
      </c>
      <c r="E84" s="1099">
        <f>E72</f>
        <v>0.8</v>
      </c>
      <c r="F84" s="1101">
        <f t="shared" si="0"/>
        <v>4822.2719999999999</v>
      </c>
      <c r="G84" s="924"/>
      <c r="H84" s="924"/>
    </row>
    <row r="85" spans="1:8" x14ac:dyDescent="0.2">
      <c r="A85" s="924">
        <v>14</v>
      </c>
      <c r="B85" s="1099">
        <f>B72</f>
        <v>1</v>
      </c>
      <c r="C85" s="1097">
        <f>'Var Vorgaben'!B59*'Var Vorgaben'!D59*'Var Vorgaben'!B82</f>
        <v>43056</v>
      </c>
      <c r="D85" s="1100">
        <f>D72</f>
        <v>0.112</v>
      </c>
      <c r="E85" s="1099">
        <f>E72</f>
        <v>0.8</v>
      </c>
      <c r="F85" s="1101">
        <f t="shared" si="0"/>
        <v>4822.2719999999999</v>
      </c>
      <c r="G85" s="924"/>
      <c r="H85" s="924"/>
    </row>
    <row r="86" spans="1:8" x14ac:dyDescent="0.2">
      <c r="A86" s="924">
        <v>15</v>
      </c>
      <c r="B86" s="1099">
        <f>B74</f>
        <v>1</v>
      </c>
      <c r="C86" s="1097">
        <f>'Var Vorgaben'!B60*'Var Vorgaben'!D60*'Var Vorgaben'!B83</f>
        <v>43056</v>
      </c>
      <c r="D86" s="1100">
        <f>D74</f>
        <v>0.112</v>
      </c>
      <c r="E86" s="1099">
        <f>E74</f>
        <v>0.8</v>
      </c>
      <c r="F86" s="1101">
        <f t="shared" si="0"/>
        <v>4822.2719999999999</v>
      </c>
      <c r="G86" s="924"/>
      <c r="H86" s="924"/>
    </row>
    <row r="87" spans="1:8" x14ac:dyDescent="0.2">
      <c r="A87" s="924">
        <v>16</v>
      </c>
      <c r="B87" s="1099">
        <f>B74</f>
        <v>1</v>
      </c>
      <c r="C87" s="1097">
        <f>'Var Vorgaben'!B61*'Var Vorgaben'!D61*'Var Vorgaben'!B84</f>
        <v>43056</v>
      </c>
      <c r="D87" s="1100">
        <f>D74</f>
        <v>0.112</v>
      </c>
      <c r="E87" s="1099">
        <f>E74</f>
        <v>0.8</v>
      </c>
      <c r="F87" s="1101">
        <f t="shared" si="0"/>
        <v>4822.2719999999999</v>
      </c>
      <c r="G87" s="924"/>
      <c r="H87" s="924"/>
    </row>
    <row r="88" spans="1:8" x14ac:dyDescent="0.2">
      <c r="A88" s="1141" t="s">
        <v>479</v>
      </c>
      <c r="B88" s="924"/>
      <c r="C88" s="1187">
        <f>AVERAGE(C75:C87)</f>
        <v>39489.230769230766</v>
      </c>
      <c r="D88" s="1188">
        <f>AVERAGE(D75:D87)</f>
        <v>0.11200000000000003</v>
      </c>
      <c r="E88" s="924"/>
      <c r="F88" s="1141">
        <f t="shared" si="0"/>
        <v>4422.793846153847</v>
      </c>
      <c r="G88" s="924"/>
      <c r="H88" s="924"/>
    </row>
    <row r="89" spans="1:8" x14ac:dyDescent="0.2">
      <c r="A89" s="1141" t="s">
        <v>480</v>
      </c>
      <c r="B89" s="924"/>
      <c r="C89" s="1187">
        <f>SUM(C75:C87)</f>
        <v>513360</v>
      </c>
      <c r="D89" s="924"/>
      <c r="E89" s="924"/>
      <c r="F89" s="924"/>
      <c r="G89" s="924"/>
      <c r="H89" s="924"/>
    </row>
    <row r="90" spans="1:8" x14ac:dyDescent="0.2">
      <c r="A90" s="924"/>
      <c r="B90" s="924"/>
      <c r="C90" s="924"/>
      <c r="D90" s="924"/>
      <c r="E90" s="924"/>
      <c r="F90" s="924"/>
      <c r="G90" s="924"/>
      <c r="H90" s="924"/>
    </row>
    <row r="91" spans="1:8" x14ac:dyDescent="0.2">
      <c r="A91" s="924"/>
      <c r="B91" s="924"/>
      <c r="C91" s="924"/>
      <c r="D91" s="924"/>
      <c r="E91" s="924"/>
      <c r="F91" s="924"/>
      <c r="G91" s="924"/>
      <c r="H91" s="924"/>
    </row>
  </sheetData>
  <mergeCells count="4">
    <mergeCell ref="B3:H3"/>
    <mergeCell ref="A4:H4"/>
    <mergeCell ref="A7:H7"/>
    <mergeCell ref="A1:B1"/>
  </mergeCells>
  <phoneticPr fontId="23"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7"/>
  </sheetPr>
  <dimension ref="A1:H114"/>
  <sheetViews>
    <sheetView workbookViewId="0">
      <selection activeCell="D117" sqref="D117"/>
    </sheetView>
  </sheetViews>
  <sheetFormatPr baseColWidth="10" defaultRowHeight="12.75" x14ac:dyDescent="0.2"/>
  <cols>
    <col min="5" max="5" width="11.7109375" bestFit="1" customWidth="1"/>
  </cols>
  <sheetData>
    <row r="1" spans="1:8" ht="29.25" customHeight="1" x14ac:dyDescent="0.3">
      <c r="A1" s="1368" t="str">
        <f>'Varianten eingeben'!A1</f>
        <v>Arbokost 2023</v>
      </c>
      <c r="B1" s="1368"/>
      <c r="C1" s="920"/>
      <c r="D1" s="921"/>
      <c r="E1" s="922"/>
      <c r="F1" s="921"/>
      <c r="G1" s="923"/>
      <c r="H1" s="924"/>
    </row>
    <row r="2" spans="1:8" ht="14.25" x14ac:dyDescent="0.2">
      <c r="A2" s="1178" t="s">
        <v>580</v>
      </c>
      <c r="B2" s="926"/>
      <c r="C2" s="920"/>
      <c r="D2" s="921"/>
      <c r="E2" s="922"/>
      <c r="F2" s="921"/>
      <c r="G2" s="923"/>
      <c r="H2" s="924"/>
    </row>
    <row r="3" spans="1:8" x14ac:dyDescent="0.2">
      <c r="A3" s="927"/>
      <c r="B3" s="1365"/>
      <c r="C3" s="1365"/>
      <c r="D3" s="1365"/>
      <c r="E3" s="1365"/>
      <c r="F3" s="1365"/>
      <c r="G3" s="928"/>
      <c r="H3" s="924"/>
    </row>
    <row r="4" spans="1:8" x14ac:dyDescent="0.2">
      <c r="A4" s="1145" t="s">
        <v>697</v>
      </c>
      <c r="B4" s="1145"/>
      <c r="C4" s="1145"/>
      <c r="D4" s="1145"/>
      <c r="E4" s="1145"/>
      <c r="F4" s="1145"/>
      <c r="G4" s="1145"/>
      <c r="H4" s="1145"/>
    </row>
    <row r="5" spans="1:8" ht="22.5" x14ac:dyDescent="0.45">
      <c r="A5" s="1145" t="s">
        <v>481</v>
      </c>
      <c r="B5" s="1145"/>
      <c r="C5" s="1145"/>
      <c r="D5" s="1145"/>
      <c r="E5" s="1145"/>
      <c r="F5" s="1145"/>
      <c r="G5" s="1145"/>
      <c r="H5" s="1145"/>
    </row>
    <row r="6" spans="1:8" x14ac:dyDescent="0.2">
      <c r="A6" s="1337" t="str">
        <f>'Var Regendach'!A5</f>
        <v>Teuerung 2015-2023 (Baumaterialien gemäss Bundesamt für Statistik)</v>
      </c>
      <c r="E6" s="1342">
        <f>'Var Regendach'!D5</f>
        <v>0.18</v>
      </c>
    </row>
    <row r="7" spans="1:8" x14ac:dyDescent="0.2">
      <c r="A7" s="1145"/>
      <c r="B7" s="1145"/>
      <c r="C7" s="1145"/>
      <c r="D7" s="929" t="s">
        <v>11</v>
      </c>
      <c r="E7" s="930"/>
      <c r="F7" s="929" t="s">
        <v>12</v>
      </c>
      <c r="G7" s="931"/>
      <c r="H7" s="929" t="s">
        <v>199</v>
      </c>
    </row>
    <row r="8" spans="1:8" x14ac:dyDescent="0.2">
      <c r="A8" s="932"/>
      <c r="B8" s="932"/>
      <c r="C8" s="933">
        <f>'Var Vorgaben'!$C$18</f>
        <v>115</v>
      </c>
      <c r="D8" s="934">
        <f>'Var Vorgaben'!$C$19</f>
        <v>75</v>
      </c>
      <c r="E8" s="935">
        <f>'Var Vorgaben'!$C$23</f>
        <v>19</v>
      </c>
      <c r="F8" s="924"/>
      <c r="G8" s="936">
        <f>'Var Vorgaben'!C21</f>
        <v>4</v>
      </c>
      <c r="H8" s="937">
        <f>'Var Vorgaben'!C22</f>
        <v>2</v>
      </c>
    </row>
    <row r="9" spans="1:8" x14ac:dyDescent="0.2">
      <c r="A9" s="938" t="s">
        <v>482</v>
      </c>
      <c r="B9" s="939" t="s">
        <v>483</v>
      </c>
      <c r="C9" s="939"/>
      <c r="D9" s="939"/>
      <c r="E9" s="940"/>
      <c r="F9" s="941"/>
      <c r="G9" s="941"/>
      <c r="H9" s="942"/>
    </row>
    <row r="10" spans="1:8" x14ac:dyDescent="0.2">
      <c r="A10" s="943" t="s">
        <v>484</v>
      </c>
      <c r="B10" s="939" t="s">
        <v>485</v>
      </c>
      <c r="C10" s="939"/>
      <c r="D10" s="944"/>
      <c r="E10" s="940"/>
      <c r="F10" s="941"/>
      <c r="G10" s="941"/>
      <c r="H10" s="945"/>
    </row>
    <row r="11" spans="1:8" x14ac:dyDescent="0.2">
      <c r="A11" s="939"/>
      <c r="B11" s="946" t="s">
        <v>486</v>
      </c>
      <c r="C11" s="939"/>
      <c r="D11" s="944">
        <f>((C8*E8)+50)</f>
        <v>2235</v>
      </c>
      <c r="E11" s="1345"/>
      <c r="F11" s="1346">
        <f>1.35*(1+E6)</f>
        <v>1.593</v>
      </c>
      <c r="G11" s="941"/>
      <c r="H11" s="945">
        <f>F11*D11</f>
        <v>3560.355</v>
      </c>
    </row>
    <row r="12" spans="1:8" x14ac:dyDescent="0.2">
      <c r="A12" s="939"/>
      <c r="B12" s="947" t="s">
        <v>487</v>
      </c>
      <c r="C12" s="939"/>
      <c r="D12" s="944"/>
      <c r="E12" s="1345"/>
      <c r="F12" s="1346"/>
      <c r="G12" s="941"/>
      <c r="H12" s="945"/>
    </row>
    <row r="13" spans="1:8" x14ac:dyDescent="0.2">
      <c r="A13" s="939"/>
      <c r="B13" s="948" t="s">
        <v>488</v>
      </c>
      <c r="C13" s="949"/>
      <c r="D13" s="950">
        <f>E8</f>
        <v>19</v>
      </c>
      <c r="E13" s="951"/>
      <c r="F13" s="952">
        <f>7*(1+E6)</f>
        <v>8.26</v>
      </c>
      <c r="G13" s="941"/>
      <c r="H13" s="945">
        <f>F13*D13</f>
        <v>156.94</v>
      </c>
    </row>
    <row r="14" spans="1:8" x14ac:dyDescent="0.2">
      <c r="A14" s="939"/>
      <c r="B14" s="953" t="s">
        <v>489</v>
      </c>
      <c r="C14" s="939"/>
      <c r="D14" s="950">
        <f>E8</f>
        <v>19</v>
      </c>
      <c r="E14" s="951"/>
      <c r="F14" s="952">
        <f>6.5*(1+E6)</f>
        <v>7.67</v>
      </c>
      <c r="G14" s="941"/>
      <c r="H14" s="945">
        <f>F14*D14</f>
        <v>145.72999999999999</v>
      </c>
    </row>
    <row r="15" spans="1:8" x14ac:dyDescent="0.2">
      <c r="A15" s="939"/>
      <c r="B15" s="953" t="s">
        <v>490</v>
      </c>
      <c r="C15" s="939"/>
      <c r="D15" s="950">
        <v>5000</v>
      </c>
      <c r="E15" s="951"/>
      <c r="F15" s="952">
        <f>0.06*(1+E6)</f>
        <v>7.0799999999999988E-2</v>
      </c>
      <c r="G15" s="941"/>
      <c r="H15" s="945">
        <f>F15*D15</f>
        <v>353.99999999999994</v>
      </c>
    </row>
    <row r="16" spans="1:8" ht="13.5" thickBot="1" x14ac:dyDescent="0.25">
      <c r="A16" s="939"/>
      <c r="B16" s="939" t="s">
        <v>379</v>
      </c>
      <c r="C16" s="939"/>
      <c r="D16" s="950"/>
      <c r="E16" s="951"/>
      <c r="F16" s="952"/>
      <c r="G16" s="941"/>
      <c r="H16" s="945">
        <v>250</v>
      </c>
    </row>
    <row r="17" spans="1:8" x14ac:dyDescent="0.2">
      <c r="A17" s="938" t="s">
        <v>491</v>
      </c>
      <c r="B17" s="938"/>
      <c r="C17" s="938"/>
      <c r="D17" s="954"/>
      <c r="E17" s="955"/>
      <c r="F17" s="956"/>
      <c r="G17" s="957"/>
      <c r="H17" s="958">
        <f>SUM(H11:H16)</f>
        <v>4467.0249999999996</v>
      </c>
    </row>
    <row r="18" spans="1:8" x14ac:dyDescent="0.2">
      <c r="A18" s="939" t="s">
        <v>492</v>
      </c>
      <c r="B18" s="939" t="s">
        <v>493</v>
      </c>
      <c r="C18" s="939"/>
      <c r="D18" s="950"/>
      <c r="E18" s="951"/>
      <c r="F18" s="952"/>
      <c r="G18" s="941"/>
      <c r="H18" s="945"/>
    </row>
    <row r="19" spans="1:8" x14ac:dyDescent="0.2">
      <c r="A19" s="939"/>
      <c r="B19" s="939" t="s">
        <v>494</v>
      </c>
      <c r="C19" s="939"/>
      <c r="D19" s="959">
        <v>300</v>
      </c>
      <c r="E19" s="951"/>
      <c r="F19" s="952">
        <f>3.8*(1+E6)</f>
        <v>4.484</v>
      </c>
      <c r="G19" s="941"/>
      <c r="H19" s="945">
        <f>F19*D19</f>
        <v>1345.2</v>
      </c>
    </row>
    <row r="20" spans="1:8" x14ac:dyDescent="0.2">
      <c r="A20" s="939"/>
      <c r="B20" s="953" t="s">
        <v>495</v>
      </c>
      <c r="C20" s="939"/>
      <c r="D20" s="960">
        <v>3</v>
      </c>
      <c r="E20" s="961"/>
      <c r="F20" s="952">
        <f>60*(1+E6)</f>
        <v>70.8</v>
      </c>
      <c r="G20" s="941"/>
      <c r="H20" s="945">
        <f>F20*D20</f>
        <v>212.39999999999998</v>
      </c>
    </row>
    <row r="21" spans="1:8" ht="13.5" thickBot="1" x14ac:dyDescent="0.25">
      <c r="A21" s="939"/>
      <c r="B21" s="939" t="s">
        <v>496</v>
      </c>
      <c r="C21" s="939"/>
      <c r="D21" s="962"/>
      <c r="E21" s="962"/>
      <c r="F21" s="962"/>
      <c r="G21" s="939"/>
      <c r="H21" s="963">
        <v>250</v>
      </c>
    </row>
    <row r="22" spans="1:8" x14ac:dyDescent="0.2">
      <c r="A22" s="938" t="s">
        <v>497</v>
      </c>
      <c r="B22" s="964"/>
      <c r="C22" s="938"/>
      <c r="D22" s="965"/>
      <c r="E22" s="966"/>
      <c r="F22" s="956"/>
      <c r="G22" s="957"/>
      <c r="H22" s="967">
        <f>SUM(H19:H21)</f>
        <v>1807.6</v>
      </c>
    </row>
    <row r="23" spans="1:8" x14ac:dyDescent="0.2">
      <c r="A23" s="939" t="s">
        <v>498</v>
      </c>
      <c r="B23" s="939" t="s">
        <v>499</v>
      </c>
      <c r="C23" s="939"/>
      <c r="D23" s="960">
        <v>1</v>
      </c>
      <c r="E23" s="961"/>
      <c r="F23" s="952">
        <f>300*(1+E6)</f>
        <v>354</v>
      </c>
      <c r="G23" s="941"/>
      <c r="H23" s="945">
        <f t="shared" ref="H23:H28" si="0">F23*D23</f>
        <v>354</v>
      </c>
    </row>
    <row r="24" spans="1:8" x14ac:dyDescent="0.2">
      <c r="A24" s="939"/>
      <c r="B24" s="953" t="s">
        <v>500</v>
      </c>
      <c r="C24" s="939"/>
      <c r="D24" s="960">
        <v>1</v>
      </c>
      <c r="E24" s="961"/>
      <c r="F24" s="952">
        <f>120*(1+E6)</f>
        <v>141.6</v>
      </c>
      <c r="G24" s="941"/>
      <c r="H24" s="945">
        <f t="shared" si="0"/>
        <v>141.6</v>
      </c>
    </row>
    <row r="25" spans="1:8" x14ac:dyDescent="0.2">
      <c r="A25" s="939"/>
      <c r="B25" s="939" t="s">
        <v>501</v>
      </c>
      <c r="C25" s="939"/>
      <c r="D25" s="960">
        <v>1</v>
      </c>
      <c r="E25" s="961"/>
      <c r="F25" s="952">
        <f>75*(1+E6)</f>
        <v>88.5</v>
      </c>
      <c r="G25" s="941"/>
      <c r="H25" s="945">
        <f t="shared" si="0"/>
        <v>88.5</v>
      </c>
    </row>
    <row r="26" spans="1:8" x14ac:dyDescent="0.2">
      <c r="A26" s="939"/>
      <c r="B26" s="939" t="s">
        <v>502</v>
      </c>
      <c r="C26" s="939"/>
      <c r="D26" s="960">
        <v>1</v>
      </c>
      <c r="E26" s="961"/>
      <c r="F26" s="952">
        <f>70*(1+E6)</f>
        <v>82.6</v>
      </c>
      <c r="G26" s="941"/>
      <c r="H26" s="945">
        <f t="shared" si="0"/>
        <v>82.6</v>
      </c>
    </row>
    <row r="27" spans="1:8" x14ac:dyDescent="0.2">
      <c r="A27" s="939"/>
      <c r="B27" s="939" t="s">
        <v>503</v>
      </c>
      <c r="C27" s="939"/>
      <c r="D27" s="960">
        <v>2</v>
      </c>
      <c r="E27" s="961"/>
      <c r="F27" s="952">
        <f>130*(1+E6)</f>
        <v>153.4</v>
      </c>
      <c r="G27" s="941"/>
      <c r="H27" s="945">
        <f t="shared" si="0"/>
        <v>306.8</v>
      </c>
    </row>
    <row r="28" spans="1:8" x14ac:dyDescent="0.2">
      <c r="A28" s="939"/>
      <c r="B28" s="939" t="s">
        <v>504</v>
      </c>
      <c r="C28" s="939"/>
      <c r="D28" s="960">
        <v>1</v>
      </c>
      <c r="E28" s="961"/>
      <c r="F28" s="952">
        <f>350*(1+E6)</f>
        <v>413</v>
      </c>
      <c r="G28" s="941"/>
      <c r="H28" s="945">
        <f t="shared" si="0"/>
        <v>413</v>
      </c>
    </row>
    <row r="29" spans="1:8" ht="13.5" thickBot="1" x14ac:dyDescent="0.25">
      <c r="A29" s="939"/>
      <c r="B29" s="953" t="s">
        <v>496</v>
      </c>
      <c r="C29" s="939"/>
      <c r="D29" s="962"/>
      <c r="E29" s="962"/>
      <c r="F29" s="962"/>
      <c r="G29" s="939"/>
      <c r="H29" s="945">
        <v>100</v>
      </c>
    </row>
    <row r="30" spans="1:8" x14ac:dyDescent="0.2">
      <c r="A30" s="938" t="s">
        <v>505</v>
      </c>
      <c r="B30" s="964"/>
      <c r="C30" s="938"/>
      <c r="D30" s="965"/>
      <c r="E30" s="966"/>
      <c r="F30" s="956"/>
      <c r="G30" s="957"/>
      <c r="H30" s="958">
        <f>SUM(H23:H28)</f>
        <v>1386.5</v>
      </c>
    </row>
    <row r="31" spans="1:8" ht="13.5" thickBot="1" x14ac:dyDescent="0.25">
      <c r="A31" s="946" t="s">
        <v>506</v>
      </c>
      <c r="B31" s="946" t="s">
        <v>507</v>
      </c>
      <c r="C31" s="946"/>
      <c r="D31" s="968">
        <v>1</v>
      </c>
      <c r="E31" s="969"/>
      <c r="F31" s="970">
        <f>1250*(1+E6)</f>
        <v>1475</v>
      </c>
      <c r="G31" s="971"/>
      <c r="H31" s="972"/>
    </row>
    <row r="32" spans="1:8" x14ac:dyDescent="0.2">
      <c r="A32" s="938" t="s">
        <v>508</v>
      </c>
      <c r="B32" s="964"/>
      <c r="C32" s="938"/>
      <c r="D32" s="973"/>
      <c r="E32" s="974"/>
      <c r="F32" s="957"/>
      <c r="G32" s="957"/>
      <c r="H32" s="958">
        <f>SUM(H17,H22,H30,H31)</f>
        <v>7661.125</v>
      </c>
    </row>
    <row r="33" spans="1:8" x14ac:dyDescent="0.2">
      <c r="A33" s="939" t="s">
        <v>509</v>
      </c>
      <c r="B33" s="953"/>
      <c r="C33" s="939"/>
      <c r="D33" s="975"/>
      <c r="E33" s="976"/>
      <c r="F33" s="941"/>
      <c r="G33" s="941"/>
      <c r="H33" s="945"/>
    </row>
    <row r="34" spans="1:8" x14ac:dyDescent="0.2">
      <c r="A34" s="939"/>
      <c r="B34" s="953" t="s">
        <v>68</v>
      </c>
      <c r="C34" s="977"/>
      <c r="D34" s="929" t="s">
        <v>11</v>
      </c>
      <c r="E34" s="929" t="s">
        <v>510</v>
      </c>
      <c r="F34" s="929" t="s">
        <v>511</v>
      </c>
      <c r="G34" s="929"/>
      <c r="H34" s="929" t="s">
        <v>199</v>
      </c>
    </row>
    <row r="35" spans="1:8" x14ac:dyDescent="0.2">
      <c r="A35" s="939"/>
      <c r="B35" s="953"/>
      <c r="C35" s="939"/>
      <c r="D35" s="975"/>
      <c r="E35" s="976"/>
      <c r="F35" s="941"/>
      <c r="G35" s="978" t="s">
        <v>21</v>
      </c>
      <c r="H35" s="979" t="s">
        <v>93</v>
      </c>
    </row>
    <row r="36" spans="1:8" x14ac:dyDescent="0.2">
      <c r="A36" s="939" t="s">
        <v>512</v>
      </c>
      <c r="B36" s="953" t="s">
        <v>513</v>
      </c>
      <c r="C36" s="939"/>
      <c r="D36" s="975"/>
      <c r="E36" s="976">
        <v>10</v>
      </c>
      <c r="F36" s="941">
        <v>2</v>
      </c>
      <c r="G36" s="941"/>
      <c r="H36" s="945"/>
    </row>
    <row r="37" spans="1:8" x14ac:dyDescent="0.2">
      <c r="A37" s="980"/>
      <c r="B37" s="939" t="s">
        <v>514</v>
      </c>
      <c r="C37" s="981">
        <v>6.5</v>
      </c>
      <c r="D37" s="982">
        <f>D19</f>
        <v>300</v>
      </c>
      <c r="E37" s="983"/>
      <c r="F37" s="983"/>
      <c r="G37" s="984">
        <f>C37</f>
        <v>6.5</v>
      </c>
      <c r="H37" s="945">
        <f>G37*D37</f>
        <v>1950</v>
      </c>
    </row>
    <row r="38" spans="1:8" x14ac:dyDescent="0.2">
      <c r="A38" s="939"/>
      <c r="B38" s="939" t="s">
        <v>515</v>
      </c>
      <c r="C38" s="985"/>
      <c r="D38" s="986">
        <v>1</v>
      </c>
      <c r="E38" s="983">
        <v>25</v>
      </c>
      <c r="F38" s="983">
        <v>4</v>
      </c>
      <c r="G38" s="984">
        <v>13.6</v>
      </c>
      <c r="H38" s="945">
        <f>G38*F38</f>
        <v>54.4</v>
      </c>
    </row>
    <row r="39" spans="1:8" x14ac:dyDescent="0.2">
      <c r="A39" s="939"/>
      <c r="B39" s="939" t="s">
        <v>516</v>
      </c>
      <c r="C39" s="987"/>
      <c r="D39" s="986"/>
      <c r="E39" s="983">
        <v>35</v>
      </c>
      <c r="F39" s="983"/>
      <c r="G39" s="984"/>
      <c r="H39" s="945"/>
    </row>
    <row r="40" spans="1:8" x14ac:dyDescent="0.2">
      <c r="A40" s="939"/>
      <c r="B40" s="939" t="s">
        <v>517</v>
      </c>
      <c r="C40" s="987"/>
      <c r="D40" s="986"/>
      <c r="E40" s="983">
        <v>18</v>
      </c>
      <c r="F40" s="983"/>
      <c r="G40" s="984"/>
      <c r="H40" s="945"/>
    </row>
    <row r="41" spans="1:8" x14ac:dyDescent="0.2">
      <c r="A41" s="939"/>
      <c r="B41" s="939" t="s">
        <v>518</v>
      </c>
      <c r="C41" s="985"/>
      <c r="D41" s="988"/>
      <c r="E41" s="983">
        <v>3</v>
      </c>
      <c r="F41" s="983"/>
      <c r="G41" s="984"/>
      <c r="H41" s="945"/>
    </row>
    <row r="42" spans="1:8" x14ac:dyDescent="0.2">
      <c r="A42" s="939"/>
      <c r="B42" s="939" t="s">
        <v>384</v>
      </c>
      <c r="C42" s="989">
        <v>125</v>
      </c>
      <c r="D42" s="990">
        <v>3</v>
      </c>
      <c r="E42" s="983">
        <v>3</v>
      </c>
      <c r="F42" s="962"/>
      <c r="G42" s="984">
        <v>3</v>
      </c>
      <c r="H42" s="945">
        <f>G42*C42</f>
        <v>375</v>
      </c>
    </row>
    <row r="43" spans="1:8" ht="13.5" thickBot="1" x14ac:dyDescent="0.25">
      <c r="A43" s="980" t="s">
        <v>519</v>
      </c>
      <c r="B43" s="991">
        <v>0.1</v>
      </c>
      <c r="C43" s="992" t="s">
        <v>520</v>
      </c>
      <c r="D43" s="962"/>
      <c r="E43" s="993">
        <f>SUM(E36:E42)*B43</f>
        <v>9.4</v>
      </c>
      <c r="F43" s="993">
        <f>SUM(F36:F42)*B43</f>
        <v>0.60000000000000009</v>
      </c>
      <c r="G43" s="994"/>
      <c r="H43" s="945"/>
    </row>
    <row r="44" spans="1:8" x14ac:dyDescent="0.2">
      <c r="A44" s="938" t="s">
        <v>521</v>
      </c>
      <c r="B44" s="938"/>
      <c r="C44" s="938"/>
      <c r="D44" s="973"/>
      <c r="E44" s="995">
        <f>SUM(E36:E43)</f>
        <v>103.4</v>
      </c>
      <c r="F44" s="957">
        <f>SUM(F36:F43)</f>
        <v>6.6</v>
      </c>
      <c r="G44" s="957"/>
      <c r="H44" s="958">
        <f>SUM(H36:H43)</f>
        <v>2379.4</v>
      </c>
    </row>
    <row r="45" spans="1:8" x14ac:dyDescent="0.2">
      <c r="A45" s="939" t="s">
        <v>522</v>
      </c>
      <c r="B45" s="939"/>
      <c r="C45" s="939"/>
      <c r="D45" s="975"/>
      <c r="E45" s="996"/>
      <c r="F45" s="941"/>
      <c r="G45" s="941"/>
      <c r="H45" s="945"/>
    </row>
    <row r="46" spans="1:8" x14ac:dyDescent="0.2">
      <c r="A46" s="939" t="s">
        <v>523</v>
      </c>
      <c r="B46" s="939"/>
      <c r="C46" s="939"/>
      <c r="D46" s="975"/>
      <c r="E46" s="996"/>
      <c r="F46" s="941"/>
      <c r="G46" s="941"/>
      <c r="H46" s="945">
        <f>H32</f>
        <v>7661.125</v>
      </c>
    </row>
    <row r="47" spans="1:8" x14ac:dyDescent="0.2">
      <c r="A47" s="939" t="s">
        <v>524</v>
      </c>
      <c r="B47" s="939" t="s">
        <v>525</v>
      </c>
      <c r="C47" s="939" t="s">
        <v>526</v>
      </c>
      <c r="D47" s="960">
        <f>E43</f>
        <v>9.4</v>
      </c>
      <c r="E47" s="961" t="s">
        <v>527</v>
      </c>
      <c r="F47" s="952">
        <f>'Var Vorgaben'!D129</f>
        <v>41</v>
      </c>
      <c r="G47" s="941"/>
      <c r="H47" s="945">
        <f>((D47*F47)+H44)</f>
        <v>2764.8</v>
      </c>
    </row>
    <row r="48" spans="1:8" ht="13.5" thickBot="1" x14ac:dyDescent="0.25">
      <c r="A48" s="939" t="s">
        <v>528</v>
      </c>
      <c r="B48" s="939"/>
      <c r="C48" s="939" t="s">
        <v>529</v>
      </c>
      <c r="D48" s="960">
        <f>E44</f>
        <v>103.4</v>
      </c>
      <c r="E48" s="961" t="s">
        <v>527</v>
      </c>
      <c r="F48" s="952">
        <f>'Var Vorgaben'!$C$36</f>
        <v>32.700000000000003</v>
      </c>
      <c r="G48" s="941"/>
      <c r="H48" s="963">
        <f>D48*F48</f>
        <v>3381.1800000000003</v>
      </c>
    </row>
    <row r="49" spans="1:8" x14ac:dyDescent="0.2">
      <c r="A49" s="938" t="s">
        <v>530</v>
      </c>
      <c r="B49" s="939"/>
      <c r="C49" s="939"/>
      <c r="D49" s="960"/>
      <c r="E49" s="961"/>
      <c r="F49" s="952"/>
      <c r="G49" s="941"/>
      <c r="H49" s="967">
        <f>SUM(H46:H48)</f>
        <v>13807.105</v>
      </c>
    </row>
    <row r="50" spans="1:8" x14ac:dyDescent="0.2">
      <c r="A50" s="939" t="s">
        <v>531</v>
      </c>
      <c r="B50" s="939"/>
      <c r="C50" s="939" t="s">
        <v>532</v>
      </c>
      <c r="D50" s="960"/>
      <c r="E50" s="961"/>
      <c r="F50" s="952"/>
      <c r="G50" s="941"/>
      <c r="H50" s="945">
        <v>50</v>
      </c>
    </row>
    <row r="51" spans="1:8" x14ac:dyDescent="0.2">
      <c r="A51" s="939" t="s">
        <v>533</v>
      </c>
      <c r="B51" s="939"/>
      <c r="C51" s="997" t="s">
        <v>534</v>
      </c>
      <c r="D51" s="998"/>
      <c r="E51" s="999">
        <v>4</v>
      </c>
      <c r="F51" s="952">
        <f>'Var Vorgaben'!$C$36</f>
        <v>32.700000000000003</v>
      </c>
      <c r="G51" s="1000"/>
      <c r="H51" s="945">
        <f>E51*F51</f>
        <v>130.80000000000001</v>
      </c>
    </row>
    <row r="52" spans="1:8" x14ac:dyDescent="0.2">
      <c r="A52" s="939"/>
      <c r="B52" s="939"/>
      <c r="C52" s="997" t="s">
        <v>535</v>
      </c>
      <c r="D52" s="998"/>
      <c r="E52" s="999"/>
      <c r="F52" s="1001"/>
      <c r="G52" s="1000"/>
      <c r="H52" s="945">
        <v>300</v>
      </c>
    </row>
    <row r="53" spans="1:8" x14ac:dyDescent="0.2">
      <c r="A53" s="939"/>
      <c r="B53" s="939"/>
      <c r="C53" s="997" t="s">
        <v>536</v>
      </c>
      <c r="D53" s="998"/>
      <c r="E53" s="999">
        <v>10</v>
      </c>
      <c r="F53" s="952">
        <f>'Var Vorgaben'!$C$36</f>
        <v>32.700000000000003</v>
      </c>
      <c r="G53" s="1000"/>
      <c r="H53" s="945">
        <f>E53*F53</f>
        <v>327</v>
      </c>
    </row>
    <row r="54" spans="1:8" ht="13.5" thickBot="1" x14ac:dyDescent="0.25">
      <c r="A54" s="939"/>
      <c r="B54" s="939"/>
      <c r="C54" s="939" t="s">
        <v>537</v>
      </c>
      <c r="D54" s="960"/>
      <c r="E54" s="945">
        <f>'Var Vorgaben'!C183</f>
        <v>1.5</v>
      </c>
      <c r="F54" s="1002">
        <f>'Var Vorgaben'!C184</f>
        <v>500</v>
      </c>
      <c r="G54" s="941"/>
      <c r="H54" s="963">
        <f>E54*F54</f>
        <v>750</v>
      </c>
    </row>
    <row r="55" spans="1:8" x14ac:dyDescent="0.2">
      <c r="A55" s="938" t="s">
        <v>538</v>
      </c>
      <c r="B55" s="939"/>
      <c r="C55" s="997"/>
      <c r="D55" s="1004"/>
      <c r="E55" s="1005"/>
      <c r="F55" s="1000"/>
      <c r="G55" s="1000"/>
      <c r="H55" s="967">
        <f>SUM(H50:H54)</f>
        <v>1557.8</v>
      </c>
    </row>
    <row r="56" spans="1:8" x14ac:dyDescent="0.2">
      <c r="A56" s="939"/>
      <c r="B56" s="939"/>
      <c r="C56" s="997"/>
      <c r="D56" s="1004"/>
      <c r="E56" s="1005"/>
      <c r="F56" s="1000"/>
      <c r="G56" s="1000"/>
      <c r="H56" s="945"/>
    </row>
    <row r="57" spans="1:8" x14ac:dyDescent="0.2">
      <c r="A57" s="939"/>
      <c r="B57" s="939"/>
      <c r="C57" s="997"/>
      <c r="D57" s="1004"/>
      <c r="E57" s="1005"/>
      <c r="F57" s="1000"/>
      <c r="G57" s="1000"/>
      <c r="H57" s="945"/>
    </row>
    <row r="58" spans="1:8" x14ac:dyDescent="0.2">
      <c r="A58" s="924"/>
      <c r="B58" s="924"/>
      <c r="C58" s="924"/>
      <c r="D58" s="924"/>
      <c r="E58" s="924"/>
      <c r="F58" s="924"/>
      <c r="G58" s="924"/>
      <c r="H58" s="924"/>
    </row>
    <row r="59" spans="1:8" x14ac:dyDescent="0.2">
      <c r="A59" s="924"/>
      <c r="B59" s="924"/>
      <c r="C59" s="924"/>
      <c r="D59" s="924"/>
      <c r="E59" s="924"/>
      <c r="F59" s="924"/>
      <c r="G59" s="924"/>
      <c r="H59" s="924"/>
    </row>
    <row r="60" spans="1:8" x14ac:dyDescent="0.2">
      <c r="A60" s="1145" t="s">
        <v>698</v>
      </c>
      <c r="B60" s="1145"/>
      <c r="C60" s="1145"/>
      <c r="D60" s="1145"/>
      <c r="E60" s="1145"/>
      <c r="F60" s="1145"/>
      <c r="G60" s="1145"/>
      <c r="H60" s="1145"/>
    </row>
    <row r="61" spans="1:8" x14ac:dyDescent="0.2">
      <c r="A61" s="1145" t="s">
        <v>540</v>
      </c>
      <c r="B61" s="1145"/>
      <c r="C61" s="1145"/>
      <c r="D61" s="1145"/>
      <c r="E61" s="1145"/>
      <c r="F61" s="1145"/>
      <c r="G61" s="1145"/>
      <c r="H61" s="1145"/>
    </row>
    <row r="62" spans="1:8" x14ac:dyDescent="0.2">
      <c r="A62" s="932" t="s">
        <v>541</v>
      </c>
      <c r="B62" s="932"/>
      <c r="C62" s="933">
        <f>'Var Vorgaben'!$C$18</f>
        <v>115</v>
      </c>
      <c r="D62" s="934">
        <f>'Var Vorgaben'!$C$19</f>
        <v>75</v>
      </c>
      <c r="E62" s="935">
        <f>'Var Vorgaben'!$C$23</f>
        <v>19</v>
      </c>
      <c r="F62" s="924"/>
      <c r="G62" s="936">
        <f>'Var Vorgaben'!C21</f>
        <v>4</v>
      </c>
      <c r="H62" s="937">
        <f>'Var Vorgaben'!C22</f>
        <v>2</v>
      </c>
    </row>
    <row r="63" spans="1:8" x14ac:dyDescent="0.2">
      <c r="A63" s="953" t="s">
        <v>482</v>
      </c>
      <c r="B63" s="953" t="s">
        <v>542</v>
      </c>
      <c r="C63" s="953"/>
      <c r="D63" s="1006">
        <f>((E62*C62)+50)</f>
        <v>2235</v>
      </c>
      <c r="E63" s="1007"/>
      <c r="F63" s="952">
        <f>0.9*(1+E6)</f>
        <v>1.0620000000000001</v>
      </c>
      <c r="G63" s="1003"/>
      <c r="H63" s="1008">
        <f>F63*D63</f>
        <v>2373.5700000000002</v>
      </c>
    </row>
    <row r="64" spans="1:8" x14ac:dyDescent="0.2">
      <c r="A64" s="1009"/>
      <c r="B64" s="953" t="s">
        <v>543</v>
      </c>
      <c r="C64" s="953"/>
      <c r="D64" s="950">
        <f>'Var Vorgaben'!C24/2</f>
        <v>560.5</v>
      </c>
      <c r="E64" s="1007" t="s">
        <v>544</v>
      </c>
      <c r="F64" s="952">
        <f>2.6*(1+E6)</f>
        <v>3.0680000000000001</v>
      </c>
      <c r="G64" s="1003"/>
      <c r="H64" s="1008">
        <f>F64*D64</f>
        <v>1719.614</v>
      </c>
    </row>
    <row r="65" spans="1:8" x14ac:dyDescent="0.2">
      <c r="A65" s="953"/>
      <c r="B65" s="1010" t="s">
        <v>488</v>
      </c>
      <c r="C65" s="1011"/>
      <c r="D65" s="950">
        <f>E62</f>
        <v>19</v>
      </c>
      <c r="E65" s="951"/>
      <c r="F65" s="952">
        <f>20.65*(1+E6)</f>
        <v>24.366999999999997</v>
      </c>
      <c r="G65" s="1003"/>
      <c r="H65" s="1008">
        <f>F65*D65</f>
        <v>462.97299999999996</v>
      </c>
    </row>
    <row r="66" spans="1:8" x14ac:dyDescent="0.2">
      <c r="A66" s="953"/>
      <c r="B66" s="953" t="s">
        <v>545</v>
      </c>
      <c r="C66" s="953"/>
      <c r="D66" s="950">
        <f>E62</f>
        <v>19</v>
      </c>
      <c r="E66" s="951"/>
      <c r="F66" s="952">
        <f>8.5*(1+E6)</f>
        <v>10.029999999999999</v>
      </c>
      <c r="G66" s="1003"/>
      <c r="H66" s="1008">
        <f>F66*D66</f>
        <v>190.57</v>
      </c>
    </row>
    <row r="67" spans="1:8" x14ac:dyDescent="0.2">
      <c r="A67" s="953"/>
      <c r="B67" s="953" t="s">
        <v>546</v>
      </c>
      <c r="C67" s="953"/>
      <c r="D67" s="950">
        <f>D63</f>
        <v>2235</v>
      </c>
      <c r="E67" s="951"/>
      <c r="F67" s="952">
        <f>0.078*(1+E6)</f>
        <v>9.2039999999999997E-2</v>
      </c>
      <c r="G67" s="1003"/>
      <c r="H67" s="1008">
        <f>F67*D67</f>
        <v>205.70939999999999</v>
      </c>
    </row>
    <row r="68" spans="1:8" ht="13.5" thickBot="1" x14ac:dyDescent="0.25">
      <c r="A68" s="953"/>
      <c r="B68" s="953" t="s">
        <v>379</v>
      </c>
      <c r="C68" s="953"/>
      <c r="D68" s="960"/>
      <c r="E68" s="951"/>
      <c r="F68" s="952"/>
      <c r="G68" s="1003"/>
      <c r="H68" s="1012">
        <v>250</v>
      </c>
    </row>
    <row r="69" spans="1:8" x14ac:dyDescent="0.2">
      <c r="A69" s="964" t="s">
        <v>491</v>
      </c>
      <c r="B69" s="964"/>
      <c r="C69" s="964"/>
      <c r="D69" s="1013"/>
      <c r="E69" s="955"/>
      <c r="F69" s="955"/>
      <c r="G69" s="1014"/>
      <c r="H69" s="1015">
        <f>SUM(H63:H68)</f>
        <v>5202.4363999999996</v>
      </c>
    </row>
    <row r="70" spans="1:8" x14ac:dyDescent="0.2">
      <c r="A70" s="953" t="s">
        <v>492</v>
      </c>
      <c r="B70" s="953" t="s">
        <v>493</v>
      </c>
      <c r="C70" s="953"/>
      <c r="D70" s="960"/>
      <c r="E70" s="951"/>
      <c r="F70" s="952"/>
      <c r="G70" s="1003"/>
      <c r="H70" s="1008"/>
    </row>
    <row r="71" spans="1:8" x14ac:dyDescent="0.2">
      <c r="A71" s="953"/>
      <c r="B71" s="953" t="s">
        <v>494</v>
      </c>
      <c r="C71" s="953"/>
      <c r="D71" s="959">
        <v>300</v>
      </c>
      <c r="E71" s="951"/>
      <c r="F71" s="952">
        <f>3.8*(1+E6)</f>
        <v>4.484</v>
      </c>
      <c r="G71" s="1003"/>
      <c r="H71" s="1008">
        <f>F71*D71</f>
        <v>1345.2</v>
      </c>
    </row>
    <row r="72" spans="1:8" x14ac:dyDescent="0.2">
      <c r="A72" s="953"/>
      <c r="B72" s="953" t="s">
        <v>495</v>
      </c>
      <c r="C72" s="953"/>
      <c r="D72" s="960">
        <v>2</v>
      </c>
      <c r="E72" s="961"/>
      <c r="F72" s="952">
        <f>55*(1+$E$6)</f>
        <v>64.899999999999991</v>
      </c>
      <c r="G72" s="1003"/>
      <c r="H72" s="1008">
        <f>F72*D72</f>
        <v>129.79999999999998</v>
      </c>
    </row>
    <row r="73" spans="1:8" ht="13.5" thickBot="1" x14ac:dyDescent="0.25">
      <c r="A73" s="953"/>
      <c r="B73" s="953" t="s">
        <v>496</v>
      </c>
      <c r="C73" s="953"/>
      <c r="D73" s="962"/>
      <c r="E73" s="962"/>
      <c r="F73" s="962"/>
      <c r="G73" s="953"/>
      <c r="H73" s="1012">
        <v>250</v>
      </c>
    </row>
    <row r="74" spans="1:8" x14ac:dyDescent="0.2">
      <c r="A74" s="964" t="s">
        <v>497</v>
      </c>
      <c r="B74" s="964"/>
      <c r="C74" s="964"/>
      <c r="D74" s="1013"/>
      <c r="E74" s="955"/>
      <c r="F74" s="955"/>
      <c r="G74" s="1014"/>
      <c r="H74" s="1015">
        <f>SUM(H71:H73)</f>
        <v>1725</v>
      </c>
    </row>
    <row r="75" spans="1:8" x14ac:dyDescent="0.2">
      <c r="A75" s="953" t="s">
        <v>498</v>
      </c>
      <c r="B75" s="953" t="s">
        <v>499</v>
      </c>
      <c r="C75" s="953"/>
      <c r="D75" s="960">
        <v>1</v>
      </c>
      <c r="E75" s="961"/>
      <c r="F75" s="952">
        <f>300*(1+$E$6)</f>
        <v>354</v>
      </c>
      <c r="G75" s="1003"/>
      <c r="H75" s="1008">
        <f t="shared" ref="H75:H80" si="1">F75*D75</f>
        <v>354</v>
      </c>
    </row>
    <row r="76" spans="1:8" x14ac:dyDescent="0.2">
      <c r="A76" s="953"/>
      <c r="B76" s="953" t="s">
        <v>500</v>
      </c>
      <c r="C76" s="953"/>
      <c r="D76" s="960">
        <v>1</v>
      </c>
      <c r="E76" s="961"/>
      <c r="F76" s="952">
        <f>120*(1+$E$6)</f>
        <v>141.6</v>
      </c>
      <c r="G76" s="1003"/>
      <c r="H76" s="1008">
        <f t="shared" si="1"/>
        <v>141.6</v>
      </c>
    </row>
    <row r="77" spans="1:8" x14ac:dyDescent="0.2">
      <c r="A77" s="953"/>
      <c r="B77" s="953" t="s">
        <v>547</v>
      </c>
      <c r="C77" s="953"/>
      <c r="D77" s="960">
        <v>1</v>
      </c>
      <c r="E77" s="961"/>
      <c r="F77" s="952">
        <f>190*(1+$E$6)</f>
        <v>224.2</v>
      </c>
      <c r="G77" s="1003"/>
      <c r="H77" s="1008">
        <f t="shared" si="1"/>
        <v>224.2</v>
      </c>
    </row>
    <row r="78" spans="1:8" x14ac:dyDescent="0.2">
      <c r="A78" s="953"/>
      <c r="B78" s="953" t="s">
        <v>502</v>
      </c>
      <c r="C78" s="953"/>
      <c r="D78" s="960">
        <v>1</v>
      </c>
      <c r="E78" s="961"/>
      <c r="F78" s="952">
        <f>70*(1+$E$6)</f>
        <v>82.6</v>
      </c>
      <c r="G78" s="1003"/>
      <c r="H78" s="1008">
        <f t="shared" si="1"/>
        <v>82.6</v>
      </c>
    </row>
    <row r="79" spans="1:8" x14ac:dyDescent="0.2">
      <c r="A79" s="953"/>
      <c r="B79" s="953" t="s">
        <v>503</v>
      </c>
      <c r="C79" s="953"/>
      <c r="D79" s="960">
        <v>4</v>
      </c>
      <c r="E79" s="961"/>
      <c r="F79" s="952">
        <f>130*(1+$E$6)</f>
        <v>153.4</v>
      </c>
      <c r="G79" s="1003"/>
      <c r="H79" s="1008">
        <f t="shared" si="1"/>
        <v>613.6</v>
      </c>
    </row>
    <row r="80" spans="1:8" x14ac:dyDescent="0.2">
      <c r="A80" s="953"/>
      <c r="B80" s="953" t="s">
        <v>504</v>
      </c>
      <c r="C80" s="953"/>
      <c r="D80" s="960">
        <v>1</v>
      </c>
      <c r="E80" s="961"/>
      <c r="F80" s="952">
        <f>350*(1+$E$6)</f>
        <v>413</v>
      </c>
      <c r="G80" s="1003"/>
      <c r="H80" s="1008">
        <f t="shared" si="1"/>
        <v>413</v>
      </c>
    </row>
    <row r="81" spans="1:8" ht="13.5" thickBot="1" x14ac:dyDescent="0.25">
      <c r="A81" s="953"/>
      <c r="B81" s="953" t="s">
        <v>496</v>
      </c>
      <c r="C81" s="953"/>
      <c r="D81" s="962"/>
      <c r="E81" s="962"/>
      <c r="F81" s="962"/>
      <c r="G81" s="953"/>
      <c r="H81" s="1012">
        <v>100</v>
      </c>
    </row>
    <row r="82" spans="1:8" x14ac:dyDescent="0.2">
      <c r="A82" s="964" t="s">
        <v>505</v>
      </c>
      <c r="B82" s="964"/>
      <c r="C82" s="964"/>
      <c r="D82" s="1013"/>
      <c r="E82" s="955"/>
      <c r="F82" s="955"/>
      <c r="G82" s="1014"/>
      <c r="H82" s="1015">
        <f>SUM(H75:H80)</f>
        <v>1829</v>
      </c>
    </row>
    <row r="83" spans="1:8" x14ac:dyDescent="0.2">
      <c r="A83" s="1016" t="s">
        <v>506</v>
      </c>
      <c r="B83" s="1016" t="s">
        <v>548</v>
      </c>
      <c r="C83" s="1016"/>
      <c r="D83" s="1017">
        <v>1</v>
      </c>
      <c r="E83" s="1018"/>
      <c r="F83" s="1019">
        <f>1580*(1+$E$6)</f>
        <v>1864.3999999999999</v>
      </c>
      <c r="G83" s="1020"/>
      <c r="H83" s="1021"/>
    </row>
    <row r="84" spans="1:8" x14ac:dyDescent="0.2">
      <c r="A84" s="1016" t="s">
        <v>506</v>
      </c>
      <c r="B84" s="1016" t="s">
        <v>507</v>
      </c>
      <c r="C84" s="1016"/>
      <c r="D84" s="1017">
        <v>1</v>
      </c>
      <c r="E84" s="1018"/>
      <c r="F84" s="1019">
        <f>2250*(1+$E$6)</f>
        <v>2655</v>
      </c>
      <c r="G84" s="1020"/>
      <c r="H84" s="1022"/>
    </row>
    <row r="85" spans="1:8" x14ac:dyDescent="0.2">
      <c r="A85" s="964" t="s">
        <v>549</v>
      </c>
      <c r="B85" s="964"/>
      <c r="C85" s="964"/>
      <c r="D85" s="964"/>
      <c r="E85" s="1014"/>
      <c r="F85" s="1014"/>
      <c r="G85" s="1014"/>
      <c r="H85" s="1015">
        <f>H69+H74+H82+H83+H84</f>
        <v>8756.4363999999987</v>
      </c>
    </row>
    <row r="86" spans="1:8" x14ac:dyDescent="0.2">
      <c r="A86" s="964" t="s">
        <v>509</v>
      </c>
      <c r="B86" s="947"/>
      <c r="C86" s="947"/>
      <c r="D86" s="947"/>
      <c r="E86" s="947"/>
      <c r="F86" s="947"/>
      <c r="G86" s="947"/>
      <c r="H86" s="1023"/>
    </row>
    <row r="87" spans="1:8" x14ac:dyDescent="0.2">
      <c r="A87" s="1024"/>
      <c r="B87" s="1024" t="s">
        <v>68</v>
      </c>
      <c r="C87" s="1025"/>
      <c r="D87" s="1025"/>
      <c r="E87" s="1026" t="s">
        <v>510</v>
      </c>
      <c r="F87" s="1026" t="s">
        <v>511</v>
      </c>
      <c r="G87" s="1026"/>
      <c r="H87" s="1027" t="s">
        <v>550</v>
      </c>
    </row>
    <row r="88" spans="1:8" x14ac:dyDescent="0.2">
      <c r="A88" s="1024"/>
      <c r="B88" s="1024"/>
      <c r="C88" s="1025"/>
      <c r="D88" s="1025"/>
      <c r="E88" s="1026"/>
      <c r="F88" s="1026"/>
      <c r="G88" s="1028" t="s">
        <v>21</v>
      </c>
      <c r="H88" s="1029" t="s">
        <v>93</v>
      </c>
    </row>
    <row r="89" spans="1:8" x14ac:dyDescent="0.2">
      <c r="A89" s="947" t="s">
        <v>512</v>
      </c>
      <c r="B89" s="953" t="s">
        <v>513</v>
      </c>
      <c r="C89" s="1030"/>
      <c r="D89" s="1031"/>
      <c r="E89" s="983">
        <v>10</v>
      </c>
      <c r="F89" s="983">
        <v>2</v>
      </c>
      <c r="G89" s="1032"/>
      <c r="H89" s="1008"/>
    </row>
    <row r="90" spans="1:8" x14ac:dyDescent="0.2">
      <c r="A90" s="1024"/>
      <c r="B90" s="953" t="s">
        <v>514</v>
      </c>
      <c r="C90" s="1033">
        <v>6.5</v>
      </c>
      <c r="D90" s="1034">
        <f>D71</f>
        <v>300</v>
      </c>
      <c r="E90" s="983"/>
      <c r="F90" s="983"/>
      <c r="G90" s="1032">
        <f>C90</f>
        <v>6.5</v>
      </c>
      <c r="H90" s="1008">
        <f>G90*D90</f>
        <v>1950</v>
      </c>
    </row>
    <row r="91" spans="1:8" x14ac:dyDescent="0.2">
      <c r="A91" s="953"/>
      <c r="B91" s="953" t="s">
        <v>515</v>
      </c>
      <c r="C91" s="1035"/>
      <c r="D91" s="986">
        <v>1</v>
      </c>
      <c r="E91" s="983">
        <v>25</v>
      </c>
      <c r="F91" s="983">
        <v>4</v>
      </c>
      <c r="G91" s="1032">
        <v>13.6</v>
      </c>
      <c r="H91" s="1008">
        <f>G91*F91</f>
        <v>54.4</v>
      </c>
    </row>
    <row r="92" spans="1:8" x14ac:dyDescent="0.2">
      <c r="A92" s="953"/>
      <c r="B92" s="953" t="s">
        <v>516</v>
      </c>
      <c r="C92" s="1030"/>
      <c r="D92" s="986"/>
      <c r="E92" s="983">
        <v>35</v>
      </c>
      <c r="F92" s="983"/>
      <c r="G92" s="1032"/>
      <c r="H92" s="1008"/>
    </row>
    <row r="93" spans="1:8" x14ac:dyDescent="0.2">
      <c r="A93" s="953"/>
      <c r="B93" s="953" t="s">
        <v>551</v>
      </c>
      <c r="C93" s="1030"/>
      <c r="D93" s="986"/>
      <c r="E93" s="983">
        <v>10</v>
      </c>
      <c r="F93" s="983"/>
      <c r="G93" s="1032"/>
      <c r="H93" s="1008"/>
    </row>
    <row r="94" spans="1:8" x14ac:dyDescent="0.2">
      <c r="A94" s="953"/>
      <c r="B94" s="953" t="s">
        <v>517</v>
      </c>
      <c r="C94" s="1030"/>
      <c r="D94" s="986"/>
      <c r="E94" s="983">
        <v>18</v>
      </c>
      <c r="F94" s="983"/>
      <c r="G94" s="1032"/>
      <c r="H94" s="1008"/>
    </row>
    <row r="95" spans="1:8" x14ac:dyDescent="0.2">
      <c r="A95" s="953"/>
      <c r="B95" s="953" t="s">
        <v>518</v>
      </c>
      <c r="C95" s="1035"/>
      <c r="D95" s="988"/>
      <c r="E95" s="983">
        <v>3</v>
      </c>
      <c r="F95" s="983"/>
      <c r="G95" s="1032"/>
      <c r="H95" s="1008"/>
    </row>
    <row r="96" spans="1:8" x14ac:dyDescent="0.2">
      <c r="A96" s="953"/>
      <c r="B96" s="953" t="s">
        <v>384</v>
      </c>
      <c r="C96" s="1036">
        <v>125</v>
      </c>
      <c r="D96" s="990">
        <v>3</v>
      </c>
      <c r="E96" s="983">
        <v>3</v>
      </c>
      <c r="F96" s="962"/>
      <c r="G96" s="1032">
        <v>3</v>
      </c>
      <c r="H96" s="1008">
        <f>G96*C96</f>
        <v>375</v>
      </c>
    </row>
    <row r="97" spans="1:8" x14ac:dyDescent="0.2">
      <c r="A97" s="1024" t="s">
        <v>519</v>
      </c>
      <c r="B97" s="1037">
        <v>0.1</v>
      </c>
      <c r="C97" s="1030" t="s">
        <v>520</v>
      </c>
      <c r="D97" s="962"/>
      <c r="E97" s="983">
        <f>SUM(E89:E96)*B97</f>
        <v>10.4</v>
      </c>
      <c r="F97" s="983">
        <f>SUM(F89:F96)*B97</f>
        <v>0.60000000000000009</v>
      </c>
      <c r="G97" s="983"/>
      <c r="H97" s="1008"/>
    </row>
    <row r="98" spans="1:8" x14ac:dyDescent="0.2">
      <c r="A98" s="964" t="s">
        <v>521</v>
      </c>
      <c r="B98" s="947"/>
      <c r="C98" s="1038"/>
      <c r="D98" s="1039"/>
      <c r="E98" s="1040">
        <f>SUM(E89:E97)</f>
        <v>114.4</v>
      </c>
      <c r="F98" s="1040">
        <f>SUM(F89:F97)</f>
        <v>6.6</v>
      </c>
      <c r="G98" s="1040"/>
      <c r="H98" s="1021">
        <f>SUM(H89:H97)</f>
        <v>2379.4</v>
      </c>
    </row>
    <row r="99" spans="1:8" x14ac:dyDescent="0.2">
      <c r="A99" s="964" t="s">
        <v>522</v>
      </c>
      <c r="B99" s="947"/>
      <c r="C99" s="1041"/>
      <c r="D99" s="947"/>
      <c r="E99" s="947"/>
      <c r="F99" s="1041"/>
      <c r="G99" s="1041"/>
      <c r="H99" s="1042"/>
    </row>
    <row r="100" spans="1:8" x14ac:dyDescent="0.2">
      <c r="A100" s="1024" t="s">
        <v>523</v>
      </c>
      <c r="B100" s="953"/>
      <c r="C100" s="953"/>
      <c r="D100" s="1043"/>
      <c r="E100" s="1044"/>
      <c r="F100" s="953"/>
      <c r="G100" s="953"/>
      <c r="H100" s="1008">
        <f>H85</f>
        <v>8756.4363999999987</v>
      </c>
    </row>
    <row r="101" spans="1:8" x14ac:dyDescent="0.2">
      <c r="A101" s="1024" t="s">
        <v>524</v>
      </c>
      <c r="B101" s="1024" t="s">
        <v>525</v>
      </c>
      <c r="C101" s="947" t="s">
        <v>526</v>
      </c>
      <c r="D101" s="990">
        <f>F98</f>
        <v>6.6</v>
      </c>
      <c r="E101" s="1045" t="s">
        <v>527</v>
      </c>
      <c r="F101" s="952">
        <v>27.5</v>
      </c>
      <c r="G101" s="1003"/>
      <c r="H101" s="1008">
        <f>((D101*F101)+H98)</f>
        <v>2560.9</v>
      </c>
    </row>
    <row r="102" spans="1:8" ht="13.5" thickBot="1" x14ac:dyDescent="0.25">
      <c r="A102" s="1024" t="s">
        <v>528</v>
      </c>
      <c r="B102" s="953"/>
      <c r="C102" s="953" t="s">
        <v>529</v>
      </c>
      <c r="D102" s="990">
        <f>E98</f>
        <v>114.4</v>
      </c>
      <c r="E102" s="1045" t="s">
        <v>527</v>
      </c>
      <c r="F102" s="952">
        <f>'Var Vorgaben'!$C$36</f>
        <v>32.700000000000003</v>
      </c>
      <c r="G102" s="1003"/>
      <c r="H102" s="1012">
        <f>D102*F102</f>
        <v>3740.8800000000006</v>
      </c>
    </row>
    <row r="103" spans="1:8" x14ac:dyDescent="0.2">
      <c r="A103" s="964" t="s">
        <v>552</v>
      </c>
      <c r="B103" s="964"/>
      <c r="C103" s="964"/>
      <c r="D103" s="964"/>
      <c r="E103" s="964"/>
      <c r="F103" s="964"/>
      <c r="G103" s="964"/>
      <c r="H103" s="1015">
        <f>SUM(H100:H102)</f>
        <v>15058.216399999999</v>
      </c>
    </row>
    <row r="104" spans="1:8" x14ac:dyDescent="0.2">
      <c r="A104" s="964" t="s">
        <v>553</v>
      </c>
      <c r="B104" s="947"/>
      <c r="C104" s="947"/>
      <c r="D104" s="947"/>
      <c r="E104" s="947"/>
      <c r="F104" s="947"/>
      <c r="G104" s="947"/>
      <c r="H104" s="1023"/>
    </row>
    <row r="105" spans="1:8" x14ac:dyDescent="0.2">
      <c r="A105" s="953" t="s">
        <v>554</v>
      </c>
      <c r="B105" s="953" t="s">
        <v>555</v>
      </c>
      <c r="C105" s="1046">
        <v>4</v>
      </c>
      <c r="D105" s="1001">
        <f>H100</f>
        <v>8756.4363999999987</v>
      </c>
      <c r="E105" s="1045" t="s">
        <v>556</v>
      </c>
      <c r="F105" s="1047">
        <v>60</v>
      </c>
      <c r="G105" s="1048"/>
      <c r="H105" s="1008">
        <f>(D105/100*F105)/100*C105</f>
        <v>210.15447359999996</v>
      </c>
    </row>
    <row r="106" spans="1:8" x14ac:dyDescent="0.2">
      <c r="A106" s="953"/>
      <c r="B106" s="953" t="s">
        <v>557</v>
      </c>
      <c r="C106" s="1046">
        <v>4</v>
      </c>
      <c r="D106" s="1001">
        <f>H90+H96</f>
        <v>2325</v>
      </c>
      <c r="E106" s="1045" t="s">
        <v>556</v>
      </c>
      <c r="F106" s="1047">
        <v>60</v>
      </c>
      <c r="G106" s="1048"/>
      <c r="H106" s="1008">
        <f>(D106/100*F106)/100*C106</f>
        <v>55.8</v>
      </c>
    </row>
    <row r="107" spans="1:8" x14ac:dyDescent="0.2">
      <c r="A107" s="953" t="s">
        <v>558</v>
      </c>
      <c r="B107" s="953"/>
      <c r="C107" s="1049">
        <f>D105</f>
        <v>8756.4363999999987</v>
      </c>
      <c r="D107" s="953" t="s">
        <v>559</v>
      </c>
      <c r="E107" s="953"/>
      <c r="F107" s="953"/>
      <c r="G107" s="953"/>
      <c r="H107" s="1008">
        <f>C107/15</f>
        <v>583.76242666666656</v>
      </c>
    </row>
    <row r="108" spans="1:8" x14ac:dyDescent="0.2">
      <c r="A108" s="953" t="s">
        <v>531</v>
      </c>
      <c r="B108" s="953"/>
      <c r="C108" s="1050" t="s">
        <v>532</v>
      </c>
      <c r="D108" s="1051"/>
      <c r="E108" s="1052"/>
      <c r="F108" s="1053"/>
      <c r="G108" s="1053"/>
      <c r="H108" s="1008">
        <v>50</v>
      </c>
    </row>
    <row r="109" spans="1:8" x14ac:dyDescent="0.2">
      <c r="A109" s="953" t="s">
        <v>533</v>
      </c>
      <c r="B109" s="953"/>
      <c r="C109" s="1054" t="s">
        <v>534</v>
      </c>
      <c r="D109" s="1219"/>
      <c r="E109" s="1055">
        <f>E51</f>
        <v>4</v>
      </c>
      <c r="F109" s="952">
        <f>'Var Vorgaben'!$C$36</f>
        <v>32.700000000000003</v>
      </c>
      <c r="G109" s="1053"/>
      <c r="H109" s="1008">
        <f>E109*F109</f>
        <v>130.80000000000001</v>
      </c>
    </row>
    <row r="110" spans="1:8" x14ac:dyDescent="0.2">
      <c r="A110" s="953"/>
      <c r="B110" s="953"/>
      <c r="C110" s="1054" t="s">
        <v>536</v>
      </c>
      <c r="D110" s="1219"/>
      <c r="E110" s="1055">
        <f>E53</f>
        <v>10</v>
      </c>
      <c r="F110" s="952">
        <f>'Var Vorgaben'!$C$36</f>
        <v>32.700000000000003</v>
      </c>
      <c r="G110" s="1053"/>
      <c r="H110" s="1008">
        <f>E110*F110</f>
        <v>327</v>
      </c>
    </row>
    <row r="111" spans="1:8" ht="13.5" thickBot="1" x14ac:dyDescent="0.25">
      <c r="A111" s="953"/>
      <c r="B111" s="953"/>
      <c r="C111" s="1054" t="s">
        <v>537</v>
      </c>
      <c r="D111" s="1219"/>
      <c r="E111" s="1056">
        <f>'Var Vorgaben'!C184</f>
        <v>500</v>
      </c>
      <c r="F111" s="1057">
        <f>'Var Vorgaben'!C183</f>
        <v>1.5</v>
      </c>
      <c r="G111" s="1057"/>
      <c r="H111" s="1012">
        <f>E111*F111</f>
        <v>750</v>
      </c>
    </row>
    <row r="112" spans="1:8" x14ac:dyDescent="0.2">
      <c r="A112" s="964" t="s">
        <v>560</v>
      </c>
      <c r="B112" s="964"/>
      <c r="C112" s="964"/>
      <c r="D112" s="964"/>
      <c r="E112" s="964"/>
      <c r="F112" s="964"/>
      <c r="G112" s="964"/>
      <c r="H112" s="1015">
        <f>SUM(H104:H111)</f>
        <v>2107.5169002666662</v>
      </c>
    </row>
    <row r="113" spans="1:8" x14ac:dyDescent="0.2">
      <c r="A113" s="953"/>
      <c r="B113" s="953"/>
      <c r="C113" s="953"/>
      <c r="D113" s="953"/>
      <c r="E113" s="953"/>
      <c r="F113" s="953"/>
      <c r="G113" s="953"/>
      <c r="H113" s="953"/>
    </row>
    <row r="114" spans="1:8" x14ac:dyDescent="0.2">
      <c r="A114" s="953"/>
      <c r="B114" s="953"/>
      <c r="C114" s="953"/>
      <c r="D114" s="953"/>
      <c r="E114" s="953"/>
      <c r="F114" s="953"/>
      <c r="G114" s="953"/>
      <c r="H114" s="953"/>
    </row>
  </sheetData>
  <mergeCells count="2">
    <mergeCell ref="A1:B1"/>
    <mergeCell ref="B3:F3"/>
  </mergeCells>
  <phoneticPr fontId="23" type="noConversion"/>
  <pageMargins left="0.78740157499999996" right="0.78740157499999996" top="0.984251969" bottom="0.984251969" header="0.4921259845" footer="0.4921259845"/>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VarErstellung">
    <tabColor indexed="17"/>
  </sheetPr>
  <dimension ref="A1:AO192"/>
  <sheetViews>
    <sheetView zoomScale="80" zoomScaleNormal="80" workbookViewId="0">
      <selection activeCell="D11" sqref="D11"/>
    </sheetView>
  </sheetViews>
  <sheetFormatPr baseColWidth="10" defaultRowHeight="12.75" x14ac:dyDescent="0.2"/>
  <cols>
    <col min="1" max="1" width="60.7109375" customWidth="1"/>
    <col min="2" max="2" width="27.7109375" customWidth="1"/>
    <col min="3" max="3" width="14.5703125" customWidth="1"/>
    <col min="4" max="4" width="20.5703125" customWidth="1"/>
    <col min="5" max="5" width="17.7109375" customWidth="1"/>
    <col min="6" max="6" width="16.28515625" customWidth="1"/>
    <col min="7" max="7" width="17.7109375" customWidth="1"/>
    <col min="8" max="8" width="12.7109375" style="15" customWidth="1"/>
    <col min="9" max="9" width="13" style="15" customWidth="1"/>
    <col min="10" max="10" width="11.42578125" style="15" customWidth="1"/>
    <col min="11" max="11" width="12.7109375" style="15" customWidth="1"/>
    <col min="12" max="41" width="11.42578125" style="15" customWidth="1"/>
  </cols>
  <sheetData>
    <row r="1" spans="1:41" ht="26.25" x14ac:dyDescent="0.4">
      <c r="A1" s="1180" t="str">
        <f>'Varianten eingeben'!A1</f>
        <v>Arbokost 2023</v>
      </c>
      <c r="B1" s="625" t="str">
        <f>'Var Vorgaben'!B7</f>
        <v>Tafelzwetschge</v>
      </c>
      <c r="C1" s="615"/>
      <c r="D1" s="615"/>
      <c r="E1" s="616"/>
      <c r="F1" s="619"/>
      <c r="G1" s="611"/>
    </row>
    <row r="2" spans="1:41" ht="17.25" customHeight="1" x14ac:dyDescent="0.3">
      <c r="A2" s="1179" t="s">
        <v>347</v>
      </c>
      <c r="B2" s="617">
        <f>'Var Vorgaben'!B24</f>
        <v>1125</v>
      </c>
      <c r="C2" s="635"/>
      <c r="D2" s="616"/>
      <c r="E2" s="621"/>
      <c r="F2" s="621"/>
      <c r="G2" s="621"/>
      <c r="H2" s="159"/>
    </row>
    <row r="3" spans="1:41" ht="38.25" customHeight="1" x14ac:dyDescent="0.3">
      <c r="A3" s="725"/>
      <c r="B3" s="617"/>
      <c r="C3" s="635"/>
      <c r="D3" s="616"/>
      <c r="E3" s="621"/>
      <c r="F3" s="621"/>
      <c r="G3" s="621"/>
      <c r="H3" s="159"/>
    </row>
    <row r="4" spans="1:41" s="1" customFormat="1" ht="38.25" customHeight="1" x14ac:dyDescent="0.2">
      <c r="A4" s="636" t="s">
        <v>579</v>
      </c>
      <c r="B4" s="1362" t="str">
        <f>'Var Vorgaben'!B3:G3</f>
        <v>Moderne Tafelzwetschenanlage auf schwachwachsender Unterlage. Werte sind ausgelegt auf gemischtwirtschaftliche Betriebe mit mehr als 0.5 ha Tafelzwetschgen, an geeignetem Standort in einem der Hauptproduktionsgebiete der Schweiz.</v>
      </c>
      <c r="C4" s="1362"/>
      <c r="D4" s="1362"/>
      <c r="E4" s="1362"/>
      <c r="F4" s="1362"/>
      <c r="G4" s="1362"/>
    </row>
    <row r="5" spans="1:41" s="1" customFormat="1" ht="11.25" customHeight="1" x14ac:dyDescent="0.2">
      <c r="A5" s="636"/>
      <c r="B5" s="688"/>
      <c r="C5" s="688"/>
      <c r="D5" s="688"/>
      <c r="E5" s="688"/>
      <c r="F5" s="688"/>
      <c r="G5" s="688"/>
    </row>
    <row r="6" spans="1:41" s="1" customFormat="1" ht="36" customHeight="1" x14ac:dyDescent="0.4">
      <c r="A6" s="1181" t="s">
        <v>346</v>
      </c>
      <c r="B6" s="1182"/>
      <c r="C6" s="1183" t="s">
        <v>337</v>
      </c>
      <c r="D6" s="1165" t="s">
        <v>410</v>
      </c>
      <c r="E6" s="1165"/>
      <c r="F6" s="1184"/>
      <c r="G6" s="330"/>
    </row>
    <row r="7" spans="1:41" ht="15.75" x14ac:dyDescent="0.25">
      <c r="A7" s="21"/>
      <c r="B7" s="1102"/>
      <c r="C7" s="1103"/>
      <c r="F7" s="723" t="s">
        <v>114</v>
      </c>
      <c r="G7" s="73"/>
      <c r="H7" s="171"/>
      <c r="I7" s="21"/>
      <c r="J7" s="21"/>
      <c r="K7" s="21"/>
      <c r="L7" s="21"/>
    </row>
    <row r="8" spans="1:41" s="14" customFormat="1" ht="22.5" x14ac:dyDescent="0.2">
      <c r="A8" s="1"/>
      <c r="B8" s="3"/>
      <c r="C8" s="20" t="s">
        <v>11</v>
      </c>
      <c r="D8" s="20" t="s">
        <v>12</v>
      </c>
      <c r="E8" s="101" t="s">
        <v>13</v>
      </c>
      <c r="F8" s="1104" t="s">
        <v>561</v>
      </c>
      <c r="G8" s="350"/>
      <c r="H8" s="350"/>
      <c r="I8" s="171"/>
      <c r="J8" s="171"/>
      <c r="K8" s="40"/>
      <c r="L8" s="40"/>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row>
    <row r="9" spans="1:41" s="1" customFormat="1" x14ac:dyDescent="0.2">
      <c r="A9" s="1105" t="s">
        <v>8</v>
      </c>
      <c r="B9" s="21"/>
      <c r="C9" s="156">
        <f>'Var Vorgaben'!B24</f>
        <v>1125</v>
      </c>
      <c r="D9" s="45">
        <f>'Var Vorgaben'!C31</f>
        <v>16</v>
      </c>
      <c r="E9" s="92">
        <f>C9*D9</f>
        <v>18000</v>
      </c>
      <c r="F9" s="1106">
        <f>E9/$E$111</f>
        <v>0.42818160999472932</v>
      </c>
      <c r="G9" s="65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row>
    <row r="10" spans="1:41" s="1" customFormat="1" x14ac:dyDescent="0.2">
      <c r="A10" s="40"/>
      <c r="B10" s="21"/>
      <c r="C10" s="156"/>
      <c r="D10" s="45"/>
      <c r="E10" s="92"/>
      <c r="F10" s="1107"/>
      <c r="G10" s="65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row>
    <row r="11" spans="1:41" s="1" customFormat="1" x14ac:dyDescent="0.2">
      <c r="A11" s="1369" t="s">
        <v>160</v>
      </c>
      <c r="B11" s="21" t="str">
        <f>'Var Hagel'!B11</f>
        <v>Stützpfahl je B.</v>
      </c>
      <c r="C11" s="156">
        <f>'Var Hagel'!C11</f>
        <v>1125</v>
      </c>
      <c r="D11" s="45">
        <f>'Var Hagel'!D11</f>
        <v>1.593</v>
      </c>
      <c r="E11" s="46">
        <f>C11*D11</f>
        <v>1792.125</v>
      </c>
      <c r="F11" s="1107">
        <f>E11/$E$111</f>
        <v>4.2630831545100237E-2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row>
    <row r="12" spans="1:41" s="1" customFormat="1" x14ac:dyDescent="0.2">
      <c r="A12" s="1369"/>
      <c r="B12" s="21" t="str">
        <f>'Var Hagel'!B12</f>
        <v xml:space="preserve">Spanndraht 3 mm </v>
      </c>
      <c r="C12" s="156">
        <f>'Var Hagel'!C12</f>
        <v>2530</v>
      </c>
      <c r="D12" s="45">
        <f>'Var Hagel'!D12</f>
        <v>0.1888</v>
      </c>
      <c r="E12" s="46">
        <f>C12*D12</f>
        <v>477.66399999999999</v>
      </c>
      <c r="F12" s="1107">
        <f>E12/$E$111</f>
        <v>1.1362607808695687E-2</v>
      </c>
      <c r="G12" s="65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row>
    <row r="13" spans="1:41" s="1" customFormat="1" x14ac:dyDescent="0.2">
      <c r="A13" s="1369"/>
      <c r="B13" s="21" t="str">
        <f>'Var Hagel'!B13</f>
        <v xml:space="preserve">Agraffen </v>
      </c>
      <c r="C13" s="156">
        <f>'Var Hagel'!C13</f>
        <v>6</v>
      </c>
      <c r="D13" s="45">
        <f>'Var Hagel'!D13</f>
        <v>6.4899999999999993</v>
      </c>
      <c r="E13" s="46">
        <f>C13*D13</f>
        <v>38.94</v>
      </c>
      <c r="F13" s="1107">
        <f>E13/$E$111</f>
        <v>9.2629954962193098E-4</v>
      </c>
      <c r="G13" s="65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row>
    <row r="14" spans="1:41" s="1" customFormat="1" ht="13.5" thickBot="1" x14ac:dyDescent="0.25">
      <c r="A14" s="1369"/>
      <c r="B14" s="21" t="str">
        <f>'Var Hagel'!B14</f>
        <v>Klemmfix</v>
      </c>
      <c r="C14" s="156">
        <f>'Var Hagel'!C14</f>
        <v>1125</v>
      </c>
      <c r="D14" s="45">
        <f>'Var Hagel'!D14</f>
        <v>0.23599999999999999</v>
      </c>
      <c r="E14" s="160">
        <f>C14*D14</f>
        <v>265.5</v>
      </c>
      <c r="F14" s="1107">
        <f>E14/$E$111</f>
        <v>6.3156787474222577E-3</v>
      </c>
      <c r="G14" s="65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row>
    <row r="15" spans="1:41" s="1" customFormat="1" x14ac:dyDescent="0.2">
      <c r="A15" s="40"/>
      <c r="B15" s="21"/>
      <c r="C15" s="156"/>
      <c r="D15" s="45"/>
      <c r="E15" s="1108">
        <f>SUM(E11:E14)</f>
        <v>2574.2289999999998</v>
      </c>
      <c r="F15" s="1107">
        <f>E15/$E$111</f>
        <v>6.1235417650840111E-2</v>
      </c>
      <c r="G15" s="65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row>
    <row r="16" spans="1:41" s="1" customFormat="1" x14ac:dyDescent="0.2">
      <c r="A16" s="40"/>
      <c r="B16" s="21"/>
      <c r="C16" s="662"/>
      <c r="D16" s="1109"/>
      <c r="E16" s="1108"/>
      <c r="F16" s="1107"/>
      <c r="G16" s="65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row>
    <row r="17" spans="1:41" s="1" customFormat="1" x14ac:dyDescent="0.2">
      <c r="A17" s="1369" t="s">
        <v>372</v>
      </c>
      <c r="B17" s="21" t="str">
        <f>'Var Hagel'!B16</f>
        <v>3-fädige Standardbreite m2</v>
      </c>
      <c r="C17" s="47">
        <f>'Var Hagel'!C16</f>
        <v>9800</v>
      </c>
      <c r="D17" s="45">
        <f>'Var Hagel'!D16</f>
        <v>0.6843999999999999</v>
      </c>
      <c r="E17" s="1110">
        <f>C17*D17</f>
        <v>6707.119999999999</v>
      </c>
      <c r="F17" s="1107">
        <f t="shared" ref="F17:F28" si="0">E17/$E$111</f>
        <v>0.15954808000154713</v>
      </c>
      <c r="G17" s="65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row>
    <row r="18" spans="1:41" s="1" customFormat="1" x14ac:dyDescent="0.2">
      <c r="A18" s="1369"/>
      <c r="B18" s="21" t="str">
        <f>'Var Hagel'!B17</f>
        <v>Firstplaketten</v>
      </c>
      <c r="C18" s="47">
        <f>'Var Hagel'!C17</f>
        <v>1200</v>
      </c>
      <c r="D18" s="45">
        <f>'Var Hagel'!D17</f>
        <v>0.33040000000000003</v>
      </c>
      <c r="E18" s="1110">
        <f t="shared" ref="E18:E34" si="1">C18*D18</f>
        <v>396.48</v>
      </c>
      <c r="F18" s="1107">
        <f t="shared" si="0"/>
        <v>9.4314135961505712E-3</v>
      </c>
      <c r="G18" s="65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row>
    <row r="19" spans="1:41" s="1" customFormat="1" x14ac:dyDescent="0.2">
      <c r="A19" s="1369"/>
      <c r="B19" s="21" t="str">
        <f>'Var Hagel'!B18</f>
        <v>Traufenplaketten FRUSTAR 1</v>
      </c>
      <c r="C19" s="47">
        <f>'Var Hagel'!C18</f>
        <v>1750</v>
      </c>
      <c r="D19" s="45">
        <f>'Var Hagel'!D18</f>
        <v>0.97939999999999994</v>
      </c>
      <c r="E19" s="1110">
        <f t="shared" si="1"/>
        <v>1713.9499999999998</v>
      </c>
      <c r="F19" s="1107">
        <f t="shared" si="0"/>
        <v>4.0771215025025904E-2</v>
      </c>
      <c r="G19" s="65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row>
    <row r="20" spans="1:41" s="1" customFormat="1" x14ac:dyDescent="0.2">
      <c r="A20" s="1369"/>
      <c r="B20" s="21" t="str">
        <f>'Var Hagel'!B19</f>
        <v>Plaketten Standart inkl. S-Hacken</v>
      </c>
      <c r="C20" s="47">
        <f>'Var Hagel'!C19</f>
        <v>100</v>
      </c>
      <c r="D20" s="45">
        <f>'Var Hagel'!D19</f>
        <v>0.64900000000000002</v>
      </c>
      <c r="E20" s="1110">
        <f t="shared" si="1"/>
        <v>64.900000000000006</v>
      </c>
      <c r="F20" s="1107">
        <f t="shared" si="0"/>
        <v>1.5438325827032185E-3</v>
      </c>
      <c r="G20" s="65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row>
    <row r="21" spans="1:41" s="1" customFormat="1" x14ac:dyDescent="0.2">
      <c r="A21" s="1369"/>
      <c r="B21" s="21" t="str">
        <f>'Var Hagel'!B20</f>
        <v xml:space="preserve">Stirnseil 9.5 mm </v>
      </c>
      <c r="C21" s="47">
        <f>'Var Hagel'!C20</f>
        <v>165</v>
      </c>
      <c r="D21" s="45">
        <f>'Var Hagel'!D20</f>
        <v>1.4041999999999999</v>
      </c>
      <c r="E21" s="1110">
        <f t="shared" si="1"/>
        <v>231.69299999999998</v>
      </c>
      <c r="F21" s="1107">
        <f t="shared" si="0"/>
        <v>5.5114823202504892E-3</v>
      </c>
      <c r="G21" s="65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row>
    <row r="22" spans="1:41" s="1" customFormat="1" x14ac:dyDescent="0.2">
      <c r="A22" s="1369"/>
      <c r="B22" s="21" t="str">
        <f>'Var Hagel'!B21</f>
        <v>Ankerseil 9.5 mm</v>
      </c>
      <c r="C22" s="47">
        <f>'Var Hagel'!C21</f>
        <v>310</v>
      </c>
      <c r="D22" s="45">
        <f>'Var Hagel'!D21</f>
        <v>1.4041999999999999</v>
      </c>
      <c r="E22" s="1110">
        <f t="shared" si="1"/>
        <v>435.30199999999996</v>
      </c>
      <c r="F22" s="1107">
        <f t="shared" si="0"/>
        <v>1.0354906177440313E-2</v>
      </c>
      <c r="G22" s="65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row>
    <row r="23" spans="1:41" s="1" customFormat="1" x14ac:dyDescent="0.2">
      <c r="A23" s="1369"/>
      <c r="B23" s="21" t="str">
        <f>'Var Hagel'!B22</f>
        <v>Querseil 9mm</v>
      </c>
      <c r="C23" s="47">
        <f>'Var Hagel'!C22</f>
        <v>810</v>
      </c>
      <c r="D23" s="45">
        <f>'Var Hagel'!D22</f>
        <v>0.82599999999999996</v>
      </c>
      <c r="E23" s="1110">
        <f t="shared" si="1"/>
        <v>669.06</v>
      </c>
      <c r="F23" s="1107">
        <f t="shared" si="0"/>
        <v>1.5915510443504088E-2</v>
      </c>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row>
    <row r="24" spans="1:41" s="1" customFormat="1" x14ac:dyDescent="0.2">
      <c r="A24" s="1369"/>
      <c r="B24" s="21" t="str">
        <f>'Var Hagel'!B23</f>
        <v>Firstdraht</v>
      </c>
      <c r="C24" s="47">
        <f>'Var Hagel'!C23</f>
        <v>3100</v>
      </c>
      <c r="D24" s="45">
        <f>'Var Hagel'!D23</f>
        <v>0.35399999999999998</v>
      </c>
      <c r="E24" s="1110">
        <f t="shared" si="1"/>
        <v>1097.3999999999999</v>
      </c>
      <c r="F24" s="1107">
        <f t="shared" si="0"/>
        <v>2.6104805489345326E-2</v>
      </c>
      <c r="G24" s="65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row>
    <row r="25" spans="1:41" s="1" customFormat="1" x14ac:dyDescent="0.2">
      <c r="A25" s="1369"/>
      <c r="B25" s="21" t="str">
        <f>'Var Hagel'!B24</f>
        <v>Netzschnur</v>
      </c>
      <c r="C25" s="47">
        <f>'Var Hagel'!C24</f>
        <v>3400</v>
      </c>
      <c r="D25" s="45">
        <f>'Var Hagel'!D24</f>
        <v>0.11799999999999999</v>
      </c>
      <c r="E25" s="1110">
        <f t="shared" si="1"/>
        <v>401.2</v>
      </c>
      <c r="F25" s="1107">
        <f t="shared" si="0"/>
        <v>9.543692329438077E-3</v>
      </c>
      <c r="G25" s="65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row>
    <row r="26" spans="1:41" s="1" customFormat="1" x14ac:dyDescent="0.2">
      <c r="A26" s="1369"/>
      <c r="B26" s="21" t="str">
        <f>'Var Hagel'!B25</f>
        <v>Drahtspanner</v>
      </c>
      <c r="C26" s="47">
        <f>'Var Hagel'!C25</f>
        <v>26</v>
      </c>
      <c r="D26" s="45">
        <f>'Var Hagel'!D25</f>
        <v>10.797000000000001</v>
      </c>
      <c r="E26" s="1110">
        <f t="shared" si="1"/>
        <v>280.72200000000004</v>
      </c>
      <c r="F26" s="1107">
        <f t="shared" si="0"/>
        <v>6.6777776622744672E-3</v>
      </c>
      <c r="G26" s="65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row>
    <row r="27" spans="1:41" s="1" customFormat="1" ht="13.5" thickBot="1" x14ac:dyDescent="0.25">
      <c r="A27" s="1369"/>
      <c r="B27" s="21" t="str">
        <f>'Var Hagel'!B26</f>
        <v>Kleinmaterial</v>
      </c>
      <c r="C27" s="47">
        <f>'Var Hagel'!C26</f>
        <v>0</v>
      </c>
      <c r="D27" s="45">
        <f>'Var Hagel'!D26</f>
        <v>0</v>
      </c>
      <c r="E27" s="1111">
        <f t="shared" si="1"/>
        <v>0</v>
      </c>
      <c r="F27" s="1107">
        <f t="shared" si="0"/>
        <v>0</v>
      </c>
      <c r="G27" s="65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row>
    <row r="28" spans="1:41" s="1" customFormat="1" x14ac:dyDescent="0.2">
      <c r="A28" s="3"/>
      <c r="C28" s="34"/>
      <c r="D28" s="48"/>
      <c r="E28" s="1112">
        <f>SUM(E17:E27)</f>
        <v>11997.826999999997</v>
      </c>
      <c r="F28" s="1107">
        <f t="shared" si="0"/>
        <v>0.28540271562767955</v>
      </c>
      <c r="G28" s="65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row>
    <row r="29" spans="1:41" s="1" customFormat="1" x14ac:dyDescent="0.2">
      <c r="A29" s="40"/>
      <c r="B29" s="21"/>
      <c r="C29" s="44"/>
      <c r="D29" s="45"/>
      <c r="E29" s="1110"/>
      <c r="F29" s="1107"/>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row>
    <row r="30" spans="1:41" s="1" customFormat="1" x14ac:dyDescent="0.2">
      <c r="A30" s="1369" t="s">
        <v>562</v>
      </c>
      <c r="B30" s="21" t="str">
        <f>'Var Hagel'!B28</f>
        <v>Reihenpfähle 4 m 8/10 10m Abstand</v>
      </c>
      <c r="C30" s="47">
        <f>'Var Hagel'!C28</f>
        <v>240</v>
      </c>
      <c r="D30" s="45">
        <f>'Var Hagel'!D28</f>
        <v>21.83</v>
      </c>
      <c r="E30" s="1110">
        <f t="shared" si="1"/>
        <v>5239.2</v>
      </c>
      <c r="F30" s="1107">
        <f t="shared" ref="F30:F35" si="2">E30/$E$111</f>
        <v>0.12462939394913254</v>
      </c>
      <c r="G30" s="65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row>
    <row r="31" spans="1:41" s="1" customFormat="1" x14ac:dyDescent="0.2">
      <c r="A31" s="1369"/>
      <c r="B31" s="21" t="str">
        <f>'Var Hagel'!B29</f>
        <v>Endpfähle 4.20 m 10/12</v>
      </c>
      <c r="C31" s="47">
        <f>'Var Hagel'!C29</f>
        <v>44</v>
      </c>
      <c r="D31" s="45">
        <f>'Var Hagel'!D29</f>
        <v>31.86</v>
      </c>
      <c r="E31" s="1110">
        <f t="shared" si="1"/>
        <v>1401.84</v>
      </c>
      <c r="F31" s="1107">
        <f t="shared" si="2"/>
        <v>3.3346783786389514E-2</v>
      </c>
      <c r="G31" s="65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row>
    <row r="32" spans="1:41" s="1" customFormat="1" x14ac:dyDescent="0.2">
      <c r="A32" s="1369"/>
      <c r="B32" s="21" t="str">
        <f>'Var Hagel'!B30</f>
        <v>Eckpfähle 4.50 m 13/15</v>
      </c>
      <c r="C32" s="47">
        <f>'Var Hagel'!C30</f>
        <v>4</v>
      </c>
      <c r="D32" s="45">
        <f>'Var Hagel'!D30</f>
        <v>69.560999999999993</v>
      </c>
      <c r="E32" s="1110">
        <f t="shared" si="1"/>
        <v>278.24399999999997</v>
      </c>
      <c r="F32" s="1107">
        <f t="shared" si="2"/>
        <v>6.6188313272985255E-3</v>
      </c>
      <c r="G32" s="673"/>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row>
    <row r="33" spans="1:41" s="1" customFormat="1" x14ac:dyDescent="0.2">
      <c r="A33" s="1369"/>
      <c r="B33" s="21" t="str">
        <f>'Var Hagel'!B31</f>
        <v>Anker</v>
      </c>
      <c r="C33" s="47">
        <f>'Var Hagel'!C31</f>
        <v>72</v>
      </c>
      <c r="D33" s="45">
        <f>'Var Hagel'!D31</f>
        <v>23.776999999999997</v>
      </c>
      <c r="E33" s="1110">
        <f t="shared" si="1"/>
        <v>1711.9439999999997</v>
      </c>
      <c r="F33" s="1107">
        <f t="shared" si="2"/>
        <v>4.072349656337871E-2</v>
      </c>
      <c r="G33" s="673"/>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row>
    <row r="34" spans="1:41" s="1" customFormat="1" ht="13.5" thickBot="1" x14ac:dyDescent="0.25">
      <c r="A34" s="1369"/>
      <c r="B34" s="21" t="str">
        <f>'Var Hagel'!B32</f>
        <v>Pfahlhüte</v>
      </c>
      <c r="C34" s="47">
        <f>'Var Hagel'!C32</f>
        <v>68</v>
      </c>
      <c r="D34" s="45">
        <f>'Var Hagel'!D32</f>
        <v>1.18</v>
      </c>
      <c r="E34" s="1111">
        <f t="shared" si="1"/>
        <v>80.239999999999995</v>
      </c>
      <c r="F34" s="1107">
        <f t="shared" si="2"/>
        <v>1.9087384658876155E-3</v>
      </c>
      <c r="G34" s="673"/>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s="1" customFormat="1" x14ac:dyDescent="0.2">
      <c r="A35" s="40"/>
      <c r="B35" s="21"/>
      <c r="C35" s="47"/>
      <c r="D35" s="1109"/>
      <c r="E35" s="1108">
        <f>SUM(E30:E34)</f>
        <v>8711.4679999999989</v>
      </c>
      <c r="F35" s="1107">
        <f t="shared" si="2"/>
        <v>0.2072272440920869</v>
      </c>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s="1" customFormat="1" x14ac:dyDescent="0.2">
      <c r="A36" s="40"/>
      <c r="B36" s="21"/>
      <c r="C36" s="47"/>
      <c r="D36" s="1109"/>
      <c r="E36" s="1108"/>
      <c r="F36" s="1107"/>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s="1" customFormat="1" x14ac:dyDescent="0.2">
      <c r="A37" s="1370" t="str">
        <f>'Var Hagel'!A59</f>
        <v>Einsparung an Gerüstkosten durch Hagelnetzerstellung</v>
      </c>
      <c r="B37" s="21" t="str">
        <f>'Var Hagel'!B60</f>
        <v>Endpfähle</v>
      </c>
      <c r="C37" s="47">
        <f>'Var Hagel'!C60</f>
        <v>45</v>
      </c>
      <c r="D37" s="45">
        <f>'Var Hagel'!D60</f>
        <v>16.52</v>
      </c>
      <c r="E37" s="182">
        <f>C37*D37</f>
        <v>743.4</v>
      </c>
      <c r="F37" s="413"/>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s="1" customFormat="1" x14ac:dyDescent="0.2">
      <c r="A38" s="1370"/>
      <c r="B38" s="21" t="str">
        <f>'Var Hagel'!B61</f>
        <v>Zwischenpfähle</v>
      </c>
      <c r="C38" s="47">
        <f>'Var Hagel'!C61</f>
        <v>336</v>
      </c>
      <c r="D38" s="45">
        <f>'Var Hagel'!D61</f>
        <v>11.799999999999999</v>
      </c>
      <c r="E38" s="182">
        <f>C38*D38</f>
        <v>3964.7999999999997</v>
      </c>
      <c r="F38" s="413"/>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s="1" customFormat="1" ht="13.5" thickBot="1" x14ac:dyDescent="0.25">
      <c r="A39" s="1370"/>
      <c r="B39" s="21" t="str">
        <f>'Var Hagel'!B62</f>
        <v>Telleranker</v>
      </c>
      <c r="C39" s="47">
        <f>'Var Hagel'!C62</f>
        <v>45</v>
      </c>
      <c r="D39" s="45">
        <f>'Var Hagel'!D62</f>
        <v>6.1360000000000001</v>
      </c>
      <c r="E39" s="658">
        <f>C39*D39</f>
        <v>276.12</v>
      </c>
      <c r="F39" s="413"/>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s="1" customFormat="1" x14ac:dyDescent="0.2">
      <c r="A40" s="21"/>
      <c r="B40" s="21"/>
      <c r="C40" s="21"/>
      <c r="D40" s="45"/>
      <c r="E40" s="94">
        <f>SUM(E37:E39)</f>
        <v>4984.32</v>
      </c>
      <c r="F40" s="413"/>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s="1" customFormat="1" x14ac:dyDescent="0.2">
      <c r="A41" s="21"/>
      <c r="B41" s="21"/>
      <c r="C41" s="21"/>
      <c r="D41" s="45"/>
      <c r="E41" s="94"/>
      <c r="F41" s="413"/>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s="1" customFormat="1" x14ac:dyDescent="0.2">
      <c r="A42" s="1369" t="s">
        <v>431</v>
      </c>
      <c r="B42" s="75" t="str">
        <f>'Var Regendach'!$B$16</f>
        <v>Folie Bändchengewebe 34 x 2.3 m x 108 m</v>
      </c>
      <c r="C42" s="524">
        <f>'Var Regendach'!$C$16</f>
        <v>8446</v>
      </c>
      <c r="D42" s="686">
        <f>'Var Regendach'!$D$16</f>
        <v>2.5960000000000001</v>
      </c>
      <c r="E42" s="1205">
        <f>'Var Regendach'!$E$16</f>
        <v>21925.816000000003</v>
      </c>
      <c r="F42" s="1107"/>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s="1" customFormat="1" x14ac:dyDescent="0.2">
      <c r="A43" s="1369"/>
      <c r="B43" s="75" t="str">
        <f>'Var Regendach'!$B$17</f>
        <v>Folienplaketten</v>
      </c>
      <c r="C43" s="524">
        <f>'Var Regendach'!$C$17</f>
        <v>4080</v>
      </c>
      <c r="D43" s="686">
        <f>'Var Regendach'!$D$17</f>
        <v>0.88500000000000001</v>
      </c>
      <c r="E43" s="1205">
        <f>'Var Regendach'!$E$17</f>
        <v>3610.8</v>
      </c>
      <c r="F43" s="1107"/>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s="1" customFormat="1" x14ac:dyDescent="0.2">
      <c r="A44" s="1369"/>
      <c r="B44" s="75" t="str">
        <f>'Var Regendach'!$B$18</f>
        <v>Folienanbindeschnüre rot</v>
      </c>
      <c r="C44" s="524">
        <f>'Var Regendach'!$C$18</f>
        <v>78</v>
      </c>
      <c r="D44" s="686">
        <f>'Var Regendach'!$D$18</f>
        <v>6.4899999999999993</v>
      </c>
      <c r="E44" s="1205">
        <f>'Var Regendach'!$E$18</f>
        <v>506.21999999999997</v>
      </c>
      <c r="F44" s="1107"/>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s="1" customFormat="1" x14ac:dyDescent="0.2">
      <c r="A45" s="1369"/>
      <c r="B45" s="75" t="str">
        <f>'Var Regendach'!$B$20</f>
        <v xml:space="preserve">Hagelnetz Vorhang 2 Bahnen x </v>
      </c>
      <c r="C45" s="524">
        <f>'Var Regendach'!$C$20</f>
        <v>864</v>
      </c>
      <c r="D45" s="686">
        <f>'Var Regendach'!$D$20</f>
        <v>0.6843999999999999</v>
      </c>
      <c r="E45" s="1205">
        <f>'Var Regendach'!$E$20</f>
        <v>591.32159999999988</v>
      </c>
      <c r="F45" s="1107"/>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s="1" customFormat="1" x14ac:dyDescent="0.2">
      <c r="A46" s="1369"/>
      <c r="B46" s="75" t="str">
        <f>'Var Regendach'!$B$21</f>
        <v xml:space="preserve">Hagelnetz Vorhang 2 Bahnen x </v>
      </c>
      <c r="C46" s="524">
        <f>'Var Regendach'!$C$21</f>
        <v>648</v>
      </c>
      <c r="D46" s="686">
        <f>'Var Regendach'!$D$21</f>
        <v>0.6843999999999999</v>
      </c>
      <c r="E46" s="1205">
        <f>'Var Regendach'!$E$21</f>
        <v>443.49119999999994</v>
      </c>
      <c r="F46" s="1107"/>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s="1" customFormat="1" x14ac:dyDescent="0.2">
      <c r="A47" s="1369"/>
      <c r="B47" s="75" t="str">
        <f>'Var Regendach'!$B$22</f>
        <v>Hagelnetz 0.7m x 108m</v>
      </c>
      <c r="C47" s="524">
        <f>'Var Regendach'!$C$22</f>
        <v>1210</v>
      </c>
      <c r="D47" s="686">
        <f>'Var Regendach'!$D$22</f>
        <v>0.6843999999999999</v>
      </c>
      <c r="E47" s="1205">
        <f>'Var Regendach'!$E$22</f>
        <v>828.12399999999991</v>
      </c>
      <c r="F47" s="1107"/>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s="1" customFormat="1" x14ac:dyDescent="0.2">
      <c r="A48" s="1369"/>
      <c r="B48" s="75" t="str">
        <f>'Var Regendach'!$B$23</f>
        <v>Rand-Plaketten alle 2m</v>
      </c>
      <c r="C48" s="524">
        <f>'Var Regendach'!$C$23</f>
        <v>400</v>
      </c>
      <c r="D48" s="686">
        <f>'Var Regendach'!$D$23</f>
        <v>0.33040000000000003</v>
      </c>
      <c r="E48" s="1205">
        <f>'Var Regendach'!$E$23</f>
        <v>132.16000000000003</v>
      </c>
      <c r="F48" s="1107"/>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s="1" customFormat="1" x14ac:dyDescent="0.2">
      <c r="A49" s="1369"/>
      <c r="B49" s="75" t="str">
        <f>'Var Regendach'!$B$25</f>
        <v>Groblitz-Querseil Ø 6mm</v>
      </c>
      <c r="C49" s="524">
        <f>'Var Regendach'!$C$25</f>
        <v>1630</v>
      </c>
      <c r="D49" s="686">
        <f>'Var Regendach'!$D$25</f>
        <v>0.82599999999999996</v>
      </c>
      <c r="E49" s="1205">
        <f>'Var Regendach'!$E$25</f>
        <v>1346.3799999999999</v>
      </c>
      <c r="F49" s="1107"/>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s="1" customFormat="1" x14ac:dyDescent="0.2">
      <c r="A50" s="1369"/>
      <c r="B50" s="75" t="str">
        <f>'Var Regendach'!$B$26</f>
        <v>Drahtseil Ø 4mm</v>
      </c>
      <c r="C50" s="524">
        <f>'Var Regendach'!$C$26</f>
        <v>6030</v>
      </c>
      <c r="D50" s="686">
        <f>'Var Regendach'!$D$26</f>
        <v>0.48379999999999995</v>
      </c>
      <c r="E50" s="1205">
        <f>'Var Regendach'!$E$26</f>
        <v>2917.3139999999999</v>
      </c>
      <c r="F50" s="1107"/>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s="1" customFormat="1" x14ac:dyDescent="0.2">
      <c r="A51" s="1369"/>
      <c r="B51" s="75" t="str">
        <f>'Var Regendach'!$B$27</f>
        <v>Folienfix Model 2 ohne Oesen</v>
      </c>
      <c r="C51" s="524">
        <f>'Var Regendach'!$C$27</f>
        <v>340</v>
      </c>
      <c r="D51" s="686">
        <f>'Var Regendach'!$D$27</f>
        <v>23.009999999999998</v>
      </c>
      <c r="E51" s="1205">
        <f>'Var Regendach'!$E$27</f>
        <v>7823.4</v>
      </c>
      <c r="F51" s="1107"/>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s="1" customFormat="1" x14ac:dyDescent="0.2">
      <c r="A52" s="1369"/>
      <c r="B52" s="75" t="str">
        <f>'Var Regendach'!$B$28</f>
        <v xml:space="preserve">Seilklemmen 6/10mm </v>
      </c>
      <c r="C52" s="524">
        <f>'Var Regendach'!$C$28</f>
        <v>800</v>
      </c>
      <c r="D52" s="686">
        <f>'Var Regendach'!$D$28</f>
        <v>0.51919999999999999</v>
      </c>
      <c r="E52" s="1205">
        <f>'Var Regendach'!$E$28</f>
        <v>415.36</v>
      </c>
      <c r="F52" s="1107"/>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s="1" customFormat="1" x14ac:dyDescent="0.2">
      <c r="A53" s="1369"/>
      <c r="B53" s="75" t="str">
        <f>'Var Regendach'!$B$29</f>
        <v>Drahtspanner mittel</v>
      </c>
      <c r="C53" s="524">
        <f>'Var Regendach'!$C$29</f>
        <v>52</v>
      </c>
      <c r="D53" s="686">
        <f>'Var Regendach'!$D$29</f>
        <v>5.31</v>
      </c>
      <c r="E53" s="1205">
        <f>'Var Regendach'!$E$29</f>
        <v>276.12</v>
      </c>
      <c r="F53" s="1107"/>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s="1" customFormat="1" x14ac:dyDescent="0.2">
      <c r="A54" s="1369"/>
      <c r="B54" s="75" t="str">
        <f>'Var Regendach'!$B$30</f>
        <v>Abspannung</v>
      </c>
      <c r="C54" s="524">
        <f>'Var Regendach'!$C$30</f>
        <v>0</v>
      </c>
      <c r="D54" s="686">
        <f>'Var Regendach'!$D$30</f>
        <v>0</v>
      </c>
      <c r="E54" s="1205">
        <f>'Var Regendach'!$E$30</f>
        <v>1454.9399999999998</v>
      </c>
      <c r="F54" s="1107"/>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s="1" customFormat="1" ht="13.5" thickBot="1" x14ac:dyDescent="0.25">
      <c r="A55" s="1369"/>
      <c r="B55" s="75" t="str">
        <f>'Var Regendach'!$B$31</f>
        <v>Kleinmaterial</v>
      </c>
      <c r="C55" s="524">
        <f>'Var Regendach'!$C$31</f>
        <v>0</v>
      </c>
      <c r="D55" s="686">
        <f>'Var Regendach'!$D$31</f>
        <v>0</v>
      </c>
      <c r="E55" s="1206">
        <f>'Var Regendach'!$E$31</f>
        <v>800</v>
      </c>
      <c r="F55" s="1107"/>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s="1" customFormat="1" x14ac:dyDescent="0.2">
      <c r="A56" s="1204"/>
      <c r="B56" s="75"/>
      <c r="C56" s="524"/>
      <c r="D56" s="686"/>
      <c r="E56" s="1108">
        <f>SUM(E42:E55)</f>
        <v>43071.446800000005</v>
      </c>
      <c r="F56" s="1107"/>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s="1" customFormat="1" x14ac:dyDescent="0.2">
      <c r="A57" s="1204"/>
      <c r="B57" s="75"/>
      <c r="C57" s="524"/>
      <c r="D57" s="686"/>
      <c r="E57" s="1108"/>
      <c r="F57" s="1107"/>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s="1" customFormat="1" x14ac:dyDescent="0.2">
      <c r="A58" s="1369" t="s">
        <v>608</v>
      </c>
      <c r="B58" s="21" t="str">
        <f>'Var Regendach'!$B$33</f>
        <v>Eckpfähle 4.5 m 13/15</v>
      </c>
      <c r="C58" s="47">
        <f>'Var Regendach'!$C$33</f>
        <v>4</v>
      </c>
      <c r="D58" s="1109">
        <f>'Var Regendach'!$D$33</f>
        <v>69.560999999999993</v>
      </c>
      <c r="E58" s="1110">
        <f>'Var Regendach'!$E$33</f>
        <v>278.24399999999997</v>
      </c>
      <c r="F58" s="1107"/>
      <c r="G58" s="1207"/>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s="1" customFormat="1" x14ac:dyDescent="0.2">
      <c r="A59" s="1369"/>
      <c r="B59" s="21" t="str">
        <f>'Var Regendach'!$B$34</f>
        <v>Reihenpfähle 4.5 m 8/10 5m Abstand</v>
      </c>
      <c r="C59" s="47">
        <f>'Var Regendach'!$C$34</f>
        <v>380</v>
      </c>
      <c r="D59" s="1109">
        <f>'Var Regendach'!$D$34</f>
        <v>27.434999999999999</v>
      </c>
      <c r="E59" s="1110">
        <f>'Var Regendach'!$E$34</f>
        <v>10425.299999999999</v>
      </c>
      <c r="F59" s="1107"/>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s="1" customFormat="1" x14ac:dyDescent="0.2">
      <c r="A60" s="1369"/>
      <c r="B60" s="21" t="str">
        <f>'Var Regendach'!$B$35</f>
        <v>Endpfähle 4.5 m 10/12</v>
      </c>
      <c r="C60" s="47">
        <f>'Var Regendach'!$C$35</f>
        <v>34</v>
      </c>
      <c r="D60" s="1109">
        <f>'Var Regendach'!$D$35</f>
        <v>39.53</v>
      </c>
      <c r="E60" s="1110">
        <f>'Var Regendach'!$E$35</f>
        <v>1344.02</v>
      </c>
      <c r="F60" s="1107"/>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s="1" customFormat="1" x14ac:dyDescent="0.2">
      <c r="A61" s="1369"/>
      <c r="B61" s="21" t="str">
        <f>'Var Regendach'!$B$36</f>
        <v>Bodenanker</v>
      </c>
      <c r="C61" s="47">
        <f>'Var Regendach'!$C$36</f>
        <v>82</v>
      </c>
      <c r="D61" s="1109">
        <f>'Var Regendach'!$D$36</f>
        <v>23.812399999999997</v>
      </c>
      <c r="E61" s="1110">
        <f>'Var Regendach'!$E$36</f>
        <v>1952.6167999999998</v>
      </c>
      <c r="F61" s="1107"/>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s="1" customFormat="1" ht="13.5" thickBot="1" x14ac:dyDescent="0.25">
      <c r="A62" s="1369"/>
      <c r="B62" s="21" t="str">
        <f>'Var Regendach'!$B$37</f>
        <v>Anker-Feinlitzseil Ø 9.5mm</v>
      </c>
      <c r="C62" s="47">
        <f>'Var Regendach'!$C$37</f>
        <v>530</v>
      </c>
      <c r="D62" s="1109">
        <f>'Var Regendach'!$D$37</f>
        <v>1.5104</v>
      </c>
      <c r="E62" s="1111">
        <f>'Var Regendach'!$E$37</f>
        <v>800.51199999999994</v>
      </c>
      <c r="F62" s="1107"/>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s="1" customFormat="1" x14ac:dyDescent="0.2">
      <c r="A63" s="40"/>
      <c r="B63" s="21"/>
      <c r="C63" s="47"/>
      <c r="D63" s="1109"/>
      <c r="E63" s="1108">
        <f>SUM(E58:E62)</f>
        <v>14800.692800000001</v>
      </c>
      <c r="F63" s="1107"/>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s="1" customFormat="1" x14ac:dyDescent="0.2">
      <c r="A64" s="40"/>
      <c r="B64" s="21"/>
      <c r="C64" s="662"/>
      <c r="D64" s="1109"/>
      <c r="E64" s="1108"/>
      <c r="F64" s="1107"/>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row>
    <row r="65" spans="1:41" s="1" customFormat="1" x14ac:dyDescent="0.2">
      <c r="A65" s="1369" t="s">
        <v>17</v>
      </c>
      <c r="B65" s="21" t="s">
        <v>34</v>
      </c>
      <c r="C65" s="1113">
        <f>'Var Hagel'!C35</f>
        <v>40</v>
      </c>
      <c r="D65" s="45">
        <f>'Var Hagel'!D35</f>
        <v>7.2</v>
      </c>
      <c r="E65" s="46">
        <f>C65*D65</f>
        <v>288</v>
      </c>
      <c r="F65" s="1107">
        <f>E65/E111</f>
        <v>6.8509057599156686E-3</v>
      </c>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row>
    <row r="66" spans="1:41" s="1" customFormat="1" x14ac:dyDescent="0.2">
      <c r="A66" s="1369"/>
      <c r="B66" s="21" t="s">
        <v>18</v>
      </c>
      <c r="C66" s="662"/>
      <c r="D66" s="44"/>
      <c r="E66" s="45">
        <f>'Var Hagel'!E36</f>
        <v>150</v>
      </c>
      <c r="F66" s="1107">
        <f>E66/E111</f>
        <v>3.5681800832894107E-3</v>
      </c>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row>
    <row r="67" spans="1:41" s="1" customFormat="1" ht="13.5" thickBot="1" x14ac:dyDescent="0.25">
      <c r="A67" s="1369"/>
      <c r="B67" s="21" t="s">
        <v>161</v>
      </c>
      <c r="C67" s="662"/>
      <c r="D67" s="44"/>
      <c r="E67" s="1114">
        <f>'Var Hagel'!E37</f>
        <v>500</v>
      </c>
      <c r="F67" s="1107">
        <f>E67/E111</f>
        <v>1.1893933610964703E-2</v>
      </c>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row>
    <row r="68" spans="1:41" s="1" customFormat="1" x14ac:dyDescent="0.2">
      <c r="A68" s="21"/>
      <c r="B68" s="21"/>
      <c r="C68" s="21"/>
      <c r="D68" s="45"/>
      <c r="E68" s="92">
        <f>SUM(E65:E67)</f>
        <v>938</v>
      </c>
      <c r="F68" s="1106">
        <f>E68/E111</f>
        <v>2.2313019454169782E-2</v>
      </c>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row>
    <row r="69" spans="1:41" s="1" customFormat="1" x14ac:dyDescent="0.2">
      <c r="A69" s="21"/>
      <c r="B69" s="21"/>
      <c r="C69" s="21"/>
      <c r="D69" s="45"/>
      <c r="E69" s="92"/>
      <c r="F69" s="1107"/>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row>
    <row r="70" spans="1:41" s="1" customFormat="1" x14ac:dyDescent="0.2">
      <c r="A70" s="21"/>
      <c r="B70" s="21"/>
      <c r="C70" s="21"/>
      <c r="D70" s="45"/>
      <c r="E70" s="92"/>
      <c r="F70" s="413"/>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row>
    <row r="71" spans="1:41" s="78" customFormat="1" ht="18" x14ac:dyDescent="0.25">
      <c r="A71" s="1146" t="s">
        <v>563</v>
      </c>
      <c r="B71" s="1147"/>
      <c r="C71" s="1148"/>
      <c r="D71" s="1149"/>
      <c r="E71" s="1150">
        <f>E68+E15+E9+E28+E35-E40</f>
        <v>37237.203999999998</v>
      </c>
      <c r="F71" s="1151">
        <f>E71/E112</f>
        <v>0.57839535489425076</v>
      </c>
      <c r="H71" s="1140"/>
      <c r="I71" s="1140"/>
      <c r="J71" s="1140"/>
      <c r="K71" s="1140"/>
      <c r="L71" s="1140"/>
      <c r="M71" s="1140"/>
      <c r="N71" s="1140"/>
      <c r="O71" s="1140"/>
      <c r="P71" s="1140"/>
      <c r="Q71" s="1140"/>
      <c r="R71" s="1140"/>
      <c r="S71" s="1140"/>
      <c r="T71" s="1140"/>
      <c r="U71" s="1140"/>
      <c r="V71" s="1140"/>
      <c r="W71" s="1140"/>
      <c r="X71" s="1140"/>
      <c r="Y71" s="1140"/>
      <c r="Z71" s="1140"/>
      <c r="AA71" s="1140"/>
      <c r="AB71" s="1140"/>
      <c r="AC71" s="1140"/>
      <c r="AD71" s="1140"/>
      <c r="AE71" s="1140"/>
      <c r="AF71" s="1140"/>
      <c r="AG71" s="1140"/>
      <c r="AH71" s="1140"/>
      <c r="AI71" s="1140"/>
      <c r="AJ71" s="1140"/>
      <c r="AK71" s="1140"/>
      <c r="AL71" s="1140"/>
      <c r="AM71" s="1140"/>
      <c r="AN71" s="1140"/>
      <c r="AO71" s="1140"/>
    </row>
    <row r="72" spans="1:41" s="78" customFormat="1" ht="18" x14ac:dyDescent="0.25">
      <c r="A72" s="1146" t="s">
        <v>612</v>
      </c>
      <c r="B72" s="1147"/>
      <c r="C72" s="1148"/>
      <c r="D72" s="1149"/>
      <c r="E72" s="1150">
        <f>SUM(E9,E15,E56,E63,E68)</f>
        <v>79384.368600000002</v>
      </c>
      <c r="F72" s="1151"/>
      <c r="H72" s="1140"/>
      <c r="I72" s="1140"/>
      <c r="J72" s="1140"/>
      <c r="K72" s="1140"/>
      <c r="L72" s="1140"/>
      <c r="M72" s="1140"/>
      <c r="N72" s="1140"/>
      <c r="O72" s="1140"/>
      <c r="P72" s="1140"/>
      <c r="Q72" s="1140"/>
      <c r="R72" s="1140"/>
      <c r="S72" s="1140"/>
      <c r="T72" s="1140"/>
      <c r="U72" s="1140"/>
      <c r="V72" s="1140"/>
      <c r="W72" s="1140"/>
      <c r="X72" s="1140"/>
      <c r="Y72" s="1140"/>
      <c r="Z72" s="1140"/>
      <c r="AA72" s="1140"/>
      <c r="AB72" s="1140"/>
      <c r="AC72" s="1140"/>
      <c r="AD72" s="1140"/>
      <c r="AE72" s="1140"/>
      <c r="AF72" s="1140"/>
      <c r="AG72" s="1140"/>
      <c r="AH72" s="1140"/>
      <c r="AI72" s="1140"/>
      <c r="AJ72" s="1140"/>
      <c r="AK72" s="1140"/>
      <c r="AL72" s="1140"/>
      <c r="AM72" s="1140"/>
      <c r="AN72" s="1140"/>
      <c r="AO72" s="1140"/>
    </row>
    <row r="73" spans="1:41" s="1" customFormat="1" x14ac:dyDescent="0.2">
      <c r="A73" s="3"/>
      <c r="C73" s="779" t="s">
        <v>84</v>
      </c>
      <c r="D73" s="917" t="s">
        <v>21</v>
      </c>
      <c r="E73" s="1115" t="s">
        <v>13</v>
      </c>
      <c r="F73" s="1116"/>
      <c r="G73" s="65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row>
    <row r="74" spans="1:41" s="1" customFormat="1" x14ac:dyDescent="0.2">
      <c r="A74" s="40"/>
      <c r="B74" s="21"/>
      <c r="C74" s="39"/>
      <c r="D74" s="45"/>
      <c r="E74" s="46"/>
      <c r="F74" s="163"/>
      <c r="G74" s="65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row>
    <row r="75" spans="1:41" s="1" customFormat="1" x14ac:dyDescent="0.2">
      <c r="A75" s="40" t="s">
        <v>23</v>
      </c>
      <c r="B75" s="21" t="str">
        <f>'Var Vorgaben'!B131</f>
        <v>Anbaugebläsespritze 500 l</v>
      </c>
      <c r="C75" s="21">
        <f>'Var Vorgaben'!C142</f>
        <v>3.8</v>
      </c>
      <c r="D75" s="21">
        <f>'Var Vorgaben'!D142</f>
        <v>23</v>
      </c>
      <c r="E75" s="46">
        <f t="shared" ref="E75:E84" si="3">C75*D75</f>
        <v>87.399999999999991</v>
      </c>
      <c r="F75" s="1117">
        <f>E75/E111</f>
        <v>2.0790595951966301E-3</v>
      </c>
      <c r="G75" s="65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row>
    <row r="76" spans="1:41" s="1" customFormat="1" x14ac:dyDescent="0.2">
      <c r="A76" s="1118"/>
      <c r="B76" s="21" t="str">
        <f>'Var Vorgaben'!B143</f>
        <v>Kreiselegge mit Packerwalze, 3 m</v>
      </c>
      <c r="C76" s="39">
        <f>'Var Vorgaben'!C143</f>
        <v>1.8</v>
      </c>
      <c r="D76" s="39">
        <f>'Var Vorgaben'!D143</f>
        <v>101</v>
      </c>
      <c r="E76" s="46">
        <f t="shared" si="3"/>
        <v>181.8</v>
      </c>
      <c r="F76" s="1117">
        <f>E76/E111</f>
        <v>4.3246342609467667E-3</v>
      </c>
      <c r="G76" s="65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row>
    <row r="77" spans="1:41" s="1" customFormat="1" x14ac:dyDescent="0.2">
      <c r="A77" s="21"/>
      <c r="B77" s="21" t="str">
        <f>'Var Vorgaben'!B144</f>
        <v>Sämaschine 3 m</v>
      </c>
      <c r="C77" s="39">
        <f>'Var Vorgaben'!C144</f>
        <v>1.6</v>
      </c>
      <c r="D77" s="39">
        <f>'Var Vorgaben'!D144</f>
        <v>90</v>
      </c>
      <c r="E77" s="46">
        <f t="shared" si="3"/>
        <v>144</v>
      </c>
      <c r="F77" s="1117">
        <f>E77/E111</f>
        <v>3.4254528799578343E-3</v>
      </c>
      <c r="G77" s="65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row>
    <row r="78" spans="1:41" s="1" customFormat="1" x14ac:dyDescent="0.2">
      <c r="A78" s="21"/>
      <c r="B78" s="21" t="str">
        <f>'Var Vorgaben'!B145</f>
        <v>Pneuwagen 2achsig, 3 t</v>
      </c>
      <c r="C78" s="719">
        <v>15</v>
      </c>
      <c r="D78" s="113">
        <f>'Var Vorgaben'!D145</f>
        <v>15</v>
      </c>
      <c r="E78" s="46">
        <f t="shared" si="3"/>
        <v>225</v>
      </c>
      <c r="F78" s="1117">
        <f>E78/E111</f>
        <v>5.3522701249341161E-3</v>
      </c>
      <c r="G78" s="65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row>
    <row r="79" spans="1:41" s="1" customFormat="1" x14ac:dyDescent="0.2">
      <c r="A79" s="21"/>
      <c r="B79" s="171" t="str">
        <f>'Var Vorgaben'!B146</f>
        <v>Pneuwagen 2achsig, 5 t</v>
      </c>
      <c r="C79" s="39">
        <f>'Var Hagel'!C41</f>
        <v>20</v>
      </c>
      <c r="D79" s="113">
        <f>'Var Vorgaben'!D146</f>
        <v>25</v>
      </c>
      <c r="E79" s="46">
        <f t="shared" si="3"/>
        <v>500</v>
      </c>
      <c r="F79" s="1117">
        <f>E79/E111</f>
        <v>1.1893933610964703E-2</v>
      </c>
      <c r="G79" s="65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row>
    <row r="80" spans="1:41" s="1" customFormat="1" x14ac:dyDescent="0.2">
      <c r="A80" s="21"/>
      <c r="B80" s="171" t="str">
        <f>'Var Vorgaben'!B151</f>
        <v>Hebebühne</v>
      </c>
      <c r="C80" s="39">
        <f>'Var Hagel'!C42</f>
        <v>20</v>
      </c>
      <c r="D80" s="113">
        <f>'Var Vorgaben'!D151</f>
        <v>17.5</v>
      </c>
      <c r="E80" s="46">
        <f t="shared" si="3"/>
        <v>350</v>
      </c>
      <c r="F80" s="1117">
        <f>E80/E111</f>
        <v>8.3257535276752923E-3</v>
      </c>
      <c r="G80" s="65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row>
    <row r="81" spans="1:35" s="1" customFormat="1" x14ac:dyDescent="0.2">
      <c r="A81" s="21"/>
      <c r="B81" s="21" t="s">
        <v>564</v>
      </c>
      <c r="C81" s="719">
        <v>20</v>
      </c>
      <c r="D81" s="45">
        <f>'Var Vorgaben'!D129</f>
        <v>41</v>
      </c>
      <c r="E81" s="46">
        <f t="shared" si="3"/>
        <v>820</v>
      </c>
      <c r="F81" s="1117">
        <f>E81/E111</f>
        <v>1.9506051121982112E-2</v>
      </c>
      <c r="G81" s="65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row>
    <row r="82" spans="1:35" s="1" customFormat="1" ht="13.5" thickBot="1" x14ac:dyDescent="0.25">
      <c r="A82" s="21"/>
      <c r="B82" s="21" t="s">
        <v>519</v>
      </c>
      <c r="C82" s="1119">
        <f>SUM(C75:C81)*0.1</f>
        <v>8.2200000000000006</v>
      </c>
      <c r="D82" s="45">
        <f>'Var Vorgaben'!D129</f>
        <v>41</v>
      </c>
      <c r="E82" s="46">
        <f t="shared" si="3"/>
        <v>337.02000000000004</v>
      </c>
      <c r="F82" s="1117">
        <f>E82/E111</f>
        <v>8.0169870111346502E-3</v>
      </c>
      <c r="G82" s="65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row>
    <row r="83" spans="1:35" s="1" customFormat="1" x14ac:dyDescent="0.2">
      <c r="A83" s="40" t="s">
        <v>565</v>
      </c>
      <c r="B83" s="98" t="str">
        <f>'Var Vorgaben'!B129</f>
        <v>Obstbautraktor 4-Rad</v>
      </c>
      <c r="C83" s="1120">
        <f>SUM(C75:C82)</f>
        <v>90.42</v>
      </c>
      <c r="D83" s="45">
        <f>'Var Vorgaben'!D129</f>
        <v>41</v>
      </c>
      <c r="E83" s="94">
        <f>C83*D83</f>
        <v>3707.2200000000003</v>
      </c>
      <c r="F83" s="1117">
        <f>E83/E111</f>
        <v>8.8186857122481144E-2</v>
      </c>
      <c r="G83" s="65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row>
    <row r="84" spans="1:35" s="1" customFormat="1" x14ac:dyDescent="0.2">
      <c r="A84" s="40"/>
      <c r="B84" s="21" t="s">
        <v>384</v>
      </c>
      <c r="C84" s="39">
        <f>'Var Hagel'!C40</f>
        <v>15</v>
      </c>
      <c r="D84" s="113">
        <f>'Var Vorgaben'!D150</f>
        <v>150</v>
      </c>
      <c r="E84" s="46">
        <f t="shared" si="3"/>
        <v>2250</v>
      </c>
      <c r="F84" s="1117">
        <f>E84/E111</f>
        <v>5.3522701249341165E-2</v>
      </c>
      <c r="G84" s="65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row>
    <row r="85" spans="1:35" s="1" customFormat="1" ht="13.5" thickBot="1" x14ac:dyDescent="0.25">
      <c r="A85" s="21"/>
      <c r="B85" s="21" t="s">
        <v>25</v>
      </c>
      <c r="C85" s="39"/>
      <c r="D85" s="45"/>
      <c r="E85" s="160">
        <f>'Var Vorgaben'!D137</f>
        <v>500</v>
      </c>
      <c r="F85" s="1117">
        <f>E85/E111</f>
        <v>1.1893933610964703E-2</v>
      </c>
      <c r="G85" s="65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row>
    <row r="86" spans="1:35" s="1" customFormat="1" x14ac:dyDescent="0.2">
      <c r="A86" s="40" t="s">
        <v>26</v>
      </c>
      <c r="B86" s="21"/>
      <c r="C86" s="39"/>
      <c r="D86" s="45"/>
      <c r="E86" s="94">
        <f>SUM(E75:E85)</f>
        <v>9102.44</v>
      </c>
      <c r="F86" s="1106">
        <f>E86/E111</f>
        <v>0.21652763411557913</v>
      </c>
      <c r="G86" s="65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row>
    <row r="87" spans="1:35" s="1" customFormat="1" x14ac:dyDescent="0.2">
      <c r="A87" s="21"/>
      <c r="B87" s="21"/>
      <c r="C87" s="39"/>
      <c r="D87" s="45"/>
      <c r="E87" s="46"/>
      <c r="F87" s="1117"/>
      <c r="G87" s="65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row>
    <row r="88" spans="1:35" s="1" customFormat="1" x14ac:dyDescent="0.2">
      <c r="C88" s="35"/>
      <c r="D88" s="48"/>
      <c r="E88" s="46"/>
      <c r="F88" s="103"/>
      <c r="G88" s="65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row>
    <row r="89" spans="1:35" s="1" customFormat="1" x14ac:dyDescent="0.2">
      <c r="A89" s="21"/>
      <c r="B89" s="21"/>
      <c r="C89" s="779" t="s">
        <v>27</v>
      </c>
      <c r="D89" s="917" t="s">
        <v>21</v>
      </c>
      <c r="E89" s="1115" t="s">
        <v>22</v>
      </c>
      <c r="F89" s="1121"/>
      <c r="G89" s="65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row>
    <row r="90" spans="1:35" s="1" customFormat="1" x14ac:dyDescent="0.2">
      <c r="A90" s="40" t="s">
        <v>28</v>
      </c>
      <c r="B90" s="21" t="s">
        <v>189</v>
      </c>
      <c r="C90" s="39">
        <f>C75</f>
        <v>3.8</v>
      </c>
      <c r="D90" s="45">
        <f>'Var Vorgaben'!$C$36</f>
        <v>32.700000000000003</v>
      </c>
      <c r="E90" s="46">
        <f t="shared" ref="E90:E105" si="4">C90*D90</f>
        <v>124.26</v>
      </c>
      <c r="F90" s="1117">
        <f>E90/E111</f>
        <v>2.9558803809969481E-3</v>
      </c>
      <c r="G90" s="65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row>
    <row r="91" spans="1:35" s="1" customFormat="1" x14ac:dyDescent="0.2">
      <c r="A91" s="21"/>
      <c r="B91" s="21" t="s">
        <v>190</v>
      </c>
      <c r="C91" s="39">
        <f>C76</f>
        <v>1.8</v>
      </c>
      <c r="D91" s="45">
        <f>'Var Vorgaben'!$C$36</f>
        <v>32.700000000000003</v>
      </c>
      <c r="E91" s="46">
        <f t="shared" si="4"/>
        <v>58.860000000000007</v>
      </c>
      <c r="F91" s="1117">
        <f>E91/E111</f>
        <v>1.400153864682765E-3</v>
      </c>
      <c r="G91" s="65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row>
    <row r="92" spans="1:35" s="1" customFormat="1" x14ac:dyDescent="0.2">
      <c r="A92" s="21"/>
      <c r="B92" s="21" t="s">
        <v>29</v>
      </c>
      <c r="C92" s="719">
        <v>0</v>
      </c>
      <c r="D92" s="45">
        <f>'Var Vorgaben'!$C$36</f>
        <v>32.700000000000003</v>
      </c>
      <c r="E92" s="46">
        <f t="shared" si="4"/>
        <v>0</v>
      </c>
      <c r="F92" s="1117">
        <f>E92/E111</f>
        <v>0</v>
      </c>
      <c r="G92" s="65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row>
    <row r="93" spans="1:35" s="1" customFormat="1" x14ac:dyDescent="0.2">
      <c r="A93" s="21"/>
      <c r="B93" s="21" t="s">
        <v>30</v>
      </c>
      <c r="C93" s="39">
        <f>'Var Hagel'!C46</f>
        <v>1</v>
      </c>
      <c r="D93" s="45">
        <f>'Var Vorgaben'!$C$36</f>
        <v>32.700000000000003</v>
      </c>
      <c r="E93" s="46">
        <f t="shared" si="4"/>
        <v>32.700000000000003</v>
      </c>
      <c r="F93" s="1117">
        <f>E93/E111</f>
        <v>7.7786325815709168E-4</v>
      </c>
      <c r="G93" s="65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row>
    <row r="94" spans="1:35" s="1" customFormat="1" x14ac:dyDescent="0.2">
      <c r="A94" s="21"/>
      <c r="B94" s="21" t="s">
        <v>31</v>
      </c>
      <c r="C94" s="39">
        <f>'Var Hagel'!C47</f>
        <v>7.5</v>
      </c>
      <c r="D94" s="45">
        <f>'Var Vorgaben'!$C$36</f>
        <v>32.700000000000003</v>
      </c>
      <c r="E94" s="46">
        <f t="shared" si="4"/>
        <v>245.25000000000003</v>
      </c>
      <c r="F94" s="1117">
        <f>E94/E111</f>
        <v>5.8339744361781878E-3</v>
      </c>
      <c r="G94" s="65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row>
    <row r="95" spans="1:35" s="1" customFormat="1" x14ac:dyDescent="0.2">
      <c r="A95" s="1122"/>
      <c r="B95" s="21" t="s">
        <v>32</v>
      </c>
      <c r="C95" s="39">
        <f>'Var Hagel'!C48</f>
        <v>75</v>
      </c>
      <c r="D95" s="45">
        <f>'Var Vorgaben'!$C$36</f>
        <v>32.700000000000003</v>
      </c>
      <c r="E95" s="46">
        <f t="shared" si="4"/>
        <v>2452.5</v>
      </c>
      <c r="F95" s="1117">
        <f>E95/E111</f>
        <v>5.8339744361781867E-2</v>
      </c>
      <c r="G95" s="65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row>
    <row r="96" spans="1:35" s="1" customFormat="1" x14ac:dyDescent="0.2">
      <c r="A96" s="1122"/>
      <c r="B96" s="21" t="s">
        <v>162</v>
      </c>
      <c r="C96" s="39">
        <f>'Var Hagel'!C49</f>
        <v>10</v>
      </c>
      <c r="D96" s="45">
        <f>'Var Vorgaben'!$C$36</f>
        <v>32.700000000000003</v>
      </c>
      <c r="E96" s="46">
        <f t="shared" si="4"/>
        <v>327</v>
      </c>
      <c r="F96" s="1117">
        <f>E96/$E$111</f>
        <v>7.7786325815709162E-3</v>
      </c>
      <c r="G96" s="65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row>
    <row r="97" spans="1:35" s="1" customFormat="1" x14ac:dyDescent="0.2">
      <c r="A97" s="1122"/>
      <c r="B97" s="21" t="s">
        <v>473</v>
      </c>
      <c r="C97" s="39">
        <f>'Var Hagel'!C50</f>
        <v>70</v>
      </c>
      <c r="D97" s="45">
        <f>'Var Vorgaben'!$C$36</f>
        <v>32.700000000000003</v>
      </c>
      <c r="E97" s="46">
        <f>C97*D97</f>
        <v>2289</v>
      </c>
      <c r="F97" s="1117">
        <f>E97/$E$111</f>
        <v>5.4450428070996412E-2</v>
      </c>
      <c r="G97" s="65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row>
    <row r="98" spans="1:35" s="1" customFormat="1" x14ac:dyDescent="0.2">
      <c r="A98" s="21"/>
      <c r="B98" s="21" t="s">
        <v>34</v>
      </c>
      <c r="C98" s="39">
        <f>C77</f>
        <v>1.6</v>
      </c>
      <c r="D98" s="45">
        <f>'Var Vorgaben'!$C$36</f>
        <v>32.700000000000003</v>
      </c>
      <c r="E98" s="46">
        <f t="shared" si="4"/>
        <v>52.320000000000007</v>
      </c>
      <c r="F98" s="1117">
        <f>E98/E111</f>
        <v>1.2445812130513468E-3</v>
      </c>
      <c r="G98" s="65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row>
    <row r="99" spans="1:35" s="1" customFormat="1" x14ac:dyDescent="0.2">
      <c r="A99" s="21"/>
      <c r="B99" s="21" t="s">
        <v>386</v>
      </c>
      <c r="C99" s="39">
        <f>'Var Hagel'!C53</f>
        <v>15</v>
      </c>
      <c r="D99" s="45">
        <f>'Var Vorgaben'!$C$36</f>
        <v>32.700000000000003</v>
      </c>
      <c r="E99" s="46">
        <f t="shared" si="4"/>
        <v>490.50000000000006</v>
      </c>
      <c r="F99" s="1117">
        <f>E99/E111</f>
        <v>1.1667948872356376E-2</v>
      </c>
      <c r="G99" s="65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row>
    <row r="100" spans="1:35" s="1" customFormat="1" x14ac:dyDescent="0.2">
      <c r="A100" s="21"/>
      <c r="B100" s="21" t="s">
        <v>474</v>
      </c>
      <c r="C100" s="39">
        <f>'Var Hagel'!C54</f>
        <v>100</v>
      </c>
      <c r="D100" s="45">
        <f>'Var Vorgaben'!$C$36</f>
        <v>32.700000000000003</v>
      </c>
      <c r="E100" s="46">
        <f t="shared" si="4"/>
        <v>3270.0000000000005</v>
      </c>
      <c r="F100" s="1117">
        <f>E100/E111</f>
        <v>7.778632581570917E-2</v>
      </c>
      <c r="G100" s="65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row>
    <row r="101" spans="1:35" s="1" customFormat="1" x14ac:dyDescent="0.2">
      <c r="A101" s="21"/>
      <c r="B101" s="21" t="s">
        <v>387</v>
      </c>
      <c r="C101" s="39">
        <f>'Var Hagel'!C55</f>
        <v>175</v>
      </c>
      <c r="D101" s="45">
        <f>'Var Vorgaben'!$C$36</f>
        <v>32.700000000000003</v>
      </c>
      <c r="E101" s="46">
        <f t="shared" si="4"/>
        <v>5722.5000000000009</v>
      </c>
      <c r="F101" s="1117">
        <f>E101/E111</f>
        <v>0.13612607017749104</v>
      </c>
      <c r="G101" s="65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row>
    <row r="102" spans="1:35" s="1" customFormat="1" x14ac:dyDescent="0.2">
      <c r="A102" s="21"/>
      <c r="B102" s="21" t="s">
        <v>610</v>
      </c>
      <c r="C102" s="39">
        <f>'Var Regendach'!C60</f>
        <v>150</v>
      </c>
      <c r="D102" s="45">
        <f>'Var Vorgaben'!$C$36</f>
        <v>32.700000000000003</v>
      </c>
      <c r="E102" s="46">
        <f>C102*D102</f>
        <v>4905</v>
      </c>
      <c r="F102" s="1117">
        <f>E102/$E$112</f>
        <v>7.6188030007739035E-2</v>
      </c>
      <c r="G102" s="65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row>
    <row r="103" spans="1:35" s="1" customFormat="1" x14ac:dyDescent="0.2">
      <c r="A103" s="21"/>
      <c r="B103" s="21" t="s">
        <v>623</v>
      </c>
      <c r="C103" s="39">
        <f>'Var Hagel'!C56</f>
        <v>29</v>
      </c>
      <c r="D103" s="45">
        <f>'Var Vorgaben'!$C$36</f>
        <v>32.700000000000003</v>
      </c>
      <c r="E103" s="46">
        <f t="shared" si="4"/>
        <v>948.30000000000007</v>
      </c>
      <c r="F103" s="1117">
        <f>E103/E111</f>
        <v>2.2558034486555658E-2</v>
      </c>
      <c r="G103" s="65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row>
    <row r="104" spans="1:35" s="1" customFormat="1" x14ac:dyDescent="0.2">
      <c r="A104" s="21"/>
      <c r="B104" s="21" t="s">
        <v>613</v>
      </c>
      <c r="C104" s="39">
        <f>'Var Regendach'!C61</f>
        <v>26.5</v>
      </c>
      <c r="D104" s="45">
        <f>'Var Vorgaben'!$C$36</f>
        <v>32.700000000000003</v>
      </c>
      <c r="E104" s="46">
        <f>C104*D104</f>
        <v>866.55000000000007</v>
      </c>
      <c r="F104" s="1117">
        <f>E104/$E$111</f>
        <v>2.0613376341162927E-2</v>
      </c>
      <c r="G104" s="65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row>
    <row r="105" spans="1:35" s="1" customFormat="1" ht="13.5" thickBot="1" x14ac:dyDescent="0.25">
      <c r="A105" s="21"/>
      <c r="B105" s="21" t="s">
        <v>566</v>
      </c>
      <c r="C105" s="1119">
        <f>SUM(C90:C101,C103)*0.1</f>
        <v>48.97</v>
      </c>
      <c r="D105" s="45">
        <f>'Var Vorgaben'!$C$32</f>
        <v>41.4</v>
      </c>
      <c r="E105" s="160">
        <f t="shared" si="4"/>
        <v>2027.3579999999999</v>
      </c>
      <c r="F105" s="1117">
        <f>E105/E111</f>
        <v>4.8226522915316358E-2</v>
      </c>
      <c r="G105" s="65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row>
    <row r="106" spans="1:35" s="1" customFormat="1" x14ac:dyDescent="0.2">
      <c r="A106" s="98" t="s">
        <v>372</v>
      </c>
      <c r="B106" s="21"/>
      <c r="C106" s="1123">
        <f>SUM(C90:C101,C103,C105)</f>
        <v>538.66999999999996</v>
      </c>
      <c r="D106" s="45"/>
      <c r="E106" s="94">
        <f>SUM(E90:E101,E103,E105)</f>
        <v>18040.547999999999</v>
      </c>
      <c r="F106" s="1124">
        <f>E106/E111</f>
        <v>0.4291461604348441</v>
      </c>
      <c r="G106" s="65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row>
    <row r="107" spans="1:35" s="1" customFormat="1" x14ac:dyDescent="0.2">
      <c r="A107" s="98" t="s">
        <v>431</v>
      </c>
      <c r="B107" s="21"/>
      <c r="C107" s="1123">
        <f>SUM(C90:C100,C102,C104:C105)</f>
        <v>511.16999999999996</v>
      </c>
      <c r="D107" s="45"/>
      <c r="E107" s="94">
        <f>SUM(E90:E100,E102,E104:E105)</f>
        <v>17141.297999999999</v>
      </c>
      <c r="F107" s="1124">
        <f>E107/E111</f>
        <v>0.40775492083552406</v>
      </c>
      <c r="G107" s="65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row>
    <row r="108" spans="1:35" s="1130" customFormat="1" ht="18" x14ac:dyDescent="0.25">
      <c r="A108" s="1146" t="s">
        <v>35</v>
      </c>
      <c r="B108" s="1152"/>
      <c r="C108" s="1153"/>
      <c r="D108" s="1154"/>
      <c r="E108" s="1150">
        <f>E106+E86</f>
        <v>27142.987999999998</v>
      </c>
      <c r="F108" s="1151">
        <f>E108/E111</f>
        <v>0.64567379455042317</v>
      </c>
      <c r="G108" s="1136"/>
      <c r="H108" s="1139"/>
      <c r="I108" s="1139"/>
      <c r="J108" s="1139"/>
      <c r="K108" s="1139"/>
      <c r="L108" s="1139"/>
      <c r="M108" s="1139"/>
      <c r="N108" s="1139"/>
      <c r="O108" s="1139"/>
      <c r="P108" s="1139"/>
      <c r="Q108" s="1139"/>
      <c r="R108" s="1139"/>
      <c r="S108" s="1139"/>
      <c r="T108" s="1139"/>
      <c r="U108" s="1139"/>
      <c r="V108" s="1139"/>
      <c r="W108" s="1139"/>
      <c r="X108" s="1139"/>
      <c r="Y108" s="1139"/>
      <c r="Z108" s="1139"/>
      <c r="AA108" s="1139"/>
      <c r="AB108" s="1139"/>
      <c r="AC108" s="1139"/>
      <c r="AD108" s="1139"/>
      <c r="AE108" s="1139"/>
      <c r="AF108" s="1139"/>
      <c r="AG108" s="1139"/>
      <c r="AH108" s="1139"/>
      <c r="AI108" s="1139"/>
    </row>
    <row r="109" spans="1:35" s="1130" customFormat="1" ht="18" x14ac:dyDescent="0.25">
      <c r="A109" s="1146" t="s">
        <v>615</v>
      </c>
      <c r="B109" s="1152"/>
      <c r="C109" s="1153"/>
      <c r="D109" s="1154"/>
      <c r="E109" s="1150">
        <f>E107+E86</f>
        <v>26243.737999999998</v>
      </c>
      <c r="F109" s="1151"/>
      <c r="G109" s="1136"/>
      <c r="H109" s="1139"/>
      <c r="I109" s="1139"/>
      <c r="J109" s="1139"/>
      <c r="K109" s="1139"/>
      <c r="L109" s="1139"/>
      <c r="M109" s="1139"/>
      <c r="N109" s="1139"/>
      <c r="O109" s="1139"/>
      <c r="P109" s="1139"/>
      <c r="Q109" s="1139"/>
      <c r="R109" s="1139"/>
      <c r="S109" s="1139"/>
      <c r="T109" s="1139"/>
      <c r="U109" s="1139"/>
      <c r="V109" s="1139"/>
      <c r="W109" s="1139"/>
      <c r="X109" s="1139"/>
      <c r="Y109" s="1139"/>
      <c r="Z109" s="1139"/>
      <c r="AA109" s="1139"/>
      <c r="AB109" s="1139"/>
      <c r="AC109" s="1139"/>
      <c r="AD109" s="1139"/>
      <c r="AE109" s="1139"/>
      <c r="AF109" s="1139"/>
      <c r="AG109" s="1139"/>
      <c r="AH109" s="1139"/>
      <c r="AI109" s="1139"/>
    </row>
    <row r="110" spans="1:35" s="22" customFormat="1" ht="15.75" x14ac:dyDescent="0.25">
      <c r="A110" s="340"/>
      <c r="B110" s="346"/>
      <c r="C110" s="347"/>
      <c r="D110" s="348"/>
      <c r="E110" s="377"/>
      <c r="F110" s="349"/>
      <c r="G110" s="651"/>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row>
    <row r="111" spans="1:35" s="116" customFormat="1" ht="20.25" x14ac:dyDescent="0.3">
      <c r="A111" s="1155" t="s">
        <v>567</v>
      </c>
      <c r="B111" s="1152"/>
      <c r="C111" s="1153"/>
      <c r="D111" s="1154"/>
      <c r="E111" s="1156">
        <f>E9+E15+E68+E40+SUM(E75:E79,E82,E83:E85,E90:E98,E105)</f>
        <v>42038.237000000001</v>
      </c>
      <c r="F111" s="1157">
        <f>E111/E111</f>
        <v>1</v>
      </c>
      <c r="G111" s="651"/>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row>
    <row r="112" spans="1:35" s="1" customFormat="1" ht="26.25" customHeight="1" x14ac:dyDescent="0.3">
      <c r="A112" s="1155" t="s">
        <v>568</v>
      </c>
      <c r="B112" s="1152"/>
      <c r="C112" s="1153"/>
      <c r="D112" s="1154"/>
      <c r="E112" s="1156">
        <f>E71+E108</f>
        <v>64380.191999999995</v>
      </c>
      <c r="F112" s="1157">
        <f>E112/E112</f>
        <v>1</v>
      </c>
      <c r="G112" s="65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row>
    <row r="113" spans="1:35" s="1" customFormat="1" ht="26.25" customHeight="1" x14ac:dyDescent="0.3">
      <c r="A113" s="1155" t="s">
        <v>569</v>
      </c>
      <c r="B113" s="1152"/>
      <c r="C113" s="1153"/>
      <c r="D113" s="1154"/>
      <c r="E113" s="1156">
        <f>E112-E111</f>
        <v>22341.954999999994</v>
      </c>
      <c r="F113" s="1157">
        <f>E113/E113</f>
        <v>1</v>
      </c>
      <c r="G113" s="65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row>
    <row r="114" spans="1:35" s="1" customFormat="1" ht="26.25" customHeight="1" x14ac:dyDescent="0.3">
      <c r="A114" s="1155" t="s">
        <v>618</v>
      </c>
      <c r="B114" s="1152"/>
      <c r="C114" s="1153"/>
      <c r="D114" s="1154"/>
      <c r="E114" s="1156">
        <f>SUM(E72+E109)</f>
        <v>105628.1066</v>
      </c>
      <c r="F114" s="1157"/>
      <c r="G114" s="65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row>
    <row r="115" spans="1:35" s="1" customFormat="1" ht="26.25" customHeight="1" x14ac:dyDescent="0.3">
      <c r="A115" s="1155" t="s">
        <v>619</v>
      </c>
      <c r="B115" s="1152"/>
      <c r="C115" s="1153"/>
      <c r="D115" s="1154"/>
      <c r="E115" s="1208">
        <f>E114-E111</f>
        <v>63589.869599999998</v>
      </c>
      <c r="F115" s="1157"/>
      <c r="G115" s="65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row>
    <row r="116" spans="1:35" s="22" customFormat="1" ht="20.25" customHeight="1" x14ac:dyDescent="0.2">
      <c r="G116" s="651"/>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row>
    <row r="117" spans="1:35" s="1" customFormat="1" ht="19.5" customHeight="1" x14ac:dyDescent="0.25">
      <c r="A117" s="351" t="s">
        <v>14</v>
      </c>
      <c r="B117" s="15"/>
      <c r="C117" s="110" t="s">
        <v>11</v>
      </c>
      <c r="D117" s="110" t="s">
        <v>12</v>
      </c>
      <c r="E117" s="110" t="s">
        <v>13</v>
      </c>
      <c r="F117" s="37"/>
      <c r="G117" s="65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row>
    <row r="118" spans="1:35" s="1" customFormat="1" ht="15" customHeight="1" x14ac:dyDescent="0.2">
      <c r="A118"/>
      <c r="B118" s="1" t="s">
        <v>100</v>
      </c>
      <c r="C118" s="339">
        <f>('Var Vorgaben'!B18+'Var Vorgaben'!B19)*2-2*6</f>
        <v>398</v>
      </c>
      <c r="D118" s="48">
        <f>'Var Vorgaben'!D163</f>
        <v>6.9</v>
      </c>
      <c r="E118" s="33">
        <f t="shared" ref="E118:E124" si="5">C118*D118</f>
        <v>2746.2000000000003</v>
      </c>
      <c r="F118" s="1125">
        <f>E118/E137</f>
        <v>0.43390146866899176</v>
      </c>
      <c r="G118" s="65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row>
    <row r="119" spans="1:35" s="1" customFormat="1" ht="15" customHeight="1" x14ac:dyDescent="0.2">
      <c r="A119"/>
      <c r="B119" s="1" t="s">
        <v>369</v>
      </c>
      <c r="C119" s="112">
        <f>(C118/4)-(C118/4/5)</f>
        <v>79.599999999999994</v>
      </c>
      <c r="D119" s="48">
        <f>'Var Vorgaben'!D164</f>
        <v>9.6</v>
      </c>
      <c r="E119" s="33">
        <f t="shared" si="5"/>
        <v>764.16</v>
      </c>
      <c r="F119" s="1125">
        <f>E119/E137</f>
        <v>0.12073779997745855</v>
      </c>
      <c r="G119" s="65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row>
    <row r="120" spans="1:35" s="1" customFormat="1" ht="15" customHeight="1" x14ac:dyDescent="0.2">
      <c r="A120"/>
      <c r="B120" s="1" t="s">
        <v>370</v>
      </c>
      <c r="C120" s="112">
        <f>(C118/4)/5</f>
        <v>19.899999999999999</v>
      </c>
      <c r="D120" s="48">
        <f>'Var Vorgaben'!D165</f>
        <v>15.5</v>
      </c>
      <c r="E120" s="33">
        <f t="shared" si="5"/>
        <v>308.45</v>
      </c>
      <c r="F120" s="1125">
        <f>E120/E137</f>
        <v>4.8735309886734572E-2</v>
      </c>
      <c r="G120" s="65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row>
    <row r="121" spans="1:35" s="1" customFormat="1" ht="15" customHeight="1" x14ac:dyDescent="0.2">
      <c r="A121"/>
      <c r="B121" s="1" t="s">
        <v>370</v>
      </c>
      <c r="C121" s="112">
        <f>'Var Vorgaben'!C166</f>
        <v>6</v>
      </c>
      <c r="D121" s="48">
        <f>'Var Vorgaben'!D166</f>
        <v>19.8</v>
      </c>
      <c r="E121" s="33">
        <f t="shared" si="5"/>
        <v>118.80000000000001</v>
      </c>
      <c r="F121" s="1125">
        <f>E121/E137</f>
        <v>1.8770480838204144E-2</v>
      </c>
      <c r="G121" s="65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row>
    <row r="122" spans="1:35" s="1" customFormat="1" ht="15" customHeight="1" x14ac:dyDescent="0.2">
      <c r="A122"/>
      <c r="B122" s="1" t="s">
        <v>15</v>
      </c>
      <c r="C122" s="112">
        <f>'Var Vorgaben'!C167</f>
        <v>2</v>
      </c>
      <c r="D122" s="48">
        <f>'Var Vorgaben'!D167</f>
        <v>200</v>
      </c>
      <c r="E122" s="33">
        <f t="shared" si="5"/>
        <v>400</v>
      </c>
      <c r="F122" s="1125">
        <f>E122/E137</f>
        <v>6.3200272182505526E-2</v>
      </c>
      <c r="G122" s="65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row>
    <row r="123" spans="1:35" s="1" customFormat="1" ht="15" customHeight="1" x14ac:dyDescent="0.2">
      <c r="A123"/>
      <c r="B123" s="1" t="str">
        <f>'Var Vorgaben'!B168</f>
        <v>Spanndraht 3mm</v>
      </c>
      <c r="C123" s="336">
        <f>C118/18</f>
        <v>22.111111111111111</v>
      </c>
      <c r="D123" s="48">
        <f>'Var Vorgaben'!D168</f>
        <v>4.0999999999999996</v>
      </c>
      <c r="E123" s="46">
        <f t="shared" si="5"/>
        <v>90.655555555555551</v>
      </c>
      <c r="F123" s="1125">
        <f>E123/E136</f>
        <v>3.381408263914791E-2</v>
      </c>
      <c r="G123" s="65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row>
    <row r="124" spans="1:35" s="1" customFormat="1" ht="15" customHeight="1" x14ac:dyDescent="0.2">
      <c r="A124"/>
      <c r="B124" s="1" t="s">
        <v>101</v>
      </c>
      <c r="C124" s="336">
        <f>'Var Vorgaben'!C169</f>
        <v>3</v>
      </c>
      <c r="D124" s="48">
        <f>'Var Vorgaben'!D169</f>
        <v>11.95</v>
      </c>
      <c r="E124" s="46">
        <f t="shared" si="5"/>
        <v>35.849999999999994</v>
      </c>
      <c r="F124" s="1125">
        <f>E124/E137</f>
        <v>5.6643243943570575E-3</v>
      </c>
      <c r="G124" s="65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row>
    <row r="125" spans="1:35" s="1" customFormat="1" ht="15" customHeight="1" x14ac:dyDescent="0.2">
      <c r="A125"/>
      <c r="C125" s="1126"/>
      <c r="D125" s="48"/>
      <c r="E125" s="43">
        <f>SUM(E118:E124)</f>
        <v>4464.1155555555561</v>
      </c>
      <c r="F125" s="1125">
        <f>E125/E137</f>
        <v>0.70533329541317002</v>
      </c>
      <c r="G125" s="65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row>
    <row r="126" spans="1:35" s="1" customFormat="1" ht="15" customHeight="1" thickBot="1" x14ac:dyDescent="0.25">
      <c r="A126"/>
      <c r="B126" s="1" t="s">
        <v>570</v>
      </c>
      <c r="C126" s="112"/>
      <c r="D126" s="81">
        <f>'Var Vorgaben'!D170</f>
        <v>0.25</v>
      </c>
      <c r="E126" s="652">
        <f>E125*D126*(-1)</f>
        <v>-1116.028888888889</v>
      </c>
      <c r="F126" s="1125">
        <f>E126/$E$137</f>
        <v>-0.17633332385329251</v>
      </c>
      <c r="G126" s="65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row>
    <row r="127" spans="1:35" s="1" customFormat="1" ht="15" customHeight="1" x14ac:dyDescent="0.2">
      <c r="A127"/>
      <c r="C127" s="112"/>
      <c r="D127" s="68"/>
      <c r="E127" s="94">
        <f>SUM(E125:E126)</f>
        <v>3348.086666666667</v>
      </c>
      <c r="F127" s="1127">
        <f>E127/$E$137</f>
        <v>0.52899997155987755</v>
      </c>
      <c r="G127" s="65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row>
    <row r="128" spans="1:35" s="1" customFormat="1" ht="15" customHeight="1" x14ac:dyDescent="0.2">
      <c r="B128" s="1" t="s">
        <v>103</v>
      </c>
      <c r="C128" s="112"/>
      <c r="D128" s="81"/>
      <c r="E128" s="94">
        <f>'Var Vorgaben'!E172</f>
        <v>300</v>
      </c>
      <c r="F128" s="1127">
        <f>E128/$E$137</f>
        <v>4.7400204136879148E-2</v>
      </c>
      <c r="G128" s="65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row>
    <row r="129" spans="1:35" s="1" customFormat="1" ht="15" customHeight="1" x14ac:dyDescent="0.25">
      <c r="A129" s="1146" t="s">
        <v>19</v>
      </c>
      <c r="B129" s="200"/>
      <c r="C129" s="463"/>
      <c r="D129" s="390"/>
      <c r="E129" s="1158">
        <f>E127+E128</f>
        <v>3648.086666666667</v>
      </c>
      <c r="F129" s="1159">
        <f>E129/E137</f>
        <v>0.57640017569675672</v>
      </c>
      <c r="G129" s="65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row>
    <row r="130" spans="1:35" s="1" customFormat="1" ht="19.5" customHeight="1" x14ac:dyDescent="0.2">
      <c r="A130" s="3" t="s">
        <v>23</v>
      </c>
      <c r="B130"/>
      <c r="C130" s="136" t="s">
        <v>84</v>
      </c>
      <c r="D130" s="778" t="s">
        <v>21</v>
      </c>
      <c r="E130" s="653" t="s">
        <v>13</v>
      </c>
      <c r="F130" s="1121"/>
      <c r="G130" s="65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row>
    <row r="131" spans="1:35" s="1" customFormat="1" ht="16.5" customHeight="1" x14ac:dyDescent="0.2">
      <c r="A131" s="15"/>
      <c r="B131" s="1" t="s">
        <v>98</v>
      </c>
      <c r="C131" s="39">
        <f>'Var Vorgaben'!C145*C135</f>
        <v>7</v>
      </c>
      <c r="D131" s="113">
        <f>D78</f>
        <v>15</v>
      </c>
      <c r="E131" s="46">
        <f>C131*D131</f>
        <v>105</v>
      </c>
      <c r="F131" s="1117">
        <f>E131/E137</f>
        <v>1.6590071447907702E-2</v>
      </c>
      <c r="G131" s="65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row>
    <row r="132" spans="1:35" s="1" customFormat="1" ht="16.5" customHeight="1" thickBot="1" x14ac:dyDescent="0.25">
      <c r="A132" s="15"/>
      <c r="B132" s="1" t="s">
        <v>571</v>
      </c>
      <c r="C132" s="35">
        <f>C131</f>
        <v>7</v>
      </c>
      <c r="D132" s="111">
        <f>D83</f>
        <v>41</v>
      </c>
      <c r="E132" s="160">
        <f>C132*D132</f>
        <v>287</v>
      </c>
      <c r="F132" s="1125">
        <f>E132/E137</f>
        <v>4.5346195290947716E-2</v>
      </c>
      <c r="G132" s="65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row>
    <row r="133" spans="1:35" s="1" customFormat="1" ht="16.5" customHeight="1" x14ac:dyDescent="0.2">
      <c r="A133" s="15"/>
      <c r="C133" s="39"/>
      <c r="D133" s="111"/>
      <c r="E133" s="94">
        <f>SUM(E131:E132)</f>
        <v>392</v>
      </c>
      <c r="F133" s="1127">
        <f>E133/E137</f>
        <v>6.1936266738855418E-2</v>
      </c>
      <c r="G133" s="65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row>
    <row r="134" spans="1:35" s="1" customFormat="1" ht="16.5" customHeight="1" x14ac:dyDescent="0.2">
      <c r="A134" s="3" t="s">
        <v>28</v>
      </c>
      <c r="B134"/>
      <c r="C134" s="136" t="s">
        <v>27</v>
      </c>
      <c r="D134" s="778" t="s">
        <v>21</v>
      </c>
      <c r="E134" s="653" t="s">
        <v>22</v>
      </c>
      <c r="F134" s="1128"/>
      <c r="G134" s="65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row>
    <row r="135" spans="1:35" s="1" customFormat="1" ht="16.5" customHeight="1" x14ac:dyDescent="0.2">
      <c r="A135"/>
      <c r="B135" s="1" t="s">
        <v>33</v>
      </c>
      <c r="C135" s="1129">
        <f>'Var Vorgaben'!C175</f>
        <v>70</v>
      </c>
      <c r="D135" s="45">
        <f>'Var Vorgaben'!$C$36</f>
        <v>32.700000000000003</v>
      </c>
      <c r="E135" s="162">
        <f>C135*D135</f>
        <v>2289</v>
      </c>
      <c r="F135" s="1127">
        <f>E135/E137</f>
        <v>0.36166355756438789</v>
      </c>
      <c r="G135" s="65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row>
    <row r="136" spans="1:35" s="1138" customFormat="1" ht="15.75" x14ac:dyDescent="0.25">
      <c r="A136" s="1146" t="s">
        <v>35</v>
      </c>
      <c r="B136" s="1152"/>
      <c r="C136" s="1153"/>
      <c r="D136" s="1154"/>
      <c r="E136" s="1150">
        <f>E133+E135</f>
        <v>2681</v>
      </c>
      <c r="F136" s="352">
        <f>E136/E137</f>
        <v>0.42359982430324333</v>
      </c>
      <c r="G136" s="1136"/>
      <c r="H136" s="1137"/>
      <c r="I136" s="1137"/>
      <c r="J136" s="1137"/>
      <c r="K136" s="1137"/>
      <c r="L136" s="1137"/>
      <c r="M136" s="1137"/>
      <c r="N136" s="1137"/>
      <c r="O136" s="1137"/>
      <c r="P136" s="1137"/>
      <c r="Q136" s="1137"/>
      <c r="R136" s="1137"/>
      <c r="S136" s="1137"/>
      <c r="T136" s="1137"/>
      <c r="U136" s="1137"/>
      <c r="V136" s="1137"/>
      <c r="W136" s="1137"/>
      <c r="X136" s="1137"/>
      <c r="Y136" s="1137"/>
      <c r="Z136" s="1137"/>
      <c r="AA136" s="1137"/>
      <c r="AB136" s="1137"/>
      <c r="AC136" s="1137"/>
      <c r="AD136" s="1137"/>
      <c r="AE136" s="1137"/>
      <c r="AF136" s="1137"/>
      <c r="AG136" s="1137"/>
      <c r="AH136" s="1137"/>
      <c r="AI136" s="1137"/>
    </row>
    <row r="137" spans="1:35" s="1130" customFormat="1" ht="18" customHeight="1" x14ac:dyDescent="0.25">
      <c r="A137" s="1146" t="s">
        <v>102</v>
      </c>
      <c r="B137" s="1147"/>
      <c r="C137" s="1160"/>
      <c r="D137" s="1149"/>
      <c r="E137" s="1150">
        <f>E129+E136</f>
        <v>6329.086666666667</v>
      </c>
      <c r="F137" s="352">
        <f>E137/E137</f>
        <v>1</v>
      </c>
      <c r="G137" s="1136"/>
      <c r="H137" s="1139"/>
      <c r="I137" s="1139"/>
      <c r="J137" s="1139"/>
      <c r="K137" s="1139"/>
      <c r="L137" s="1139"/>
      <c r="M137" s="1139"/>
      <c r="N137" s="1139"/>
      <c r="O137" s="1139"/>
      <c r="P137" s="1139"/>
      <c r="Q137" s="1139"/>
      <c r="R137" s="1139"/>
      <c r="S137" s="1139"/>
      <c r="T137" s="1139"/>
      <c r="U137" s="1139"/>
      <c r="V137" s="1139"/>
      <c r="W137" s="1139"/>
      <c r="X137" s="1139"/>
      <c r="Y137" s="1139"/>
      <c r="Z137" s="1139"/>
      <c r="AA137" s="1139"/>
      <c r="AB137" s="1139"/>
      <c r="AC137" s="1139"/>
      <c r="AD137" s="1139"/>
      <c r="AE137" s="1139"/>
      <c r="AF137" s="1139"/>
      <c r="AG137" s="1139"/>
      <c r="AH137" s="1139"/>
      <c r="AI137" s="1139"/>
    </row>
    <row r="138" spans="1:35" s="116" customFormat="1" ht="13.5" customHeight="1" x14ac:dyDescent="0.25">
      <c r="A138" s="114"/>
      <c r="B138" s="1130"/>
      <c r="C138" s="1131"/>
      <c r="D138" s="1132"/>
      <c r="E138" s="1133"/>
      <c r="F138" s="103"/>
      <c r="G138" s="651"/>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row>
    <row r="139" spans="1:35" s="116" customFormat="1" ht="20.85" customHeight="1" x14ac:dyDescent="0.25">
      <c r="A139" s="351" t="s">
        <v>572</v>
      </c>
      <c r="B139" s="1130"/>
      <c r="C139" s="1131"/>
      <c r="D139" s="1132"/>
      <c r="E139" s="1134">
        <f>E137-E127</f>
        <v>2981</v>
      </c>
      <c r="F139" s="103"/>
      <c r="G139" s="651"/>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row>
    <row r="140" spans="1:35" s="1" customFormat="1" ht="18.75" customHeight="1" x14ac:dyDescent="0.25">
      <c r="A140" s="351" t="s">
        <v>573</v>
      </c>
      <c r="B140"/>
      <c r="C140" t="s">
        <v>416</v>
      </c>
      <c r="D140"/>
      <c r="E140"/>
      <c r="F140"/>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row>
    <row r="141" spans="1:35" s="1" customFormat="1" ht="21" customHeight="1" x14ac:dyDescent="0.2">
      <c r="A141"/>
      <c r="B141"/>
      <c r="C141" s="136" t="s">
        <v>11</v>
      </c>
      <c r="D141" s="778" t="s">
        <v>12</v>
      </c>
      <c r="E141" s="653" t="s">
        <v>13</v>
      </c>
      <c r="F141" s="653"/>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row>
    <row r="142" spans="1:35" s="1" customFormat="1" x14ac:dyDescent="0.2">
      <c r="A142" t="s">
        <v>523</v>
      </c>
      <c r="B142" t="s">
        <v>482</v>
      </c>
      <c r="C142"/>
      <c r="D142"/>
      <c r="E142" s="46">
        <f>'Var Bewässerung'!H17</f>
        <v>4467.0249999999996</v>
      </c>
      <c r="F142" s="103">
        <f>E142/$E$149</f>
        <v>0.32353089224714376</v>
      </c>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row>
    <row r="143" spans="1:35" s="1" customFormat="1" x14ac:dyDescent="0.2">
      <c r="A143"/>
      <c r="B143" t="s">
        <v>492</v>
      </c>
      <c r="C143"/>
      <c r="D143"/>
      <c r="E143" s="46">
        <f>'Var Bewässerung'!H22</f>
        <v>1807.6</v>
      </c>
      <c r="F143" s="103">
        <f t="shared" ref="F143:F148" si="6">E143/$E$149</f>
        <v>0.13091810339676566</v>
      </c>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row>
    <row r="144" spans="1:35" s="1" customFormat="1" x14ac:dyDescent="0.2">
      <c r="A144"/>
      <c r="B144" t="s">
        <v>498</v>
      </c>
      <c r="C144"/>
      <c r="D144"/>
      <c r="E144" s="46">
        <f>'Var Bewässerung'!H30</f>
        <v>1386.5</v>
      </c>
      <c r="F144" s="103">
        <f t="shared" si="6"/>
        <v>0.10041931310003074</v>
      </c>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row>
    <row r="145" spans="1:35" s="1" customFormat="1" x14ac:dyDescent="0.2">
      <c r="A145"/>
      <c r="B145"/>
      <c r="C145"/>
      <c r="D145"/>
      <c r="E145" s="46"/>
      <c r="F145" s="103">
        <f t="shared" si="6"/>
        <v>0</v>
      </c>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row>
    <row r="146" spans="1:35" s="1" customFormat="1" x14ac:dyDescent="0.2">
      <c r="A146"/>
      <c r="B146"/>
      <c r="C146"/>
      <c r="D146"/>
      <c r="E146" s="1135">
        <f>SUM(E142:E144)</f>
        <v>7661.125</v>
      </c>
      <c r="F146" s="103">
        <f t="shared" si="6"/>
        <v>0.55486830874394022</v>
      </c>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row>
    <row r="147" spans="1:35" s="1" customFormat="1" x14ac:dyDescent="0.2">
      <c r="A147" t="s">
        <v>574</v>
      </c>
      <c r="B147"/>
      <c r="C147"/>
      <c r="D147"/>
      <c r="E147" s="486">
        <f>'Var Bewässerung'!H47</f>
        <v>2764.8</v>
      </c>
      <c r="F147" s="103">
        <f t="shared" si="6"/>
        <v>0.20024472907245947</v>
      </c>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row>
    <row r="148" spans="1:35" s="1" customFormat="1" x14ac:dyDescent="0.2">
      <c r="A148" t="s">
        <v>575</v>
      </c>
      <c r="B148" s="10"/>
      <c r="C148"/>
      <c r="D148"/>
      <c r="E148" s="486">
        <f>'Var Bewässerung'!H48</f>
        <v>3381.1800000000003</v>
      </c>
      <c r="F148" s="103">
        <f t="shared" si="6"/>
        <v>0.24488696218360043</v>
      </c>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row>
    <row r="149" spans="1:35" s="78" customFormat="1" ht="18" x14ac:dyDescent="0.25">
      <c r="A149" s="1161" t="s">
        <v>576</v>
      </c>
      <c r="B149" s="1147"/>
      <c r="C149" s="1149"/>
      <c r="D149" s="1162">
        <f>'Var Vorgaben'!C185</f>
        <v>0</v>
      </c>
      <c r="E149" s="1163">
        <f>E146+E147+E148</f>
        <v>13807.105</v>
      </c>
      <c r="F149" s="352">
        <f>E149/E149</f>
        <v>1</v>
      </c>
      <c r="H149" s="1140"/>
      <c r="I149" s="1140"/>
      <c r="J149" s="1140"/>
      <c r="K149" s="1140"/>
      <c r="L149" s="1140"/>
      <c r="M149" s="1140"/>
      <c r="N149" s="1140"/>
      <c r="O149" s="1140"/>
      <c r="P149" s="1140"/>
      <c r="Q149" s="1140"/>
      <c r="R149" s="1140"/>
      <c r="S149" s="1140"/>
      <c r="T149" s="1140"/>
      <c r="U149" s="1140"/>
      <c r="V149" s="1140"/>
      <c r="W149" s="1140"/>
      <c r="X149" s="1140"/>
      <c r="Y149" s="1140"/>
      <c r="Z149" s="1140"/>
      <c r="AA149" s="1140"/>
      <c r="AB149" s="1140"/>
      <c r="AC149" s="1140"/>
      <c r="AD149" s="1140"/>
      <c r="AE149" s="1140"/>
      <c r="AF149" s="1140"/>
      <c r="AG149" s="1140"/>
      <c r="AH149" s="1140"/>
      <c r="AI149" s="1140"/>
    </row>
    <row r="150" spans="1:35" s="1" customFormat="1" x14ac:dyDescent="0.2">
      <c r="A150"/>
      <c r="B150"/>
      <c r="C150"/>
      <c r="D150"/>
      <c r="E150"/>
      <c r="F150"/>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row>
    <row r="151" spans="1:35" s="1" customFormat="1" ht="18" x14ac:dyDescent="0.25">
      <c r="A151" s="351" t="s">
        <v>577</v>
      </c>
      <c r="B151"/>
      <c r="C151"/>
      <c r="D151"/>
      <c r="E151"/>
      <c r="F15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row>
    <row r="152" spans="1:35" s="1" customFormat="1" x14ac:dyDescent="0.2">
      <c r="A152"/>
      <c r="B152"/>
      <c r="C152"/>
      <c r="D152"/>
      <c r="E152"/>
      <c r="F152"/>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row>
    <row r="153" spans="1:35" s="1" customFormat="1" x14ac:dyDescent="0.2">
      <c r="A153"/>
      <c r="B153"/>
      <c r="C153" s="136" t="s">
        <v>11</v>
      </c>
      <c r="D153" s="778" t="s">
        <v>12</v>
      </c>
      <c r="E153" s="653" t="s">
        <v>13</v>
      </c>
      <c r="F153" s="653"/>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row>
    <row r="154" spans="1:35" s="1" customFormat="1" x14ac:dyDescent="0.2">
      <c r="A154" t="s">
        <v>523</v>
      </c>
      <c r="B154" t="s">
        <v>482</v>
      </c>
      <c r="C154"/>
      <c r="D154"/>
      <c r="E154" s="46">
        <v>2757.3</v>
      </c>
      <c r="F154" s="103">
        <f>E154/$E$161</f>
        <v>0.18168088921043632</v>
      </c>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row>
    <row r="155" spans="1:35" s="1" customFormat="1" x14ac:dyDescent="0.2">
      <c r="A155"/>
      <c r="B155" t="s">
        <v>492</v>
      </c>
      <c r="C155"/>
      <c r="D155"/>
      <c r="E155" s="46">
        <v>5927.53</v>
      </c>
      <c r="F155" s="103">
        <f t="shared" ref="F155:F160" si="7">E155/$E$161</f>
        <v>0.39057009437548962</v>
      </c>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row>
    <row r="156" spans="1:35" s="1" customFormat="1" x14ac:dyDescent="0.2">
      <c r="A156"/>
      <c r="B156" t="s">
        <v>498</v>
      </c>
      <c r="C156"/>
      <c r="D156"/>
      <c r="E156" s="46">
        <v>190</v>
      </c>
      <c r="F156" s="103">
        <f t="shared" si="7"/>
        <v>1.2519264842412106E-2</v>
      </c>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row>
    <row r="157" spans="1:35" s="1" customFormat="1" x14ac:dyDescent="0.2">
      <c r="A157"/>
      <c r="B157"/>
      <c r="C157"/>
      <c r="D157"/>
      <c r="E157" s="46"/>
      <c r="F157" s="103">
        <f t="shared" si="7"/>
        <v>0</v>
      </c>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row>
    <row r="158" spans="1:35" s="1" customFormat="1" x14ac:dyDescent="0.2">
      <c r="A158"/>
      <c r="B158"/>
      <c r="C158"/>
      <c r="D158"/>
      <c r="E158" s="1135">
        <f>SUM(E154:E156)</f>
        <v>8874.83</v>
      </c>
      <c r="F158" s="103">
        <f t="shared" si="7"/>
        <v>0.58477024842833802</v>
      </c>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row>
    <row r="159" spans="1:35" s="1" customFormat="1" x14ac:dyDescent="0.2">
      <c r="A159" t="s">
        <v>574</v>
      </c>
      <c r="B159"/>
      <c r="C159"/>
      <c r="D159"/>
      <c r="E159" s="486">
        <f>'Var Bewässerung'!H101</f>
        <v>2560.9</v>
      </c>
      <c r="F159" s="103">
        <f t="shared" si="7"/>
        <v>0.1687399228154377</v>
      </c>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row>
    <row r="160" spans="1:35" s="1" customFormat="1" x14ac:dyDescent="0.2">
      <c r="A160" t="s">
        <v>575</v>
      </c>
      <c r="B160" s="10"/>
      <c r="C160"/>
      <c r="D160"/>
      <c r="E160" s="486">
        <f>'Var Bewässerung'!H102</f>
        <v>3740.8800000000006</v>
      </c>
      <c r="F160" s="103">
        <f t="shared" si="7"/>
        <v>0.24648982875622424</v>
      </c>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row>
    <row r="161" spans="1:41" s="78" customFormat="1" ht="18" x14ac:dyDescent="0.25">
      <c r="A161" s="1161" t="s">
        <v>576</v>
      </c>
      <c r="B161" s="1147"/>
      <c r="C161" s="1149"/>
      <c r="D161" s="1164">
        <f>'Var Vorgaben'!C186</f>
        <v>1</v>
      </c>
      <c r="E161" s="1163">
        <f>E158+E159+E160</f>
        <v>15176.61</v>
      </c>
      <c r="F161" s="352">
        <f>E161/E161</f>
        <v>1</v>
      </c>
      <c r="H161" s="1140"/>
      <c r="I161" s="1140"/>
      <c r="J161" s="1140"/>
      <c r="K161" s="1140"/>
      <c r="L161" s="1140"/>
      <c r="M161" s="1140"/>
      <c r="N161" s="1140"/>
      <c r="O161" s="1140"/>
      <c r="P161" s="1140"/>
      <c r="Q161" s="1140"/>
      <c r="R161" s="1140"/>
      <c r="S161" s="1140"/>
      <c r="T161" s="1140"/>
      <c r="U161" s="1140"/>
      <c r="V161" s="1140"/>
      <c r="W161" s="1140"/>
      <c r="X161" s="1140"/>
      <c r="Y161" s="1140"/>
      <c r="Z161" s="1140"/>
      <c r="AA161" s="1140"/>
      <c r="AB161" s="1140"/>
      <c r="AC161" s="1140"/>
      <c r="AD161" s="1140"/>
      <c r="AE161" s="1140"/>
      <c r="AF161" s="1140"/>
      <c r="AG161" s="1140"/>
      <c r="AH161" s="1140"/>
      <c r="AI161" s="1140"/>
    </row>
    <row r="162" spans="1:41" s="1" customFormat="1" x14ac:dyDescent="0.2">
      <c r="A162"/>
      <c r="B162"/>
      <c r="C162"/>
      <c r="D162"/>
      <c r="E162"/>
      <c r="F162"/>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row>
    <row r="163" spans="1:41" s="1" customFormat="1" ht="18" x14ac:dyDescent="0.25">
      <c r="A163" s="1161" t="s">
        <v>629</v>
      </c>
      <c r="B163" s="1147"/>
      <c r="C163" s="200"/>
      <c r="D163" s="200"/>
      <c r="E163" s="1164">
        <f>IF(E169+E170+E164=0,1,0)</f>
        <v>0</v>
      </c>
      <c r="F163" s="1163">
        <f>E111+E137</f>
        <v>48367.323666666671</v>
      </c>
      <c r="G163" s="1163">
        <f>E163*F163</f>
        <v>0</v>
      </c>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row>
    <row r="164" spans="1:41" s="1" customFormat="1" ht="18" x14ac:dyDescent="0.25">
      <c r="A164" s="1161" t="s">
        <v>630</v>
      </c>
      <c r="B164" s="1147"/>
      <c r="C164" s="1210"/>
      <c r="D164" s="1210"/>
      <c r="E164" s="1164">
        <f>IF(E166+E168=1,0,'Var Vorgaben'!C187)</f>
        <v>1</v>
      </c>
      <c r="F164" s="1163">
        <f>D149*E149+D161*E161+E137+E111</f>
        <v>63543.933666666664</v>
      </c>
      <c r="G164" s="1163">
        <f>F164*E164</f>
        <v>63543.933666666664</v>
      </c>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row>
    <row r="165" spans="1:41" s="1" customFormat="1" ht="18" x14ac:dyDescent="0.25">
      <c r="A165" s="1161" t="s">
        <v>625</v>
      </c>
      <c r="B165" s="1147"/>
      <c r="C165" s="200"/>
      <c r="D165" s="200"/>
      <c r="E165" s="1164">
        <f>IF('Var Vorgaben'!C187=1,0,'Var Vorgaben'!C177)</f>
        <v>0</v>
      </c>
      <c r="F165" s="1163">
        <f>E112+E137</f>
        <v>70709.278666666665</v>
      </c>
      <c r="G165" s="1163">
        <f>E165*F165</f>
        <v>0</v>
      </c>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row>
    <row r="166" spans="1:41" s="1" customFormat="1" ht="18" x14ac:dyDescent="0.25">
      <c r="A166" s="1161" t="s">
        <v>626</v>
      </c>
      <c r="B166" s="1147"/>
      <c r="C166" s="200"/>
      <c r="D166" s="200"/>
      <c r="E166" s="1164">
        <f>IF('Var Vorgaben'!C190=2,1,0)</f>
        <v>0</v>
      </c>
      <c r="F166" s="1163">
        <f>D149*E149+D161*E161+E112</f>
        <v>79556.801999999996</v>
      </c>
      <c r="G166" s="1163">
        <f>E166*F166</f>
        <v>0</v>
      </c>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row>
    <row r="167" spans="1:41" s="1" customFormat="1" ht="18" x14ac:dyDescent="0.25">
      <c r="A167" s="1161" t="s">
        <v>627</v>
      </c>
      <c r="B167" s="1147"/>
      <c r="C167" s="200"/>
      <c r="D167" s="200"/>
      <c r="E167" s="1164">
        <f>IF('Var Vorgaben'!C187=1,0,'Var Vorgaben'!C181)</f>
        <v>0</v>
      </c>
      <c r="F167" s="1163">
        <f>SUM(E137,E114)</f>
        <v>111957.19326666667</v>
      </c>
      <c r="G167" s="1163">
        <f>E167*F167</f>
        <v>0</v>
      </c>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row>
    <row r="168" spans="1:41" s="78" customFormat="1" ht="18" x14ac:dyDescent="0.25">
      <c r="A168" s="1161" t="s">
        <v>628</v>
      </c>
      <c r="B168" s="1147"/>
      <c r="C168" s="200"/>
      <c r="D168" s="200"/>
      <c r="E168" s="1164">
        <f>IF('Var Vorgaben'!C192=2,1,0)</f>
        <v>0</v>
      </c>
      <c r="F168" s="1163">
        <f>D161*E161+D149*E149+E114</f>
        <v>120804.7166</v>
      </c>
      <c r="G168" s="1163">
        <f>E168*F168</f>
        <v>0</v>
      </c>
      <c r="H168" s="1140"/>
      <c r="I168" s="1140"/>
      <c r="J168" s="1140"/>
      <c r="K168" s="1140"/>
      <c r="L168" s="1140"/>
      <c r="M168" s="1140"/>
      <c r="N168" s="1140"/>
      <c r="O168" s="1140"/>
      <c r="P168" s="1140"/>
      <c r="Q168" s="1140"/>
      <c r="R168" s="1140"/>
      <c r="S168" s="1140"/>
      <c r="T168" s="1140"/>
      <c r="U168" s="1140"/>
      <c r="V168" s="1140"/>
      <c r="W168" s="1140"/>
      <c r="X168" s="1140"/>
      <c r="Y168" s="1140"/>
      <c r="Z168" s="1140"/>
      <c r="AA168" s="1140"/>
      <c r="AB168" s="1140"/>
      <c r="AC168" s="1140"/>
      <c r="AD168" s="1140"/>
      <c r="AE168" s="1140"/>
      <c r="AF168" s="1140"/>
      <c r="AG168" s="1140"/>
      <c r="AH168" s="1140"/>
      <c r="AI168" s="1140"/>
    </row>
    <row r="169" spans="1:41" s="1" customFormat="1" x14ac:dyDescent="0.2">
      <c r="A169"/>
      <c r="D169" s="54" t="s">
        <v>372</v>
      </c>
      <c r="E169" s="121">
        <f>SUM(E165:E166)</f>
        <v>0</v>
      </c>
      <c r="G169"/>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row>
    <row r="170" spans="1:41" s="1" customFormat="1" x14ac:dyDescent="0.2">
      <c r="A170"/>
      <c r="D170" s="54" t="s">
        <v>431</v>
      </c>
      <c r="E170" s="121">
        <f>SUM(E167:E168)</f>
        <v>0</v>
      </c>
      <c r="G170"/>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row>
    <row r="171" spans="1:41" s="1" customFormat="1" ht="18" x14ac:dyDescent="0.25">
      <c r="A171" s="1161" t="s">
        <v>578</v>
      </c>
      <c r="B171" s="1165"/>
      <c r="C171" s="1165"/>
      <c r="D171" s="1165"/>
      <c r="E171" s="1165"/>
      <c r="F171" s="1165"/>
      <c r="G171" s="1163">
        <f>SUM(G163:G168)</f>
        <v>63543.933666666664</v>
      </c>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row>
    <row r="172" spans="1:41" s="1" customFormat="1" x14ac:dyDescent="0.2">
      <c r="A172"/>
      <c r="B172"/>
      <c r="C172"/>
      <c r="D172"/>
      <c r="E172"/>
      <c r="F172"/>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row>
    <row r="173" spans="1:41" s="1" customFormat="1" x14ac:dyDescent="0.2">
      <c r="A173"/>
      <c r="B173"/>
      <c r="C173"/>
      <c r="D173"/>
      <c r="E173"/>
      <c r="F173"/>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row>
    <row r="174" spans="1:41" s="1" customFormat="1" x14ac:dyDescent="0.2">
      <c r="A174"/>
      <c r="B174"/>
      <c r="C174"/>
      <c r="D174"/>
      <c r="E174"/>
      <c r="F174"/>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row>
    <row r="175" spans="1:41" s="1" customFormat="1" x14ac:dyDescent="0.2">
      <c r="A175"/>
      <c r="B175"/>
      <c r="C175"/>
      <c r="D175"/>
      <c r="E175"/>
      <c r="F175"/>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row>
    <row r="176" spans="1:41" s="1" customFormat="1" x14ac:dyDescent="0.2">
      <c r="A176"/>
      <c r="B176"/>
      <c r="C176"/>
      <c r="D176"/>
      <c r="E176"/>
      <c r="F176"/>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row>
    <row r="177" spans="1:41" s="1" customFormat="1" x14ac:dyDescent="0.2">
      <c r="A177"/>
      <c r="B177"/>
      <c r="C177"/>
      <c r="D177"/>
      <c r="E177"/>
      <c r="F177"/>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row>
    <row r="178" spans="1:41" s="1" customFormat="1" x14ac:dyDescent="0.2">
      <c r="A178"/>
      <c r="B178"/>
      <c r="C178"/>
      <c r="D178"/>
      <c r="E178"/>
      <c r="F178"/>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row>
    <row r="179" spans="1:41" s="1" customFormat="1" x14ac:dyDescent="0.2">
      <c r="A179"/>
      <c r="B179"/>
      <c r="C179"/>
      <c r="D179"/>
      <c r="E179"/>
      <c r="F179"/>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row>
    <row r="180" spans="1:41" s="1" customFormat="1" x14ac:dyDescent="0.2">
      <c r="A180"/>
      <c r="B180"/>
      <c r="C180"/>
      <c r="D180"/>
      <c r="E180"/>
      <c r="F180"/>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row>
    <row r="181" spans="1:41" s="1" customFormat="1" x14ac:dyDescent="0.2">
      <c r="A181"/>
      <c r="B181"/>
      <c r="C181"/>
      <c r="D181"/>
      <c r="E181"/>
      <c r="F18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row>
    <row r="182" spans="1:41" s="1" customFormat="1" x14ac:dyDescent="0.2">
      <c r="A182"/>
      <c r="B182"/>
      <c r="C182"/>
      <c r="D182"/>
      <c r="E182"/>
      <c r="F182"/>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row>
    <row r="183" spans="1:41" s="1" customFormat="1" x14ac:dyDescent="0.2">
      <c r="A183"/>
      <c r="B183"/>
      <c r="C183"/>
      <c r="D183"/>
      <c r="E183"/>
      <c r="F183"/>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row>
    <row r="184" spans="1:41" s="1" customFormat="1" x14ac:dyDescent="0.2">
      <c r="A184"/>
      <c r="B184"/>
      <c r="C184"/>
      <c r="D184"/>
      <c r="E184"/>
      <c r="F184"/>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row>
    <row r="185" spans="1:41" s="1" customFormat="1" x14ac:dyDescent="0.2">
      <c r="A185"/>
      <c r="B185"/>
      <c r="C185"/>
      <c r="D185"/>
      <c r="E185"/>
      <c r="F185"/>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row>
    <row r="186" spans="1:41" s="1" customFormat="1" x14ac:dyDescent="0.2">
      <c r="A186"/>
      <c r="B186"/>
      <c r="C186"/>
      <c r="D186"/>
      <c r="E186"/>
      <c r="F186"/>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row>
    <row r="187" spans="1:41" s="1" customFormat="1" x14ac:dyDescent="0.2">
      <c r="A187"/>
      <c r="B187"/>
      <c r="C187"/>
      <c r="D187"/>
      <c r="E187"/>
      <c r="F187"/>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row>
    <row r="188" spans="1:41" s="1" customFormat="1" x14ac:dyDescent="0.2">
      <c r="A188"/>
      <c r="B188"/>
      <c r="C188"/>
      <c r="D188"/>
      <c r="E188"/>
      <c r="F188"/>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row>
    <row r="189" spans="1:41" s="1" customFormat="1" x14ac:dyDescent="0.2">
      <c r="A189"/>
      <c r="B189"/>
      <c r="C189"/>
      <c r="D189"/>
      <c r="E189"/>
      <c r="F189"/>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row>
    <row r="190" spans="1:41" s="1" customFormat="1" x14ac:dyDescent="0.2">
      <c r="A190"/>
      <c r="B190"/>
      <c r="C190"/>
      <c r="D190"/>
      <c r="E190"/>
      <c r="F190"/>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row>
    <row r="191" spans="1:41" s="1" customFormat="1" x14ac:dyDescent="0.2">
      <c r="A191"/>
      <c r="B191"/>
      <c r="C191"/>
      <c r="D191"/>
      <c r="E191"/>
      <c r="F19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row>
    <row r="192" spans="1:41" s="1" customFormat="1" x14ac:dyDescent="0.2">
      <c r="A192"/>
      <c r="B192"/>
      <c r="C192"/>
      <c r="D192"/>
      <c r="E192"/>
      <c r="F192"/>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row>
  </sheetData>
  <mergeCells count="8">
    <mergeCell ref="A65:A67"/>
    <mergeCell ref="B4:G4"/>
    <mergeCell ref="A11:A14"/>
    <mergeCell ref="A17:A27"/>
    <mergeCell ref="A30:A34"/>
    <mergeCell ref="A42:A55"/>
    <mergeCell ref="A58:A62"/>
    <mergeCell ref="A37:A39"/>
  </mergeCells>
  <phoneticPr fontId="23" type="noConversion"/>
  <printOptions gridLines="1" gridLinesSet="0"/>
  <pageMargins left="0.78740157480314965" right="0.39370078740157483" top="0.59055118110236227" bottom="0.39370078740157483" header="0.51181102362204722" footer="0.51181102362204722"/>
  <pageSetup paperSize="9" scale="60" orientation="portrait" r:id="rId1"/>
  <headerFooter alignWithMargins="0">
    <oddFooter>&amp;L&amp;6Arbokost Zwetschgen 2005 - Variante&amp;C&amp;6&amp;A  &amp;D&amp;R&amp;6Matthias Zürcher, Yvonne Leuenberger</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Var1_16Standjahre">
    <tabColor indexed="17"/>
  </sheetPr>
  <dimension ref="A1:IV161"/>
  <sheetViews>
    <sheetView topLeftCell="CO7" zoomScale="75" workbookViewId="0">
      <selection activeCell="BG36" sqref="BG36:BG37"/>
    </sheetView>
  </sheetViews>
  <sheetFormatPr baseColWidth="10" defaultColWidth="11.42578125" defaultRowHeight="12.75" x14ac:dyDescent="0.2"/>
  <cols>
    <col min="1" max="1" width="37.5703125" style="49" customWidth="1"/>
    <col min="2" max="2" width="25.7109375" style="64" customWidth="1"/>
    <col min="3" max="3" width="17.28515625" style="120" customWidth="1"/>
    <col min="4" max="4" width="12.7109375" style="120" customWidth="1"/>
    <col min="5" max="5" width="13.28515625" style="482" customWidth="1"/>
    <col min="6" max="6" width="17.5703125" style="483" customWidth="1"/>
    <col min="7" max="7" width="10.28515625" style="120" customWidth="1"/>
    <col min="8" max="8" width="37.5703125" style="120" customWidth="1"/>
    <col min="9" max="9" width="25.7109375" style="120" customWidth="1"/>
    <col min="10" max="10" width="17.28515625" style="64" customWidth="1"/>
    <col min="11" max="11" width="12.7109375" style="64" customWidth="1"/>
    <col min="12" max="12" width="13.28515625" style="64" customWidth="1"/>
    <col min="13" max="13" width="17.42578125" style="64" customWidth="1"/>
    <col min="14" max="14" width="9.28515625" style="64" customWidth="1"/>
    <col min="15" max="15" width="37.42578125" style="64" customWidth="1"/>
    <col min="16" max="16" width="25.7109375" style="64" customWidth="1"/>
    <col min="17" max="17" width="17.28515625" style="64" customWidth="1"/>
    <col min="18" max="18" width="12.7109375" style="487" customWidth="1"/>
    <col min="19" max="19" width="13.28515625" style="64" customWidth="1"/>
    <col min="20" max="20" width="17.42578125" style="64" customWidth="1"/>
    <col min="21" max="21" width="9.28515625" style="64" customWidth="1"/>
    <col min="22" max="22" width="37.5703125" style="64" customWidth="1"/>
    <col min="23" max="23" width="25.7109375" style="64" customWidth="1"/>
    <col min="24" max="24" width="17.28515625" style="64" customWidth="1"/>
    <col min="25" max="25" width="12.7109375" style="64" customWidth="1"/>
    <col min="26" max="26" width="13.28515625" style="64" customWidth="1"/>
    <col min="27" max="27" width="17.5703125" style="64" customWidth="1"/>
    <col min="28" max="28" width="9.42578125" style="64" customWidth="1"/>
    <col min="29" max="29" width="37.5703125" style="64" customWidth="1"/>
    <col min="30" max="30" width="25.7109375" style="64" customWidth="1"/>
    <col min="31" max="31" width="17.28515625" style="64" customWidth="1"/>
    <col min="32" max="32" width="12.7109375" style="64" customWidth="1"/>
    <col min="33" max="33" width="13.28515625" style="64" customWidth="1"/>
    <col min="34" max="34" width="17.42578125" style="64" customWidth="1"/>
    <col min="35" max="35" width="7.5703125" style="64" customWidth="1"/>
    <col min="36" max="36" width="37.5703125" style="64" customWidth="1"/>
    <col min="37" max="37" width="25.7109375" style="64" customWidth="1"/>
    <col min="38" max="38" width="17.28515625" style="64" customWidth="1"/>
    <col min="39" max="39" width="13" style="64" customWidth="1"/>
    <col min="40" max="40" width="13.28515625" style="64" customWidth="1"/>
    <col min="41" max="41" width="17.42578125" style="64" customWidth="1"/>
    <col min="42" max="42" width="7.5703125" style="64" customWidth="1"/>
    <col min="43" max="43" width="37.5703125" style="64" customWidth="1"/>
    <col min="44" max="44" width="25.7109375" style="64" customWidth="1"/>
    <col min="45" max="45" width="17.28515625" style="64" customWidth="1"/>
    <col min="46" max="46" width="13" style="64" customWidth="1"/>
    <col min="47" max="47" width="13.28515625" style="64" customWidth="1"/>
    <col min="48" max="48" width="17.42578125" style="64" customWidth="1"/>
    <col min="49" max="49" width="7.5703125" style="64" customWidth="1"/>
    <col min="50" max="50" width="37.5703125" style="64" customWidth="1"/>
    <col min="51" max="51" width="25.7109375" style="64" customWidth="1"/>
    <col min="52" max="52" width="17.28515625" style="64" customWidth="1"/>
    <col min="53" max="53" width="12.7109375" style="64" customWidth="1"/>
    <col min="54" max="54" width="13.28515625" style="64" customWidth="1"/>
    <col min="55" max="55" width="17.5703125" style="64" customWidth="1"/>
    <col min="56" max="56" width="7.5703125" style="64" customWidth="1"/>
    <col min="57" max="57" width="37.42578125" style="64" customWidth="1"/>
    <col min="58" max="58" width="25.7109375" style="64" customWidth="1"/>
    <col min="59" max="59" width="17.28515625" style="64" customWidth="1"/>
    <col min="60" max="60" width="12.7109375" style="64" customWidth="1"/>
    <col min="61" max="61" width="13.28515625" style="64" customWidth="1"/>
    <col min="62" max="62" width="17.5703125" style="64" customWidth="1"/>
    <col min="63" max="63" width="7.5703125" style="64" customWidth="1"/>
    <col min="64" max="64" width="37.5703125" style="64" customWidth="1"/>
    <col min="65" max="65" width="25.7109375" style="64" customWidth="1"/>
    <col min="66" max="66" width="17.28515625" style="64" customWidth="1"/>
    <col min="67" max="67" width="12.7109375" style="64" customWidth="1"/>
    <col min="68" max="68" width="13.28515625" style="64" customWidth="1"/>
    <col min="69" max="69" width="17.5703125" style="64" customWidth="1"/>
    <col min="70" max="70" width="7.5703125" style="64" customWidth="1"/>
    <col min="71" max="71" width="37.5703125" style="64" customWidth="1"/>
    <col min="72" max="72" width="25.7109375" style="64" customWidth="1"/>
    <col min="73" max="73" width="17.28515625" style="64" customWidth="1"/>
    <col min="74" max="74" width="13" style="64" customWidth="1"/>
    <col min="75" max="75" width="13.28515625" style="64" customWidth="1"/>
    <col min="76" max="76" width="17.5703125" style="64" customWidth="1"/>
    <col min="77" max="77" width="7.5703125" style="64" customWidth="1"/>
    <col min="78" max="78" width="37.42578125" style="64" customWidth="1"/>
    <col min="79" max="79" width="25.7109375" style="64" customWidth="1"/>
    <col min="80" max="80" width="17" style="64" customWidth="1"/>
    <col min="81" max="81" width="13" style="64" customWidth="1"/>
    <col min="82" max="82" width="13.28515625" style="64" customWidth="1"/>
    <col min="83" max="83" width="17.5703125" style="64" customWidth="1"/>
    <col min="84" max="84" width="7.5703125" style="64" customWidth="1"/>
    <col min="85" max="85" width="37.42578125" style="64" customWidth="1"/>
    <col min="86" max="86" width="25.7109375" style="64" customWidth="1"/>
    <col min="87" max="87" width="17.28515625" style="64" customWidth="1"/>
    <col min="88" max="88" width="12.7109375" style="64" customWidth="1"/>
    <col min="89" max="89" width="13.28515625" style="64" customWidth="1"/>
    <col min="90" max="90" width="17.42578125" style="64" customWidth="1"/>
    <col min="91" max="91" width="7.5703125" style="64" customWidth="1"/>
    <col min="92" max="92" width="37.42578125" style="64" customWidth="1"/>
    <col min="93" max="93" width="25.7109375" style="64" customWidth="1"/>
    <col min="94" max="94" width="17.28515625" style="64" customWidth="1"/>
    <col min="95" max="95" width="13" style="64" customWidth="1"/>
    <col min="96" max="96" width="13.28515625" style="64" customWidth="1"/>
    <col min="97" max="97" width="17.5703125" style="64" customWidth="1"/>
    <col min="98" max="98" width="7.5703125" style="64" customWidth="1"/>
    <col min="99" max="99" width="37.42578125" style="64" customWidth="1"/>
    <col min="100" max="100" width="25.5703125" style="64" customWidth="1"/>
    <col min="101" max="101" width="17.28515625" style="64" customWidth="1"/>
    <col min="102" max="102" width="12.7109375" style="64" customWidth="1"/>
    <col min="103" max="103" width="13.28515625" style="64" customWidth="1"/>
    <col min="104" max="104" width="17.5703125" style="64" customWidth="1"/>
    <col min="105" max="105" width="10.140625" style="75" customWidth="1"/>
    <col min="106" max="106" width="37.42578125" style="64" customWidth="1"/>
    <col min="107" max="107" width="25.7109375" style="64" customWidth="1"/>
    <col min="108" max="108" width="17.28515625" style="64" customWidth="1"/>
    <col min="109" max="109" width="12.7109375" style="64" customWidth="1"/>
    <col min="110" max="110" width="13.28515625" style="64" customWidth="1"/>
    <col min="111" max="111" width="17.42578125" style="64" customWidth="1"/>
    <col min="112" max="112" width="7.5703125" style="75" customWidth="1"/>
    <col min="113" max="16384" width="11.42578125" style="64"/>
  </cols>
  <sheetData>
    <row r="1" spans="1:113" ht="26.25" x14ac:dyDescent="0.4">
      <c r="A1" s="199" t="str">
        <f>'Standard Vorgaben'!$A$1</f>
        <v>Arbokost 2023</v>
      </c>
      <c r="B1" s="626" t="str">
        <f>'Var Erstellung'!$B$1</f>
        <v>Tafelzwetschge</v>
      </c>
      <c r="C1" s="627"/>
      <c r="D1" s="627"/>
      <c r="E1" s="628"/>
      <c r="F1" s="629"/>
      <c r="G1" s="627"/>
      <c r="H1" s="627"/>
      <c r="I1" s="627"/>
      <c r="J1" s="621"/>
      <c r="K1" s="621"/>
      <c r="L1" s="621"/>
      <c r="M1" s="621"/>
      <c r="N1" s="621"/>
      <c r="O1" s="621"/>
      <c r="P1" s="621"/>
      <c r="Q1" s="621"/>
      <c r="R1" s="633"/>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1"/>
      <c r="AY1" s="621"/>
      <c r="AZ1" s="621"/>
      <c r="BA1" s="621"/>
      <c r="BB1" s="621"/>
      <c r="BC1" s="621"/>
      <c r="BD1" s="621"/>
      <c r="BE1" s="621"/>
      <c r="BF1" s="621"/>
      <c r="BG1" s="621"/>
      <c r="BH1" s="621"/>
      <c r="BI1" s="621"/>
      <c r="BJ1" s="621"/>
      <c r="BK1" s="621"/>
      <c r="BL1" s="621"/>
      <c r="BM1" s="621"/>
      <c r="BN1" s="621"/>
      <c r="BO1" s="621"/>
      <c r="BP1" s="621"/>
      <c r="BQ1" s="621"/>
      <c r="BR1" s="621"/>
      <c r="BS1" s="621"/>
      <c r="BT1" s="621"/>
      <c r="BU1" s="621"/>
      <c r="BV1" s="621"/>
      <c r="BW1" s="621"/>
      <c r="BX1" s="621"/>
      <c r="BY1" s="621"/>
      <c r="BZ1" s="621"/>
      <c r="CA1" s="621"/>
      <c r="CB1" s="621"/>
      <c r="CC1" s="621"/>
      <c r="CD1" s="621"/>
      <c r="CE1" s="621"/>
      <c r="CF1" s="621"/>
      <c r="CG1" s="621"/>
      <c r="CH1" s="621"/>
      <c r="CI1" s="621"/>
      <c r="CJ1" s="621"/>
      <c r="CK1" s="621"/>
      <c r="CL1" s="621"/>
      <c r="CM1" s="621"/>
      <c r="CN1" s="621"/>
      <c r="CO1" s="621"/>
      <c r="CP1" s="621"/>
      <c r="CQ1" s="621"/>
      <c r="CR1" s="621"/>
      <c r="CS1" s="621"/>
      <c r="CT1" s="621"/>
      <c r="CU1" s="621"/>
      <c r="CV1" s="621"/>
      <c r="CW1" s="621"/>
      <c r="CX1" s="621"/>
      <c r="CY1" s="621"/>
      <c r="CZ1" s="621"/>
      <c r="DA1" s="563"/>
      <c r="DB1" s="621"/>
      <c r="DC1" s="621"/>
      <c r="DD1" s="621"/>
      <c r="DE1" s="621"/>
      <c r="DF1" s="621"/>
      <c r="DG1" s="621"/>
      <c r="DH1" s="563"/>
    </row>
    <row r="2" spans="1:113" ht="8.25" customHeight="1" x14ac:dyDescent="0.6">
      <c r="A2" s="630"/>
      <c r="B2" s="626"/>
      <c r="C2" s="627"/>
      <c r="D2" s="627"/>
      <c r="E2" s="628"/>
      <c r="F2" s="629"/>
      <c r="G2" s="627"/>
      <c r="H2" s="627"/>
      <c r="I2" s="627"/>
      <c r="J2" s="621"/>
      <c r="K2" s="621"/>
      <c r="L2" s="621"/>
      <c r="M2" s="621"/>
      <c r="N2" s="621"/>
      <c r="O2" s="621"/>
      <c r="P2" s="621"/>
      <c r="Q2" s="621"/>
      <c r="R2" s="633"/>
      <c r="S2" s="621"/>
      <c r="T2" s="621"/>
      <c r="U2" s="621"/>
      <c r="V2" s="621"/>
      <c r="W2" s="621"/>
      <c r="X2" s="621"/>
      <c r="Y2" s="621"/>
      <c r="Z2" s="621"/>
      <c r="AA2" s="621"/>
      <c r="AB2" s="621"/>
      <c r="AC2" s="621"/>
      <c r="AD2" s="621"/>
      <c r="AE2" s="621"/>
      <c r="AF2" s="621"/>
      <c r="AG2" s="621"/>
      <c r="AH2" s="621"/>
      <c r="AI2" s="621"/>
      <c r="AJ2" s="621"/>
      <c r="AK2" s="621"/>
      <c r="AL2" s="621"/>
      <c r="AM2" s="621"/>
      <c r="AN2" s="621"/>
      <c r="AO2" s="621"/>
      <c r="AP2" s="621"/>
      <c r="AQ2" s="621"/>
      <c r="AR2" s="621"/>
      <c r="AS2" s="621"/>
      <c r="AT2" s="621"/>
      <c r="AU2" s="621"/>
      <c r="AV2" s="621"/>
      <c r="AW2" s="621"/>
      <c r="AX2" s="621"/>
      <c r="AY2" s="621"/>
      <c r="AZ2" s="621"/>
      <c r="BA2" s="621"/>
      <c r="BB2" s="621"/>
      <c r="BC2" s="621"/>
      <c r="BD2" s="621"/>
      <c r="BE2" s="621"/>
      <c r="BF2" s="621"/>
      <c r="BG2" s="621"/>
      <c r="BH2" s="621"/>
      <c r="BI2" s="621"/>
      <c r="BJ2" s="621"/>
      <c r="BK2" s="621"/>
      <c r="BL2" s="621"/>
      <c r="BM2" s="621"/>
      <c r="BN2" s="621"/>
      <c r="BO2" s="621"/>
      <c r="BP2" s="621"/>
      <c r="BQ2" s="621"/>
      <c r="BR2" s="621"/>
      <c r="BS2" s="621"/>
      <c r="BT2" s="621"/>
      <c r="BU2" s="621"/>
      <c r="BV2" s="621"/>
      <c r="BW2" s="621"/>
      <c r="BX2" s="621"/>
      <c r="BY2" s="621"/>
      <c r="BZ2" s="621"/>
      <c r="CA2" s="621"/>
      <c r="CB2" s="621"/>
      <c r="CC2" s="621"/>
      <c r="CD2" s="621"/>
      <c r="CE2" s="621"/>
      <c r="CF2" s="621"/>
      <c r="CG2" s="621"/>
      <c r="CH2" s="621"/>
      <c r="CI2" s="621"/>
      <c r="CJ2" s="621"/>
      <c r="CK2" s="621"/>
      <c r="CL2" s="621"/>
      <c r="CM2" s="621"/>
      <c r="CN2" s="621"/>
      <c r="CO2" s="621"/>
      <c r="CP2" s="621"/>
      <c r="CQ2" s="621"/>
      <c r="CR2" s="621"/>
      <c r="CS2" s="621"/>
      <c r="CT2" s="621"/>
      <c r="CU2" s="621"/>
      <c r="CV2" s="621"/>
      <c r="CW2" s="621"/>
      <c r="CX2" s="621"/>
      <c r="CY2" s="621"/>
      <c r="CZ2" s="621"/>
      <c r="DA2" s="563"/>
      <c r="DB2" s="621"/>
      <c r="DC2" s="621"/>
      <c r="DD2" s="621"/>
      <c r="DE2" s="621"/>
      <c r="DF2" s="621"/>
      <c r="DG2" s="621"/>
      <c r="DH2" s="563"/>
    </row>
    <row r="3" spans="1:113" ht="5.25" customHeight="1" x14ac:dyDescent="0.2">
      <c r="A3" s="615"/>
      <c r="B3" s="621"/>
      <c r="C3" s="627"/>
      <c r="D3" s="627"/>
      <c r="E3" s="628"/>
      <c r="F3" s="629"/>
      <c r="G3" s="627"/>
      <c r="H3" s="627"/>
      <c r="I3" s="627"/>
      <c r="J3" s="621"/>
      <c r="K3" s="621"/>
      <c r="L3" s="621"/>
      <c r="M3" s="621"/>
      <c r="N3" s="621"/>
      <c r="O3" s="621"/>
      <c r="P3" s="621"/>
      <c r="Q3" s="621"/>
      <c r="R3" s="633"/>
      <c r="S3" s="621"/>
      <c r="T3" s="621"/>
      <c r="U3" s="621"/>
      <c r="V3" s="621"/>
      <c r="W3" s="621"/>
      <c r="X3" s="621"/>
      <c r="Y3" s="621"/>
      <c r="Z3" s="621"/>
      <c r="AA3" s="621"/>
      <c r="AB3" s="621"/>
      <c r="AC3" s="621"/>
      <c r="AD3" s="621"/>
      <c r="AE3" s="621"/>
      <c r="AF3" s="621"/>
      <c r="AG3" s="621"/>
      <c r="AH3" s="621"/>
      <c r="AI3" s="621"/>
      <c r="AJ3" s="621"/>
      <c r="AK3" s="621"/>
      <c r="AL3" s="621"/>
      <c r="AM3" s="621"/>
      <c r="AN3" s="621"/>
      <c r="AO3" s="621"/>
      <c r="AP3" s="621"/>
      <c r="AQ3" s="621"/>
      <c r="AR3" s="621"/>
      <c r="AS3" s="621"/>
      <c r="AT3" s="621"/>
      <c r="AU3" s="621"/>
      <c r="AV3" s="621"/>
      <c r="AW3" s="621"/>
      <c r="AX3" s="621"/>
      <c r="AY3" s="621"/>
      <c r="AZ3" s="621"/>
      <c r="BA3" s="621"/>
      <c r="BB3" s="621"/>
      <c r="BC3" s="621"/>
      <c r="BD3" s="621"/>
      <c r="BE3" s="621"/>
      <c r="BF3" s="621"/>
      <c r="BG3" s="621"/>
      <c r="BH3" s="621"/>
      <c r="BI3" s="621"/>
      <c r="BJ3" s="621"/>
      <c r="BK3" s="621"/>
      <c r="BL3" s="621"/>
      <c r="BM3" s="621"/>
      <c r="BN3" s="621"/>
      <c r="BO3" s="621"/>
      <c r="BP3" s="621"/>
      <c r="BQ3" s="621"/>
      <c r="BR3" s="621"/>
      <c r="BS3" s="621"/>
      <c r="BT3" s="621"/>
      <c r="BU3" s="621"/>
      <c r="BV3" s="621"/>
      <c r="BW3" s="621"/>
      <c r="BX3" s="621"/>
      <c r="BY3" s="621"/>
      <c r="BZ3" s="621"/>
      <c r="CA3" s="621"/>
      <c r="CB3" s="621"/>
      <c r="CC3" s="621"/>
      <c r="CD3" s="621"/>
      <c r="CE3" s="621"/>
      <c r="CF3" s="621"/>
      <c r="CG3" s="621"/>
      <c r="CH3" s="621"/>
      <c r="CI3" s="621"/>
      <c r="CJ3" s="621"/>
      <c r="CK3" s="621"/>
      <c r="CL3" s="621"/>
      <c r="CM3" s="621"/>
      <c r="CN3" s="621"/>
      <c r="CO3" s="621"/>
      <c r="CP3" s="621"/>
      <c r="CQ3" s="621"/>
      <c r="CR3" s="621"/>
      <c r="CS3" s="621"/>
      <c r="CT3" s="621"/>
      <c r="CU3" s="621"/>
      <c r="CV3" s="621"/>
      <c r="CW3" s="621"/>
      <c r="CX3" s="621"/>
      <c r="CY3" s="621"/>
      <c r="CZ3" s="621"/>
      <c r="DA3" s="563"/>
      <c r="DB3" s="621"/>
      <c r="DC3" s="621"/>
      <c r="DD3" s="621"/>
      <c r="DE3" s="621"/>
      <c r="DF3" s="621"/>
      <c r="DG3" s="621"/>
      <c r="DH3" s="563"/>
    </row>
    <row r="4" spans="1:113" s="637" customFormat="1" ht="20.25" x14ac:dyDescent="0.3">
      <c r="A4" s="620" t="s">
        <v>324</v>
      </c>
      <c r="B4" s="625"/>
      <c r="C4" s="638"/>
      <c r="D4" s="638"/>
      <c r="E4" s="638"/>
      <c r="F4" s="638"/>
      <c r="G4" s="625"/>
      <c r="H4" s="620" t="s">
        <v>324</v>
      </c>
      <c r="I4" s="626" t="str">
        <f>'Var Erstellung'!$B$1</f>
        <v>Tafelzwetschge</v>
      </c>
      <c r="J4" s="638"/>
      <c r="K4" s="638"/>
      <c r="L4" s="638"/>
      <c r="M4" s="638"/>
      <c r="N4" s="625"/>
      <c r="O4" s="620" t="s">
        <v>324</v>
      </c>
      <c r="P4" s="626" t="str">
        <f>'Var Erstellung'!$B$1</f>
        <v>Tafelzwetschge</v>
      </c>
      <c r="Q4" s="638"/>
      <c r="R4" s="638"/>
      <c r="S4" s="638"/>
      <c r="T4" s="638"/>
      <c r="U4" s="625"/>
      <c r="V4" s="620" t="s">
        <v>324</v>
      </c>
      <c r="W4" s="626" t="str">
        <f>'Var Erstellung'!$B$1</f>
        <v>Tafelzwetschge</v>
      </c>
      <c r="X4" s="638"/>
      <c r="Y4" s="638"/>
      <c r="Z4" s="638"/>
      <c r="AA4" s="638"/>
      <c r="AB4" s="638"/>
      <c r="AC4" s="620" t="s">
        <v>324</v>
      </c>
      <c r="AD4" s="626" t="str">
        <f>'Var Erstellung'!$B$1</f>
        <v>Tafelzwetschge</v>
      </c>
      <c r="AE4" s="638"/>
      <c r="AF4" s="638"/>
      <c r="AG4" s="638"/>
      <c r="AH4" s="638"/>
      <c r="AI4" s="625"/>
      <c r="AJ4" s="620" t="s">
        <v>324</v>
      </c>
      <c r="AK4" s="626" t="str">
        <f>'Var Erstellung'!$B$1</f>
        <v>Tafelzwetschge</v>
      </c>
      <c r="AL4" s="639"/>
      <c r="AM4" s="620"/>
      <c r="AN4" s="638"/>
      <c r="AO4" s="620"/>
      <c r="AP4" s="625"/>
      <c r="AQ4" s="620" t="s">
        <v>324</v>
      </c>
      <c r="AR4" s="626" t="str">
        <f>'Var Erstellung'!$B$1</f>
        <v>Tafelzwetschge</v>
      </c>
      <c r="AS4" s="639"/>
      <c r="AT4" s="620"/>
      <c r="AU4" s="638"/>
      <c r="AV4" s="620"/>
      <c r="AW4" s="625"/>
      <c r="AX4" s="620" t="s">
        <v>324</v>
      </c>
      <c r="AY4" s="626" t="str">
        <f>'Var Erstellung'!$B$1</f>
        <v>Tafelzwetschge</v>
      </c>
      <c r="AZ4" s="638"/>
      <c r="BA4" s="638"/>
      <c r="BB4" s="638"/>
      <c r="BC4" s="638"/>
      <c r="BD4" s="638"/>
      <c r="BE4" s="620" t="s">
        <v>324</v>
      </c>
      <c r="BF4" s="626" t="str">
        <f>'Var Erstellung'!$B$1</f>
        <v>Tafelzwetschge</v>
      </c>
      <c r="BG4" s="638"/>
      <c r="BH4" s="638"/>
      <c r="BI4" s="638"/>
      <c r="BJ4" s="638"/>
      <c r="BK4" s="638"/>
      <c r="BL4" s="620" t="s">
        <v>324</v>
      </c>
      <c r="BM4" s="626" t="str">
        <f>'Var Erstellung'!$B$1</f>
        <v>Tafelzwetschge</v>
      </c>
      <c r="BN4" s="638"/>
      <c r="BO4" s="638"/>
      <c r="BP4" s="638"/>
      <c r="BQ4" s="638"/>
      <c r="BR4" s="638"/>
      <c r="BS4" s="620" t="s">
        <v>324</v>
      </c>
      <c r="BT4" s="626" t="str">
        <f>'Var Erstellung'!$B$1</f>
        <v>Tafelzwetschge</v>
      </c>
      <c r="BU4" s="638"/>
      <c r="BV4" s="638"/>
      <c r="BW4" s="638"/>
      <c r="BX4" s="638"/>
      <c r="BY4" s="638"/>
      <c r="BZ4" s="620" t="s">
        <v>324</v>
      </c>
      <c r="CA4" s="626" t="str">
        <f>'Var Erstellung'!$B$1</f>
        <v>Tafelzwetschge</v>
      </c>
      <c r="CB4" s="638"/>
      <c r="CC4" s="638"/>
      <c r="CD4" s="638"/>
      <c r="CE4" s="638"/>
      <c r="CF4" s="638"/>
      <c r="CG4" s="620" t="s">
        <v>324</v>
      </c>
      <c r="CH4" s="626" t="str">
        <f>'Var Erstellung'!$B$1</f>
        <v>Tafelzwetschge</v>
      </c>
      <c r="CI4" s="638"/>
      <c r="CJ4" s="638"/>
      <c r="CK4" s="638"/>
      <c r="CL4" s="638"/>
      <c r="CM4" s="638"/>
      <c r="CN4" s="620" t="s">
        <v>324</v>
      </c>
      <c r="CO4" s="626" t="str">
        <f>'Var Erstellung'!$B$1</f>
        <v>Tafelzwetschge</v>
      </c>
      <c r="CP4" s="638"/>
      <c r="CQ4" s="638"/>
      <c r="CR4" s="638"/>
      <c r="CS4" s="638"/>
      <c r="CT4" s="638"/>
      <c r="CU4" s="620" t="s">
        <v>324</v>
      </c>
      <c r="CV4" s="626" t="str">
        <f>'Var Erstellung'!$B$1</f>
        <v>Tafelzwetschge</v>
      </c>
      <c r="CW4" s="638"/>
      <c r="CX4" s="638"/>
      <c r="CY4" s="638"/>
      <c r="CZ4" s="638"/>
      <c r="DA4" s="638"/>
      <c r="DB4" s="620" t="s">
        <v>324</v>
      </c>
      <c r="DC4" s="626" t="str">
        <f>'Var Erstellung'!$B$1</f>
        <v>Tafelzwetschge</v>
      </c>
      <c r="DD4" s="639"/>
      <c r="DE4" s="638"/>
      <c r="DF4" s="638"/>
      <c r="DG4" s="638"/>
      <c r="DH4" s="638"/>
    </row>
    <row r="5" spans="1:113" s="18" customFormat="1" ht="23.25" customHeight="1" x14ac:dyDescent="0.25">
      <c r="A5" s="340" t="s">
        <v>41</v>
      </c>
      <c r="B5" s="631">
        <f>'Var Erstellung'!$B$2</f>
        <v>1125</v>
      </c>
      <c r="C5" s="632"/>
      <c r="D5" s="632"/>
      <c r="E5" s="632"/>
      <c r="F5" s="632"/>
      <c r="G5" s="2"/>
      <c r="H5" s="340" t="s">
        <v>42</v>
      </c>
      <c r="I5" s="631">
        <f>'Var Vorgaben'!$B$24</f>
        <v>1125</v>
      </c>
      <c r="J5" s="632"/>
      <c r="K5" s="632"/>
      <c r="L5" s="632"/>
      <c r="M5" s="632"/>
      <c r="N5" s="616"/>
      <c r="O5" s="340" t="s">
        <v>43</v>
      </c>
      <c r="P5" s="631">
        <f>'Var Vorgaben'!$B$24</f>
        <v>1125</v>
      </c>
      <c r="Q5" s="632"/>
      <c r="R5" s="632"/>
      <c r="S5" s="632"/>
      <c r="T5" s="632"/>
      <c r="U5" s="616"/>
      <c r="V5" s="340" t="s">
        <v>44</v>
      </c>
      <c r="W5" s="631">
        <f>'Var Vorgaben'!$B$24</f>
        <v>1125</v>
      </c>
      <c r="X5" s="632"/>
      <c r="Y5" s="632"/>
      <c r="Z5" s="632"/>
      <c r="AA5" s="632"/>
      <c r="AB5" s="632"/>
      <c r="AC5" s="340" t="s">
        <v>45</v>
      </c>
      <c r="AD5" s="631">
        <f>'Var Vorgaben'!$B$24</f>
        <v>1125</v>
      </c>
      <c r="AE5" s="632"/>
      <c r="AF5" s="632"/>
      <c r="AG5" s="632"/>
      <c r="AH5" s="632"/>
      <c r="AI5" s="616"/>
      <c r="AJ5" s="340" t="s">
        <v>46</v>
      </c>
      <c r="AK5" s="631">
        <f>'Var Vorgaben'!$B$24</f>
        <v>1125</v>
      </c>
      <c r="AL5" s="641"/>
      <c r="AM5" s="616"/>
      <c r="AN5" s="616"/>
      <c r="AO5" s="616"/>
      <c r="AP5" s="616"/>
      <c r="AQ5" s="340" t="s">
        <v>47</v>
      </c>
      <c r="AR5" s="631">
        <f>'Var Vorgaben'!$B$24</f>
        <v>1125</v>
      </c>
      <c r="AS5" s="641"/>
      <c r="AT5" s="616"/>
      <c r="AU5" s="616"/>
      <c r="AV5" s="616"/>
      <c r="AW5" s="616"/>
      <c r="AX5" s="340" t="s">
        <v>48</v>
      </c>
      <c r="AY5" s="631">
        <f>'Var Vorgaben'!$B$24</f>
        <v>1125</v>
      </c>
      <c r="AZ5" s="632"/>
      <c r="BA5" s="632"/>
      <c r="BB5" s="632"/>
      <c r="BC5" s="632"/>
      <c r="BD5" s="632"/>
      <c r="BE5" s="340" t="s">
        <v>49</v>
      </c>
      <c r="BF5" s="631">
        <f>'Var Vorgaben'!$B$24</f>
        <v>1125</v>
      </c>
      <c r="BG5" s="632"/>
      <c r="BH5" s="632"/>
      <c r="BI5" s="632"/>
      <c r="BJ5" s="632"/>
      <c r="BK5" s="632"/>
      <c r="BL5" s="340" t="s">
        <v>50</v>
      </c>
      <c r="BM5" s="631">
        <f>'Var Vorgaben'!$B$24</f>
        <v>1125</v>
      </c>
      <c r="BN5" s="632"/>
      <c r="BO5" s="632"/>
      <c r="BP5" s="632"/>
      <c r="BQ5" s="632"/>
      <c r="BR5" s="632"/>
      <c r="BS5" s="340" t="s">
        <v>51</v>
      </c>
      <c r="BT5" s="631">
        <f>'Var Vorgaben'!$B$24</f>
        <v>1125</v>
      </c>
      <c r="BU5" s="632"/>
      <c r="BV5" s="632"/>
      <c r="BW5" s="632"/>
      <c r="BX5" s="632"/>
      <c r="BY5" s="632"/>
      <c r="BZ5" s="340" t="s">
        <v>52</v>
      </c>
      <c r="CA5" s="631">
        <f>'Var Vorgaben'!$B$24</f>
        <v>1125</v>
      </c>
      <c r="CB5" s="632"/>
      <c r="CC5" s="632"/>
      <c r="CD5" s="632"/>
      <c r="CE5" s="632"/>
      <c r="CF5" s="632"/>
      <c r="CG5" s="340" t="s">
        <v>53</v>
      </c>
      <c r="CH5" s="631">
        <f>'Var Vorgaben'!$B$24</f>
        <v>1125</v>
      </c>
      <c r="CI5" s="632"/>
      <c r="CJ5" s="632"/>
      <c r="CK5" s="632"/>
      <c r="CL5" s="632"/>
      <c r="CM5" s="632"/>
      <c r="CN5" s="340" t="s">
        <v>54</v>
      </c>
      <c r="CO5" s="631">
        <f>'Var Vorgaben'!$B$24</f>
        <v>1125</v>
      </c>
      <c r="CP5" s="632"/>
      <c r="CQ5" s="632"/>
      <c r="CR5" s="632"/>
      <c r="CS5" s="632"/>
      <c r="CT5" s="632"/>
      <c r="CU5" s="340" t="s">
        <v>55</v>
      </c>
      <c r="CV5" s="631">
        <f>'Var Vorgaben'!$B$24</f>
        <v>1125</v>
      </c>
      <c r="CW5" s="632"/>
      <c r="CX5" s="632"/>
      <c r="CY5" s="632"/>
      <c r="CZ5" s="632"/>
      <c r="DA5" s="632"/>
      <c r="DB5" s="340" t="s">
        <v>154</v>
      </c>
      <c r="DC5" s="631">
        <f>'Var Vorgaben'!$B$24</f>
        <v>1125</v>
      </c>
      <c r="DD5" s="632"/>
      <c r="DE5" s="632"/>
      <c r="DF5" s="632"/>
      <c r="DG5" s="632"/>
      <c r="DH5" s="616"/>
      <c r="DI5" s="467"/>
    </row>
    <row r="6" spans="1:113" ht="21.6" customHeight="1" x14ac:dyDescent="0.25">
      <c r="A6" s="466" t="s">
        <v>347</v>
      </c>
      <c r="B6" s="621"/>
      <c r="C6" s="621"/>
      <c r="D6" s="621"/>
      <c r="E6" s="615"/>
      <c r="F6" s="191" t="s">
        <v>114</v>
      </c>
      <c r="G6" s="616"/>
      <c r="H6" s="466" t="s">
        <v>347</v>
      </c>
      <c r="I6" s="621"/>
      <c r="J6" s="621"/>
      <c r="K6" s="621"/>
      <c r="L6" s="627" t="s">
        <v>114</v>
      </c>
      <c r="M6" s="632"/>
      <c r="N6" s="616"/>
      <c r="O6" s="466" t="s">
        <v>347</v>
      </c>
      <c r="P6" s="621"/>
      <c r="Q6" s="621"/>
      <c r="R6" s="621"/>
      <c r="S6" s="627"/>
      <c r="T6" s="632"/>
      <c r="U6" s="616"/>
      <c r="V6" s="466" t="s">
        <v>347</v>
      </c>
      <c r="W6" s="621"/>
      <c r="X6" s="621"/>
      <c r="Y6" s="621"/>
      <c r="Z6" s="627"/>
      <c r="AA6" s="632"/>
      <c r="AB6" s="616"/>
      <c r="AC6" s="466" t="s">
        <v>347</v>
      </c>
      <c r="AD6" s="621"/>
      <c r="AE6" s="621"/>
      <c r="AF6" s="621"/>
      <c r="AG6" s="627"/>
      <c r="AH6" s="632"/>
      <c r="AI6" s="616"/>
      <c r="AJ6" s="466" t="s">
        <v>347</v>
      </c>
      <c r="AK6" s="621"/>
      <c r="AL6" s="621"/>
      <c r="AM6" s="621"/>
      <c r="AN6" s="627"/>
      <c r="AO6" s="632"/>
      <c r="AP6" s="616"/>
      <c r="AQ6" s="466" t="s">
        <v>347</v>
      </c>
      <c r="AR6" s="621"/>
      <c r="AS6" s="621"/>
      <c r="AT6" s="621"/>
      <c r="AU6" s="627"/>
      <c r="AV6" s="632"/>
      <c r="AW6" s="616"/>
      <c r="AX6" s="466" t="s">
        <v>347</v>
      </c>
      <c r="AY6" s="621"/>
      <c r="AZ6" s="621"/>
      <c r="BA6" s="621"/>
      <c r="BB6" s="627"/>
      <c r="BC6" s="632"/>
      <c r="BD6" s="616"/>
      <c r="BE6" s="466" t="s">
        <v>347</v>
      </c>
      <c r="BF6" s="621"/>
      <c r="BG6" s="621"/>
      <c r="BH6" s="621"/>
      <c r="BI6" s="627"/>
      <c r="BJ6" s="632"/>
      <c r="BK6" s="616"/>
      <c r="BL6" s="466" t="s">
        <v>347</v>
      </c>
      <c r="BM6" s="621"/>
      <c r="BN6" s="621"/>
      <c r="BO6" s="621"/>
      <c r="BP6" s="627"/>
      <c r="BQ6" s="632"/>
      <c r="BR6" s="616"/>
      <c r="BS6" s="466" t="s">
        <v>347</v>
      </c>
      <c r="BT6" s="621"/>
      <c r="BU6" s="621"/>
      <c r="BV6" s="621"/>
      <c r="BW6" s="627"/>
      <c r="BX6" s="632"/>
      <c r="BY6" s="616"/>
      <c r="BZ6" s="466" t="s">
        <v>347</v>
      </c>
      <c r="CA6" s="621"/>
      <c r="CB6" s="621"/>
      <c r="CC6" s="621"/>
      <c r="CD6" s="627"/>
      <c r="CE6" s="632"/>
      <c r="CF6" s="616"/>
      <c r="CG6" s="466" t="s">
        <v>347</v>
      </c>
      <c r="CH6" s="621"/>
      <c r="CI6" s="621"/>
      <c r="CJ6" s="621"/>
      <c r="CK6" s="627"/>
      <c r="CL6" s="632"/>
      <c r="CM6" s="616"/>
      <c r="CN6" s="466" t="s">
        <v>347</v>
      </c>
      <c r="CO6" s="621"/>
      <c r="CP6" s="621"/>
      <c r="CQ6" s="621"/>
      <c r="CR6" s="627"/>
      <c r="CS6" s="632"/>
      <c r="CT6" s="616"/>
      <c r="CU6" s="466" t="s">
        <v>347</v>
      </c>
      <c r="CV6" s="621"/>
      <c r="CW6" s="621"/>
      <c r="CX6" s="621"/>
      <c r="CY6" s="627"/>
      <c r="CZ6" s="632"/>
      <c r="DA6" s="616"/>
      <c r="DB6" s="466" t="s">
        <v>347</v>
      </c>
      <c r="DC6" s="640"/>
      <c r="DD6" s="621"/>
      <c r="DE6" s="621"/>
      <c r="DF6" s="627"/>
      <c r="DG6" s="632"/>
      <c r="DH6" s="616"/>
      <c r="DI6" s="80"/>
    </row>
    <row r="7" spans="1:113" x14ac:dyDescent="0.2">
      <c r="A7" s="80"/>
      <c r="C7" s="468" t="s">
        <v>56</v>
      </c>
      <c r="D7" s="468" t="s">
        <v>57</v>
      </c>
      <c r="E7" s="469" t="s">
        <v>58</v>
      </c>
      <c r="F7" s="470" t="s">
        <v>59</v>
      </c>
      <c r="G7" s="471" t="s">
        <v>60</v>
      </c>
      <c r="H7" s="49"/>
      <c r="I7" s="64"/>
      <c r="J7" s="468" t="s">
        <v>56</v>
      </c>
      <c r="K7" s="468" t="s">
        <v>57</v>
      </c>
      <c r="L7" s="469" t="s">
        <v>58</v>
      </c>
      <c r="M7" s="470" t="s">
        <v>59</v>
      </c>
      <c r="N7" s="471" t="s">
        <v>60</v>
      </c>
      <c r="O7" s="49"/>
      <c r="Q7" s="468" t="s">
        <v>56</v>
      </c>
      <c r="R7" s="468" t="s">
        <v>57</v>
      </c>
      <c r="S7" s="469" t="s">
        <v>58</v>
      </c>
      <c r="T7" s="470" t="s">
        <v>59</v>
      </c>
      <c r="U7" s="471" t="s">
        <v>60</v>
      </c>
      <c r="V7" s="49"/>
      <c r="X7" s="468" t="s">
        <v>56</v>
      </c>
      <c r="Y7" s="468" t="s">
        <v>57</v>
      </c>
      <c r="Z7" s="469" t="s">
        <v>58</v>
      </c>
      <c r="AA7" s="470" t="s">
        <v>59</v>
      </c>
      <c r="AB7" s="471" t="s">
        <v>60</v>
      </c>
      <c r="AC7" s="49"/>
      <c r="AE7" s="468" t="s">
        <v>56</v>
      </c>
      <c r="AF7" s="468" t="s">
        <v>57</v>
      </c>
      <c r="AG7" s="469" t="s">
        <v>58</v>
      </c>
      <c r="AH7" s="470" t="s">
        <v>59</v>
      </c>
      <c r="AI7" s="471" t="s">
        <v>60</v>
      </c>
      <c r="AJ7" s="49"/>
      <c r="AL7" s="468" t="s">
        <v>56</v>
      </c>
      <c r="AM7" s="468" t="s">
        <v>57</v>
      </c>
      <c r="AN7" s="469" t="s">
        <v>58</v>
      </c>
      <c r="AO7" s="470" t="s">
        <v>59</v>
      </c>
      <c r="AP7" s="471" t="s">
        <v>60</v>
      </c>
      <c r="AQ7" s="49"/>
      <c r="AS7" s="468" t="s">
        <v>56</v>
      </c>
      <c r="AT7" s="468" t="s">
        <v>57</v>
      </c>
      <c r="AU7" s="469" t="s">
        <v>58</v>
      </c>
      <c r="AV7" s="470" t="s">
        <v>59</v>
      </c>
      <c r="AW7" s="471" t="s">
        <v>60</v>
      </c>
      <c r="AX7" s="49"/>
      <c r="AZ7" s="468" t="s">
        <v>56</v>
      </c>
      <c r="BA7" s="468" t="s">
        <v>57</v>
      </c>
      <c r="BB7" s="469" t="s">
        <v>58</v>
      </c>
      <c r="BC7" s="470" t="s">
        <v>59</v>
      </c>
      <c r="BD7" s="471" t="s">
        <v>60</v>
      </c>
      <c r="BE7" s="49"/>
      <c r="BG7" s="468" t="s">
        <v>56</v>
      </c>
      <c r="BH7" s="468" t="s">
        <v>57</v>
      </c>
      <c r="BI7" s="469" t="s">
        <v>58</v>
      </c>
      <c r="BJ7" s="470" t="s">
        <v>59</v>
      </c>
      <c r="BK7" s="471" t="s">
        <v>60</v>
      </c>
      <c r="BL7" s="49"/>
      <c r="BN7" s="468" t="s">
        <v>56</v>
      </c>
      <c r="BO7" s="468" t="s">
        <v>57</v>
      </c>
      <c r="BP7" s="469" t="s">
        <v>58</v>
      </c>
      <c r="BQ7" s="470" t="s">
        <v>59</v>
      </c>
      <c r="BR7" s="471" t="s">
        <v>60</v>
      </c>
      <c r="BS7" s="49"/>
      <c r="BU7" s="468" t="s">
        <v>56</v>
      </c>
      <c r="BV7" s="468" t="s">
        <v>57</v>
      </c>
      <c r="BW7" s="469" t="s">
        <v>58</v>
      </c>
      <c r="BX7" s="470" t="s">
        <v>59</v>
      </c>
      <c r="BY7" s="471" t="s">
        <v>60</v>
      </c>
      <c r="BZ7" s="49"/>
      <c r="CB7" s="468" t="s">
        <v>56</v>
      </c>
      <c r="CC7" s="468" t="s">
        <v>57</v>
      </c>
      <c r="CD7" s="469" t="s">
        <v>58</v>
      </c>
      <c r="CE7" s="470" t="s">
        <v>59</v>
      </c>
      <c r="CF7" s="471" t="s">
        <v>60</v>
      </c>
      <c r="CG7" s="49"/>
      <c r="CI7" s="468" t="s">
        <v>56</v>
      </c>
      <c r="CJ7" s="468" t="s">
        <v>57</v>
      </c>
      <c r="CK7" s="469" t="s">
        <v>58</v>
      </c>
      <c r="CL7" s="470" t="s">
        <v>59</v>
      </c>
      <c r="CM7" s="471" t="s">
        <v>60</v>
      </c>
      <c r="CN7" s="49"/>
      <c r="CP7" s="468" t="s">
        <v>56</v>
      </c>
      <c r="CQ7" s="468" t="s">
        <v>57</v>
      </c>
      <c r="CR7" s="469" t="s">
        <v>58</v>
      </c>
      <c r="CS7" s="470" t="s">
        <v>59</v>
      </c>
      <c r="CT7" s="471" t="s">
        <v>60</v>
      </c>
      <c r="CU7" s="49"/>
      <c r="CW7" s="468" t="s">
        <v>56</v>
      </c>
      <c r="CX7" s="468" t="s">
        <v>57</v>
      </c>
      <c r="CY7" s="469" t="s">
        <v>58</v>
      </c>
      <c r="CZ7" s="470" t="s">
        <v>59</v>
      </c>
      <c r="DA7" s="471" t="s">
        <v>60</v>
      </c>
      <c r="DB7" s="49"/>
      <c r="DD7" s="468" t="s">
        <v>56</v>
      </c>
      <c r="DE7" s="468" t="s">
        <v>57</v>
      </c>
      <c r="DF7" s="469" t="s">
        <v>58</v>
      </c>
      <c r="DG7" s="470" t="s">
        <v>59</v>
      </c>
      <c r="DH7" s="471" t="s">
        <v>60</v>
      </c>
      <c r="DI7" s="49"/>
    </row>
    <row r="8" spans="1:113" ht="15.75" customHeight="1" x14ac:dyDescent="0.2">
      <c r="A8" s="76" t="s">
        <v>61</v>
      </c>
      <c r="B8" s="80" t="str">
        <f>'Var Vorgaben'!$B$45</f>
        <v>Tafelzwetschgen 33 mm</v>
      </c>
      <c r="C8" s="472">
        <f>D8/B5</f>
        <v>0</v>
      </c>
      <c r="D8" s="473">
        <f>G8*D10</f>
        <v>0</v>
      </c>
      <c r="E8" s="485">
        <f>'Var Vorgaben'!B46</f>
        <v>1.84</v>
      </c>
      <c r="F8" s="182">
        <f>D8*E8</f>
        <v>0</v>
      </c>
      <c r="G8" s="413">
        <f>'Var Vorgaben'!B69</f>
        <v>0.9</v>
      </c>
      <c r="H8" s="76" t="s">
        <v>61</v>
      </c>
      <c r="I8" s="80" t="str">
        <f>'Var Vorgaben'!$B$45</f>
        <v>Tafelzwetschgen 33 mm</v>
      </c>
      <c r="J8" s="472">
        <f>K8/B5</f>
        <v>3.2</v>
      </c>
      <c r="K8" s="473">
        <f>N8*K10</f>
        <v>3600</v>
      </c>
      <c r="L8" s="485">
        <f>'Var Vorgaben'!B47</f>
        <v>1.84</v>
      </c>
      <c r="M8" s="182">
        <f>K8*L8</f>
        <v>6624</v>
      </c>
      <c r="N8" s="413">
        <f>'Var Vorgaben'!B70</f>
        <v>0.9</v>
      </c>
      <c r="O8" s="76" t="s">
        <v>61</v>
      </c>
      <c r="P8" s="80" t="str">
        <f>'Var Vorgaben'!$B$45</f>
        <v>Tafelzwetschgen 33 mm</v>
      </c>
      <c r="Q8" s="472">
        <f>R8/B5</f>
        <v>4.8</v>
      </c>
      <c r="R8" s="473">
        <f>U8*R10</f>
        <v>5400</v>
      </c>
      <c r="S8" s="485">
        <f>'Var Vorgaben'!B48</f>
        <v>1.84</v>
      </c>
      <c r="T8" s="182">
        <f>R8*S8</f>
        <v>9936</v>
      </c>
      <c r="U8" s="413">
        <f>'Var Vorgaben'!B71</f>
        <v>0.9</v>
      </c>
      <c r="V8" s="76" t="s">
        <v>61</v>
      </c>
      <c r="W8" s="80" t="str">
        <f>'Var Vorgaben'!$B$45</f>
        <v>Tafelzwetschgen 33 mm</v>
      </c>
      <c r="X8" s="472">
        <f>Y8/B5</f>
        <v>8</v>
      </c>
      <c r="Y8" s="473">
        <f>AB8*Y10</f>
        <v>9000</v>
      </c>
      <c r="Z8" s="485">
        <f>'Var Vorgaben'!B49</f>
        <v>1.84</v>
      </c>
      <c r="AA8" s="182">
        <f>Y8*Z8</f>
        <v>16560</v>
      </c>
      <c r="AB8" s="413">
        <f>'Var Vorgaben'!B72</f>
        <v>0.9</v>
      </c>
      <c r="AC8" s="76" t="s">
        <v>61</v>
      </c>
      <c r="AD8" s="80" t="str">
        <f>'Var Vorgaben'!$B$45</f>
        <v>Tafelzwetschgen 33 mm</v>
      </c>
      <c r="AE8" s="472">
        <f>AF8/B5</f>
        <v>14.4</v>
      </c>
      <c r="AF8" s="473">
        <f>AI8*AF10</f>
        <v>16200</v>
      </c>
      <c r="AG8" s="485">
        <f>'Var Vorgaben'!B50</f>
        <v>1.84</v>
      </c>
      <c r="AH8" s="182">
        <f>AF8*AG8</f>
        <v>29808</v>
      </c>
      <c r="AI8" s="413">
        <f>'Var Vorgaben'!B73</f>
        <v>0.9</v>
      </c>
      <c r="AJ8" s="98" t="s">
        <v>61</v>
      </c>
      <c r="AK8" s="80" t="str">
        <f>'Var Vorgaben'!$B$45</f>
        <v>Tafelzwetschgen 33 mm</v>
      </c>
      <c r="AL8" s="472">
        <f>AM8/B5</f>
        <v>17.600000000000001</v>
      </c>
      <c r="AM8" s="473">
        <f>AP8*AM10</f>
        <v>19800</v>
      </c>
      <c r="AN8" s="485">
        <f>'Var Vorgaben'!B51</f>
        <v>1.84</v>
      </c>
      <c r="AO8" s="182">
        <f>AM8*AN8</f>
        <v>36432</v>
      </c>
      <c r="AP8" s="413">
        <f>'Var Vorgaben'!B74</f>
        <v>0.9</v>
      </c>
      <c r="AQ8" s="98" t="s">
        <v>61</v>
      </c>
      <c r="AR8" s="80" t="str">
        <f>'Var Vorgaben'!$B$45</f>
        <v>Tafelzwetschgen 33 mm</v>
      </c>
      <c r="AS8" s="472">
        <f>AT8/B5</f>
        <v>20.8</v>
      </c>
      <c r="AT8" s="473">
        <f>AW8*AT10</f>
        <v>23400</v>
      </c>
      <c r="AU8" s="485">
        <f>'Var Vorgaben'!B52</f>
        <v>1.84</v>
      </c>
      <c r="AV8" s="182">
        <f>AT8*AU8</f>
        <v>43056</v>
      </c>
      <c r="AW8" s="413">
        <f>'Var Vorgaben'!B75</f>
        <v>0.9</v>
      </c>
      <c r="AX8" s="98" t="s">
        <v>61</v>
      </c>
      <c r="AY8" s="80" t="str">
        <f>'Var Vorgaben'!$B$45</f>
        <v>Tafelzwetschgen 33 mm</v>
      </c>
      <c r="AZ8" s="472">
        <f>BA8/B5</f>
        <v>20.8</v>
      </c>
      <c r="BA8" s="473">
        <f>BD8*BA10</f>
        <v>23400</v>
      </c>
      <c r="BB8" s="485">
        <f>'Var Vorgaben'!B53</f>
        <v>1.84</v>
      </c>
      <c r="BC8" s="182">
        <f>BA8*BB8</f>
        <v>43056</v>
      </c>
      <c r="BD8" s="413">
        <f>'Var Vorgaben'!B76</f>
        <v>0.9</v>
      </c>
      <c r="BE8" s="98" t="s">
        <v>61</v>
      </c>
      <c r="BF8" s="80" t="str">
        <f>'Var Vorgaben'!$B$45</f>
        <v>Tafelzwetschgen 33 mm</v>
      </c>
      <c r="BG8" s="472">
        <f>BH8/B5</f>
        <v>20.8</v>
      </c>
      <c r="BH8" s="473">
        <f>BK8*BH10</f>
        <v>23400</v>
      </c>
      <c r="BI8" s="485">
        <f>'Var Vorgaben'!B54</f>
        <v>1.84</v>
      </c>
      <c r="BJ8" s="182">
        <f>BH8*BI8</f>
        <v>43056</v>
      </c>
      <c r="BK8" s="413">
        <f>'Var Vorgaben'!B76</f>
        <v>0.9</v>
      </c>
      <c r="BL8" s="98" t="s">
        <v>61</v>
      </c>
      <c r="BM8" s="80" t="str">
        <f>'Var Vorgaben'!$B$45</f>
        <v>Tafelzwetschgen 33 mm</v>
      </c>
      <c r="BN8" s="472">
        <f>BO8/B5</f>
        <v>20.8</v>
      </c>
      <c r="BO8" s="473">
        <f>BR8*BO10</f>
        <v>23400</v>
      </c>
      <c r="BP8" s="485">
        <f>'Var Vorgaben'!B55</f>
        <v>1.84</v>
      </c>
      <c r="BQ8" s="182">
        <f>BO8*BP8</f>
        <v>43056</v>
      </c>
      <c r="BR8" s="413">
        <f>'Var Vorgaben'!B78</f>
        <v>0.9</v>
      </c>
      <c r="BS8" s="98" t="s">
        <v>61</v>
      </c>
      <c r="BT8" s="80" t="str">
        <f>'Var Vorgaben'!$B$45</f>
        <v>Tafelzwetschgen 33 mm</v>
      </c>
      <c r="BU8" s="472">
        <f>BV8/B5</f>
        <v>20.8</v>
      </c>
      <c r="BV8" s="473">
        <f>BY8*BV10</f>
        <v>23400</v>
      </c>
      <c r="BW8" s="485">
        <f>'Var Vorgaben'!B56</f>
        <v>1.84</v>
      </c>
      <c r="BX8" s="182">
        <f>BV8*BW8</f>
        <v>43056</v>
      </c>
      <c r="BY8" s="413">
        <f>'Var Vorgaben'!B79</f>
        <v>0.9</v>
      </c>
      <c r="BZ8" s="98" t="s">
        <v>61</v>
      </c>
      <c r="CA8" s="80" t="str">
        <f>'Var Vorgaben'!$B$45</f>
        <v>Tafelzwetschgen 33 mm</v>
      </c>
      <c r="CB8" s="472">
        <f>CC8/B5</f>
        <v>20.8</v>
      </c>
      <c r="CC8" s="473">
        <f>CF8*CC10</f>
        <v>23400</v>
      </c>
      <c r="CD8" s="485">
        <f>'Var Vorgaben'!B57</f>
        <v>1.84</v>
      </c>
      <c r="CE8" s="182">
        <f>CC8*CD8</f>
        <v>43056</v>
      </c>
      <c r="CF8" s="413">
        <f>'Var Vorgaben'!B80</f>
        <v>0.9</v>
      </c>
      <c r="CG8" s="98" t="s">
        <v>61</v>
      </c>
      <c r="CH8" s="80" t="str">
        <f>'Var Vorgaben'!$B$45</f>
        <v>Tafelzwetschgen 33 mm</v>
      </c>
      <c r="CI8" s="472">
        <f>CJ8/B5</f>
        <v>20.8</v>
      </c>
      <c r="CJ8" s="473">
        <f>CM8*CJ10</f>
        <v>23400</v>
      </c>
      <c r="CK8" s="485">
        <f>'Var Vorgaben'!B58</f>
        <v>1.84</v>
      </c>
      <c r="CL8" s="182">
        <f>CJ8*CK8</f>
        <v>43056</v>
      </c>
      <c r="CM8" s="413">
        <f>'Var Vorgaben'!B81</f>
        <v>0.9</v>
      </c>
      <c r="CN8" s="98" t="s">
        <v>61</v>
      </c>
      <c r="CO8" s="80" t="str">
        <f>'Var Vorgaben'!$B$45</f>
        <v>Tafelzwetschgen 33 mm</v>
      </c>
      <c r="CP8" s="472">
        <f>CQ8/B5</f>
        <v>20.8</v>
      </c>
      <c r="CQ8" s="473">
        <f>CT8*CQ10</f>
        <v>23400</v>
      </c>
      <c r="CR8" s="485">
        <f>'Var Vorgaben'!B59</f>
        <v>1.84</v>
      </c>
      <c r="CS8" s="182">
        <f>CQ8*CR8</f>
        <v>43056</v>
      </c>
      <c r="CT8" s="413">
        <f>'Var Vorgaben'!B82</f>
        <v>0.9</v>
      </c>
      <c r="CU8" s="98" t="s">
        <v>61</v>
      </c>
      <c r="CV8" s="80" t="str">
        <f>'Var Vorgaben'!$B$45</f>
        <v>Tafelzwetschgen 33 mm</v>
      </c>
      <c r="CW8" s="472">
        <f>CX8/B5</f>
        <v>20.8</v>
      </c>
      <c r="CX8" s="473">
        <f>DA8*CX10</f>
        <v>23400</v>
      </c>
      <c r="CY8" s="485">
        <f>'Var Vorgaben'!B60</f>
        <v>1.84</v>
      </c>
      <c r="CZ8" s="182">
        <f>CX8*CY8</f>
        <v>43056</v>
      </c>
      <c r="DA8" s="413">
        <f>'Var Vorgaben'!B83</f>
        <v>0.9</v>
      </c>
      <c r="DB8" s="98" t="s">
        <v>61</v>
      </c>
      <c r="DC8" s="80" t="str">
        <f>'Var Vorgaben'!$B$45</f>
        <v>Tafelzwetschgen 33 mm</v>
      </c>
      <c r="DD8" s="472">
        <f>DE8/B5</f>
        <v>20.8</v>
      </c>
      <c r="DE8" s="473">
        <f>DH8*DE10</f>
        <v>23400</v>
      </c>
      <c r="DF8" s="485">
        <f>'Var Vorgaben'!B61</f>
        <v>1.84</v>
      </c>
      <c r="DG8" s="182">
        <f>DE8*DF8</f>
        <v>43056</v>
      </c>
      <c r="DH8" s="413">
        <f>'Var Vorgaben'!B84</f>
        <v>0.9</v>
      </c>
      <c r="DI8" s="98"/>
    </row>
    <row r="9" spans="1:113" ht="14.1" customHeight="1" x14ac:dyDescent="0.2">
      <c r="A9" s="76"/>
      <c r="B9" s="80" t="str">
        <f>'Var Vorgaben'!$C$45</f>
        <v>Sortierabgang</v>
      </c>
      <c r="C9" s="474">
        <f>D9/B5</f>
        <v>0</v>
      </c>
      <c r="D9" s="475">
        <f>G9*D10</f>
        <v>0</v>
      </c>
      <c r="E9" s="654">
        <f>'Var Vorgaben'!C46</f>
        <v>0</v>
      </c>
      <c r="F9" s="176">
        <f>D9*E9</f>
        <v>0</v>
      </c>
      <c r="G9" s="417">
        <f>'Var Vorgaben'!C69</f>
        <v>0.1</v>
      </c>
      <c r="H9" s="76"/>
      <c r="I9" s="80" t="str">
        <f>'Var Vorgaben'!$C$45</f>
        <v>Sortierabgang</v>
      </c>
      <c r="J9" s="474">
        <f>K9/B5</f>
        <v>0.35555555555555557</v>
      </c>
      <c r="K9" s="475">
        <f>N9*K10</f>
        <v>400</v>
      </c>
      <c r="L9" s="654">
        <f>'Var Vorgaben'!C47</f>
        <v>0</v>
      </c>
      <c r="M9" s="176">
        <f>K9*L9</f>
        <v>0</v>
      </c>
      <c r="N9" s="417">
        <f>'Var Vorgaben'!C70</f>
        <v>0.1</v>
      </c>
      <c r="O9" s="76"/>
      <c r="P9" s="80" t="str">
        <f>'Var Vorgaben'!$C$45</f>
        <v>Sortierabgang</v>
      </c>
      <c r="Q9" s="474">
        <f>R9/B5</f>
        <v>0.53333333333333333</v>
      </c>
      <c r="R9" s="475">
        <f>U9*R10</f>
        <v>600</v>
      </c>
      <c r="S9" s="654">
        <f>'Var Vorgaben'!C48</f>
        <v>0</v>
      </c>
      <c r="T9" s="176">
        <f>R9*S9</f>
        <v>0</v>
      </c>
      <c r="U9" s="417">
        <f>'Var Vorgaben'!C71</f>
        <v>0.1</v>
      </c>
      <c r="V9" s="76"/>
      <c r="W9" s="80" t="str">
        <f>'Var Vorgaben'!$C$45</f>
        <v>Sortierabgang</v>
      </c>
      <c r="X9" s="474">
        <f>Y9/B5</f>
        <v>0.88888888888888884</v>
      </c>
      <c r="Y9" s="475">
        <f>AB9*Y10</f>
        <v>1000</v>
      </c>
      <c r="Z9" s="654">
        <f>'Var Vorgaben'!C49</f>
        <v>0</v>
      </c>
      <c r="AA9" s="176">
        <f>Y9*Z9</f>
        <v>0</v>
      </c>
      <c r="AB9" s="417">
        <f>'Var Vorgaben'!C72</f>
        <v>0.1</v>
      </c>
      <c r="AC9" s="76"/>
      <c r="AD9" s="80" t="str">
        <f>'Var Vorgaben'!$C$45</f>
        <v>Sortierabgang</v>
      </c>
      <c r="AE9" s="474">
        <f>AF9/B5</f>
        <v>1.6</v>
      </c>
      <c r="AF9" s="475">
        <f>AI9*AF10</f>
        <v>1800</v>
      </c>
      <c r="AG9" s="654">
        <f>'Var Vorgaben'!C50</f>
        <v>0</v>
      </c>
      <c r="AH9" s="176">
        <f>AF9*AG9</f>
        <v>0</v>
      </c>
      <c r="AI9" s="417">
        <f>'Var Vorgaben'!C73</f>
        <v>0.1</v>
      </c>
      <c r="AJ9" s="98"/>
      <c r="AK9" s="80" t="str">
        <f>'Var Vorgaben'!$C$45</f>
        <v>Sortierabgang</v>
      </c>
      <c r="AL9" s="474">
        <f>AM9/B5</f>
        <v>1.9555555555555555</v>
      </c>
      <c r="AM9" s="475">
        <f>AP9*AM10</f>
        <v>2200</v>
      </c>
      <c r="AN9" s="654">
        <f>'Var Vorgaben'!C51</f>
        <v>0</v>
      </c>
      <c r="AO9" s="176">
        <f>AM9*AN9</f>
        <v>0</v>
      </c>
      <c r="AP9" s="417">
        <f>'Var Vorgaben'!C74</f>
        <v>0.1</v>
      </c>
      <c r="AQ9" s="98"/>
      <c r="AR9" s="80" t="str">
        <f>'Var Vorgaben'!$C$45</f>
        <v>Sortierabgang</v>
      </c>
      <c r="AS9" s="474">
        <f>AT9/B5</f>
        <v>2.3111111111111109</v>
      </c>
      <c r="AT9" s="475">
        <f>AW9*AT10</f>
        <v>2600</v>
      </c>
      <c r="AU9" s="654">
        <f>'Var Vorgaben'!C52</f>
        <v>0</v>
      </c>
      <c r="AV9" s="176">
        <f>AT9*AU9</f>
        <v>0</v>
      </c>
      <c r="AW9" s="417">
        <f>'Var Vorgaben'!C75</f>
        <v>0.1</v>
      </c>
      <c r="AX9" s="98"/>
      <c r="AY9" s="80" t="str">
        <f>'Var Vorgaben'!$C$45</f>
        <v>Sortierabgang</v>
      </c>
      <c r="AZ9" s="474">
        <f>BA9/B5</f>
        <v>2.3111111111111109</v>
      </c>
      <c r="BA9" s="475">
        <f>BD9*BA10</f>
        <v>2600</v>
      </c>
      <c r="BB9" s="654">
        <f>'Var Vorgaben'!C53</f>
        <v>0</v>
      </c>
      <c r="BC9" s="176">
        <f>BA9*BB9</f>
        <v>0</v>
      </c>
      <c r="BD9" s="417">
        <f>'Var Vorgaben'!C76</f>
        <v>0.1</v>
      </c>
      <c r="BE9" s="98"/>
      <c r="BF9" s="80" t="str">
        <f>'Var Vorgaben'!$C$45</f>
        <v>Sortierabgang</v>
      </c>
      <c r="BG9" s="474">
        <f>BH9/B5</f>
        <v>2.3111111111111109</v>
      </c>
      <c r="BH9" s="475">
        <f>BK9*BH10</f>
        <v>2600</v>
      </c>
      <c r="BI9" s="654">
        <f>'Var Vorgaben'!C54</f>
        <v>0</v>
      </c>
      <c r="BJ9" s="176">
        <f>BH9*BI9</f>
        <v>0</v>
      </c>
      <c r="BK9" s="417">
        <f>'Var Vorgaben'!C77</f>
        <v>0.1</v>
      </c>
      <c r="BL9" s="98"/>
      <c r="BM9" s="80" t="str">
        <f>'Var Vorgaben'!$C$45</f>
        <v>Sortierabgang</v>
      </c>
      <c r="BN9" s="474">
        <f>BO9/B5</f>
        <v>2.3111111111111109</v>
      </c>
      <c r="BO9" s="475">
        <f>BR9*BO10</f>
        <v>2600</v>
      </c>
      <c r="BP9" s="654">
        <f>'Var Vorgaben'!C55</f>
        <v>0</v>
      </c>
      <c r="BQ9" s="176">
        <f>BO9*BP9</f>
        <v>0</v>
      </c>
      <c r="BR9" s="417">
        <f>'Var Vorgaben'!C78</f>
        <v>0.1</v>
      </c>
      <c r="BS9" s="98"/>
      <c r="BT9" s="80" t="str">
        <f>'Var Vorgaben'!$C$45</f>
        <v>Sortierabgang</v>
      </c>
      <c r="BU9" s="474">
        <f>BV9/B5</f>
        <v>2.3111111111111109</v>
      </c>
      <c r="BV9" s="475">
        <f>BY9*BV10</f>
        <v>2600</v>
      </c>
      <c r="BW9" s="654">
        <f>'Var Vorgaben'!C56</f>
        <v>0</v>
      </c>
      <c r="BX9" s="176">
        <f>BV9*BW9</f>
        <v>0</v>
      </c>
      <c r="BY9" s="417">
        <f>'Var Vorgaben'!C79</f>
        <v>0.1</v>
      </c>
      <c r="BZ9" s="98"/>
      <c r="CA9" s="80" t="str">
        <f>'Var Vorgaben'!$C$45</f>
        <v>Sortierabgang</v>
      </c>
      <c r="CB9" s="474">
        <f>CC9/B5</f>
        <v>2.3111111111111109</v>
      </c>
      <c r="CC9" s="475">
        <f>CF9*CC10</f>
        <v>2600</v>
      </c>
      <c r="CD9" s="654">
        <f>'Var Vorgaben'!C57</f>
        <v>0</v>
      </c>
      <c r="CE9" s="176">
        <f>CC9*CD9</f>
        <v>0</v>
      </c>
      <c r="CF9" s="417">
        <f>'Var Vorgaben'!C80</f>
        <v>0.1</v>
      </c>
      <c r="CG9" s="98"/>
      <c r="CH9" s="80" t="str">
        <f>'Var Vorgaben'!$C$45</f>
        <v>Sortierabgang</v>
      </c>
      <c r="CI9" s="474">
        <f>CJ9/B5</f>
        <v>2.3111111111111109</v>
      </c>
      <c r="CJ9" s="475">
        <f>CM9*CJ10</f>
        <v>2600</v>
      </c>
      <c r="CK9" s="654">
        <f>'Var Vorgaben'!C58</f>
        <v>0</v>
      </c>
      <c r="CL9" s="176">
        <f>CJ9*CK9</f>
        <v>0</v>
      </c>
      <c r="CM9" s="417">
        <f>'Var Vorgaben'!C81</f>
        <v>0.1</v>
      </c>
      <c r="CN9" s="98"/>
      <c r="CO9" s="80" t="str">
        <f>'Var Vorgaben'!$C$45</f>
        <v>Sortierabgang</v>
      </c>
      <c r="CP9" s="474">
        <f>CQ9/B5</f>
        <v>2.3111111111111109</v>
      </c>
      <c r="CQ9" s="475">
        <f>CT9*CQ10</f>
        <v>2600</v>
      </c>
      <c r="CR9" s="654">
        <f>'Var Vorgaben'!C59</f>
        <v>0</v>
      </c>
      <c r="CS9" s="176">
        <f>CQ9*CR9</f>
        <v>0</v>
      </c>
      <c r="CT9" s="417">
        <f>'Var Vorgaben'!C82</f>
        <v>0.1</v>
      </c>
      <c r="CU9" s="98"/>
      <c r="CV9" s="80" t="str">
        <f>'Var Vorgaben'!$C$45</f>
        <v>Sortierabgang</v>
      </c>
      <c r="CW9" s="474">
        <f>CX9/B5</f>
        <v>2.3111111111111109</v>
      </c>
      <c r="CX9" s="475">
        <f>DA9*CX10</f>
        <v>2600</v>
      </c>
      <c r="CY9" s="654">
        <f>'Var Vorgaben'!C60</f>
        <v>0</v>
      </c>
      <c r="CZ9" s="176">
        <f>CX9*CY9</f>
        <v>0</v>
      </c>
      <c r="DA9" s="417">
        <f>'Var Vorgaben'!C83</f>
        <v>0.1</v>
      </c>
      <c r="DB9" s="98"/>
      <c r="DC9" s="80" t="str">
        <f>'Var Vorgaben'!$C$45</f>
        <v>Sortierabgang</v>
      </c>
      <c r="DD9" s="474">
        <f>DE9/B5</f>
        <v>2.3111111111111109</v>
      </c>
      <c r="DE9" s="475">
        <f>DH9*DE10</f>
        <v>2600</v>
      </c>
      <c r="DF9" s="654">
        <f>'Var Vorgaben'!C61</f>
        <v>0</v>
      </c>
      <c r="DG9" s="176">
        <f>DE9*DF9</f>
        <v>0</v>
      </c>
      <c r="DH9" s="417">
        <f>'Var Vorgaben'!C84</f>
        <v>0.1</v>
      </c>
      <c r="DI9" s="98"/>
    </row>
    <row r="10" spans="1:113" x14ac:dyDescent="0.2">
      <c r="A10" s="98"/>
      <c r="B10" s="171"/>
      <c r="C10" s="476">
        <f>SUM(C8:C9)</f>
        <v>0</v>
      </c>
      <c r="D10" s="478">
        <f>'Var Vorgaben'!D46</f>
        <v>0</v>
      </c>
      <c r="E10" s="477">
        <f>(E8*G8)+(E9*G9)</f>
        <v>1.6560000000000001</v>
      </c>
      <c r="F10" s="94">
        <f>SUM(F8:F9)</f>
        <v>0</v>
      </c>
      <c r="G10" s="413">
        <f>SUM(G8:G9)</f>
        <v>1</v>
      </c>
      <c r="H10" s="98"/>
      <c r="I10" s="171"/>
      <c r="J10" s="476">
        <f>SUM(J8:J9)</f>
        <v>3.5555555555555558</v>
      </c>
      <c r="K10" s="478">
        <f>'Var Vorgaben'!D47</f>
        <v>4000</v>
      </c>
      <c r="L10" s="477">
        <f>(L8*N8)+(L9*N9)</f>
        <v>1.6560000000000001</v>
      </c>
      <c r="M10" s="94">
        <f>SUM(M8:M9)</f>
        <v>6624</v>
      </c>
      <c r="N10" s="413">
        <f>SUM(N8:N9)</f>
        <v>1</v>
      </c>
      <c r="O10" s="98"/>
      <c r="P10" s="171"/>
      <c r="Q10" s="476">
        <f>SUM(Q8:Q9)</f>
        <v>5.333333333333333</v>
      </c>
      <c r="R10" s="478">
        <f>'Var Vorgaben'!D48</f>
        <v>6000</v>
      </c>
      <c r="S10" s="477">
        <f>(S8*U8)+(S9*U9)</f>
        <v>1.6560000000000001</v>
      </c>
      <c r="T10" s="94">
        <f>SUM(T8:T9)</f>
        <v>9936</v>
      </c>
      <c r="U10" s="413">
        <f>SUM(U8:U9)</f>
        <v>1</v>
      </c>
      <c r="V10" s="98"/>
      <c r="W10" s="171"/>
      <c r="X10" s="476">
        <f>SUM(X8:X9)</f>
        <v>8.8888888888888893</v>
      </c>
      <c r="Y10" s="478">
        <f>'Var Vorgaben'!D49</f>
        <v>10000</v>
      </c>
      <c r="Z10" s="477">
        <f>(Z8*AB8)+(Z9*AB9)</f>
        <v>1.6560000000000001</v>
      </c>
      <c r="AA10" s="94">
        <f>SUM(AA8:AA9)</f>
        <v>16560</v>
      </c>
      <c r="AB10" s="413">
        <f>SUM(AB8:AB9)</f>
        <v>1</v>
      </c>
      <c r="AC10" s="98"/>
      <c r="AD10" s="171"/>
      <c r="AE10" s="476">
        <f>SUM(AE8:AE9)</f>
        <v>16</v>
      </c>
      <c r="AF10" s="478">
        <f>'Var Vorgaben'!D50</f>
        <v>18000</v>
      </c>
      <c r="AG10" s="477">
        <f>(AG8*AI8)+(AG9*AI9)</f>
        <v>1.6560000000000001</v>
      </c>
      <c r="AH10" s="94">
        <f>SUM(AH8:AH9)</f>
        <v>29808</v>
      </c>
      <c r="AI10" s="413">
        <f>SUM(AI8:AI9)</f>
        <v>1</v>
      </c>
      <c r="AJ10" s="98"/>
      <c r="AK10" s="171"/>
      <c r="AL10" s="476">
        <f>SUM(AL8:AL9)</f>
        <v>19.555555555555557</v>
      </c>
      <c r="AM10" s="478">
        <f>'Var Vorgaben'!D51</f>
        <v>22000</v>
      </c>
      <c r="AN10" s="477">
        <f>(AN8*AP8)+(AN9*AP9)</f>
        <v>1.6560000000000001</v>
      </c>
      <c r="AO10" s="94">
        <f>SUM(AO8:AO9)</f>
        <v>36432</v>
      </c>
      <c r="AP10" s="413">
        <f>SUM(AP8:AP9)</f>
        <v>1</v>
      </c>
      <c r="AQ10" s="98"/>
      <c r="AR10" s="171"/>
      <c r="AS10" s="476">
        <f>SUM(AS8:AS9)</f>
        <v>23.111111111111111</v>
      </c>
      <c r="AT10" s="478">
        <f>'Var Vorgaben'!D52</f>
        <v>26000</v>
      </c>
      <c r="AU10" s="477">
        <f>(AU8*AW8)+(AU9*AW9)</f>
        <v>1.6560000000000001</v>
      </c>
      <c r="AV10" s="94">
        <f>SUM(AV8:AV9)</f>
        <v>43056</v>
      </c>
      <c r="AW10" s="413">
        <f>SUM(AW8:AW9)</f>
        <v>1</v>
      </c>
      <c r="AX10" s="98"/>
      <c r="AY10" s="171"/>
      <c r="AZ10" s="476">
        <f>SUM(AZ8:AZ9)</f>
        <v>23.111111111111111</v>
      </c>
      <c r="BA10" s="478">
        <f>'Var Vorgaben'!D53</f>
        <v>26000</v>
      </c>
      <c r="BB10" s="477">
        <f>(BB8*BD8)+(BB9*BD9)</f>
        <v>1.6560000000000001</v>
      </c>
      <c r="BC10" s="94">
        <f>SUM(BC8:BC9)</f>
        <v>43056</v>
      </c>
      <c r="BD10" s="413">
        <f>SUM(BD8:BD9)</f>
        <v>1</v>
      </c>
      <c r="BE10" s="98"/>
      <c r="BF10" s="171"/>
      <c r="BG10" s="476">
        <f>SUM(BG8:BG9)</f>
        <v>23.111111111111111</v>
      </c>
      <c r="BH10" s="478">
        <f>'Var Vorgaben'!D54</f>
        <v>26000</v>
      </c>
      <c r="BI10" s="477">
        <f>(BI8*BK8)+(BI9*BK9)</f>
        <v>1.6560000000000001</v>
      </c>
      <c r="BJ10" s="94">
        <f>SUM(BJ8:BJ9)</f>
        <v>43056</v>
      </c>
      <c r="BK10" s="413">
        <f>SUM(BK8:BK9)</f>
        <v>1</v>
      </c>
      <c r="BL10" s="98"/>
      <c r="BM10" s="171"/>
      <c r="BN10" s="476">
        <f>SUM(BN8:BN9)</f>
        <v>23.111111111111111</v>
      </c>
      <c r="BO10" s="478">
        <f>'Var Vorgaben'!D55</f>
        <v>26000</v>
      </c>
      <c r="BP10" s="477">
        <f>(BP8*BR8)+(BP9*BR9)</f>
        <v>1.6560000000000001</v>
      </c>
      <c r="BQ10" s="94">
        <f>SUM(BQ8:BQ9)</f>
        <v>43056</v>
      </c>
      <c r="BR10" s="413">
        <f>SUM(BR8:BR9)</f>
        <v>1</v>
      </c>
      <c r="BS10" s="98"/>
      <c r="BT10" s="171"/>
      <c r="BU10" s="476">
        <f>SUM(BU8:BU9)</f>
        <v>23.111111111111111</v>
      </c>
      <c r="BV10" s="478">
        <f>'Var Vorgaben'!D56</f>
        <v>26000</v>
      </c>
      <c r="BW10" s="477">
        <f>(BW8*BY8)+(BW9*BY9)</f>
        <v>1.6560000000000001</v>
      </c>
      <c r="BX10" s="94">
        <f>SUM(BX8:BX9)</f>
        <v>43056</v>
      </c>
      <c r="BY10" s="413">
        <f>SUM(BY8:BY9)</f>
        <v>1</v>
      </c>
      <c r="BZ10" s="98"/>
      <c r="CA10" s="171"/>
      <c r="CB10" s="476">
        <f>SUM(CB8:CB9)</f>
        <v>23.111111111111111</v>
      </c>
      <c r="CC10" s="478">
        <f>'Var Vorgaben'!D57</f>
        <v>26000</v>
      </c>
      <c r="CD10" s="477">
        <f>(CD8*CF8)+(CD9*CF9)</f>
        <v>1.6560000000000001</v>
      </c>
      <c r="CE10" s="94">
        <f>SUM(CE8:CE9)</f>
        <v>43056</v>
      </c>
      <c r="CF10" s="413">
        <f>SUM(CF8:CF9)</f>
        <v>1</v>
      </c>
      <c r="CG10" s="98"/>
      <c r="CH10" s="171"/>
      <c r="CI10" s="476">
        <f>SUM(CI8:CI9)</f>
        <v>23.111111111111111</v>
      </c>
      <c r="CJ10" s="478">
        <f>'Var Vorgaben'!D58</f>
        <v>26000</v>
      </c>
      <c r="CK10" s="477">
        <f>(CK8*CM8)+(CK9*CM9)</f>
        <v>1.6560000000000001</v>
      </c>
      <c r="CL10" s="94">
        <f>SUM(CL8:CL9)</f>
        <v>43056</v>
      </c>
      <c r="CM10" s="413">
        <f>SUM(CM8:CM9)</f>
        <v>1</v>
      </c>
      <c r="CN10" s="98"/>
      <c r="CO10" s="171"/>
      <c r="CP10" s="476">
        <f>SUM(CP8:CP9)</f>
        <v>23.111111111111111</v>
      </c>
      <c r="CQ10" s="478">
        <f>'Var Vorgaben'!D59</f>
        <v>26000</v>
      </c>
      <c r="CR10" s="477">
        <f>(CR8*CT8)+(CR9*CT9)</f>
        <v>1.6560000000000001</v>
      </c>
      <c r="CS10" s="94">
        <f>SUM(CS8:CS9)</f>
        <v>43056</v>
      </c>
      <c r="CT10" s="413">
        <f>SUM(CT8:CT9)</f>
        <v>1</v>
      </c>
      <c r="CU10" s="98"/>
      <c r="CV10" s="171"/>
      <c r="CW10" s="476">
        <f>SUM(CW8:CW9)</f>
        <v>23.111111111111111</v>
      </c>
      <c r="CX10" s="478">
        <f>'Var Vorgaben'!D60</f>
        <v>26000</v>
      </c>
      <c r="CY10" s="477">
        <f>(CY8*DA8)+(CY9*DA9)</f>
        <v>1.6560000000000001</v>
      </c>
      <c r="CZ10" s="94">
        <f>SUM(CZ8:CZ9)</f>
        <v>43056</v>
      </c>
      <c r="DA10" s="413">
        <f>SUM(DA8:DA9)</f>
        <v>1</v>
      </c>
      <c r="DB10" s="98"/>
      <c r="DC10" s="171"/>
      <c r="DD10" s="476">
        <f>SUM(DD8:DD9)</f>
        <v>23.111111111111111</v>
      </c>
      <c r="DE10" s="478">
        <f>'Var Vorgaben'!D61</f>
        <v>26000</v>
      </c>
      <c r="DF10" s="477">
        <f>(DF8*DH8)+(DF9*DH9)</f>
        <v>1.6560000000000001</v>
      </c>
      <c r="DG10" s="94">
        <f>SUM(DG8:DG9)</f>
        <v>43056</v>
      </c>
      <c r="DH10" s="413">
        <f>SUM(DH8:DH9)</f>
        <v>1</v>
      </c>
      <c r="DI10" s="98"/>
    </row>
    <row r="11" spans="1:113" x14ac:dyDescent="0.2">
      <c r="A11" s="98"/>
      <c r="B11" s="98" t="str">
        <f>'Var Vorgaben'!$A$39</f>
        <v>Direktzahlungen ÖLN</v>
      </c>
      <c r="C11" s="476"/>
      <c r="D11" s="478"/>
      <c r="E11" s="477"/>
      <c r="F11" s="176">
        <f>'Var Vorgaben'!$C$39</f>
        <v>1100</v>
      </c>
      <c r="G11" s="413"/>
      <c r="H11" s="98"/>
      <c r="I11" s="98" t="str">
        <f>'Var Vorgaben'!$A$39</f>
        <v>Direktzahlungen ÖLN</v>
      </c>
      <c r="J11" s="476"/>
      <c r="K11" s="478"/>
      <c r="L11" s="477"/>
      <c r="M11" s="176">
        <f>'Var Vorgaben'!$C$39</f>
        <v>1100</v>
      </c>
      <c r="N11" s="413"/>
      <c r="O11" s="98"/>
      <c r="P11" s="98" t="str">
        <f>'Var Vorgaben'!$A$39</f>
        <v>Direktzahlungen ÖLN</v>
      </c>
      <c r="Q11" s="476"/>
      <c r="R11" s="478"/>
      <c r="S11" s="477"/>
      <c r="T11" s="176">
        <f>'Var Vorgaben'!$C$39</f>
        <v>1100</v>
      </c>
      <c r="U11" s="413"/>
      <c r="V11" s="98"/>
      <c r="W11" s="98" t="str">
        <f>'Var Vorgaben'!$A$39</f>
        <v>Direktzahlungen ÖLN</v>
      </c>
      <c r="X11" s="476"/>
      <c r="Y11" s="478"/>
      <c r="Z11" s="477"/>
      <c r="AA11" s="176">
        <f>'Var Vorgaben'!$C$39</f>
        <v>1100</v>
      </c>
      <c r="AB11" s="413"/>
      <c r="AC11" s="98"/>
      <c r="AD11" s="98" t="str">
        <f>'Var Vorgaben'!$A$39</f>
        <v>Direktzahlungen ÖLN</v>
      </c>
      <c r="AE11" s="476"/>
      <c r="AF11" s="478"/>
      <c r="AG11" s="477"/>
      <c r="AH11" s="176">
        <f>'Var Vorgaben'!$C$39</f>
        <v>1100</v>
      </c>
      <c r="AI11" s="413"/>
      <c r="AJ11" s="98"/>
      <c r="AK11" s="98" t="str">
        <f>'Var Vorgaben'!$A$39</f>
        <v>Direktzahlungen ÖLN</v>
      </c>
      <c r="AL11" s="476"/>
      <c r="AM11" s="478"/>
      <c r="AN11" s="477"/>
      <c r="AO11" s="176">
        <f>'Var Vorgaben'!$C$39</f>
        <v>1100</v>
      </c>
      <c r="AP11" s="413"/>
      <c r="AQ11" s="98"/>
      <c r="AR11" s="98" t="str">
        <f>'Var Vorgaben'!$A$39</f>
        <v>Direktzahlungen ÖLN</v>
      </c>
      <c r="AS11" s="476"/>
      <c r="AT11" s="478"/>
      <c r="AU11" s="477"/>
      <c r="AV11" s="176">
        <f>'Var Vorgaben'!$C$39</f>
        <v>1100</v>
      </c>
      <c r="AW11" s="413"/>
      <c r="AX11" s="98"/>
      <c r="AY11" s="98" t="str">
        <f>'Var Vorgaben'!$A$39</f>
        <v>Direktzahlungen ÖLN</v>
      </c>
      <c r="AZ11" s="476"/>
      <c r="BA11" s="478"/>
      <c r="BB11" s="477"/>
      <c r="BC11" s="176">
        <f>'Var Vorgaben'!$C$39</f>
        <v>1100</v>
      </c>
      <c r="BD11" s="413"/>
      <c r="BE11" s="98"/>
      <c r="BF11" s="98" t="str">
        <f>'Var Vorgaben'!$A$39</f>
        <v>Direktzahlungen ÖLN</v>
      </c>
      <c r="BG11" s="476"/>
      <c r="BH11" s="478"/>
      <c r="BI11" s="477"/>
      <c r="BJ11" s="176">
        <f>'Var Vorgaben'!$C$39</f>
        <v>1100</v>
      </c>
      <c r="BK11" s="413"/>
      <c r="BL11" s="98"/>
      <c r="BM11" s="98" t="str">
        <f>'Var Vorgaben'!$A$39</f>
        <v>Direktzahlungen ÖLN</v>
      </c>
      <c r="BN11" s="476"/>
      <c r="BO11" s="478"/>
      <c r="BP11" s="477"/>
      <c r="BQ11" s="176">
        <f>'Var Vorgaben'!$C$39</f>
        <v>1100</v>
      </c>
      <c r="BR11" s="413"/>
      <c r="BS11" s="98"/>
      <c r="BT11" s="98" t="str">
        <f>'Var Vorgaben'!$A$39</f>
        <v>Direktzahlungen ÖLN</v>
      </c>
      <c r="BU11" s="476"/>
      <c r="BV11" s="478"/>
      <c r="BW11" s="477"/>
      <c r="BX11" s="176">
        <f>'Var Vorgaben'!$C$39</f>
        <v>1100</v>
      </c>
      <c r="BY11" s="413"/>
      <c r="BZ11" s="98"/>
      <c r="CA11" s="98" t="str">
        <f>'Var Vorgaben'!$A$39</f>
        <v>Direktzahlungen ÖLN</v>
      </c>
      <c r="CB11" s="476"/>
      <c r="CC11" s="478"/>
      <c r="CD11" s="477"/>
      <c r="CE11" s="176">
        <f>'Var Vorgaben'!$C$39</f>
        <v>1100</v>
      </c>
      <c r="CF11" s="413"/>
      <c r="CG11" s="98"/>
      <c r="CH11" s="98" t="str">
        <f>'Var Vorgaben'!$A$39</f>
        <v>Direktzahlungen ÖLN</v>
      </c>
      <c r="CI11" s="476"/>
      <c r="CJ11" s="478"/>
      <c r="CK11" s="477"/>
      <c r="CL11" s="176">
        <f>'Var Vorgaben'!$C$39</f>
        <v>1100</v>
      </c>
      <c r="CM11" s="413"/>
      <c r="CN11" s="98"/>
      <c r="CO11" s="98" t="str">
        <f>'Var Vorgaben'!$A$39</f>
        <v>Direktzahlungen ÖLN</v>
      </c>
      <c r="CP11" s="476"/>
      <c r="CQ11" s="478"/>
      <c r="CR11" s="477"/>
      <c r="CS11" s="176">
        <f>'Var Vorgaben'!$C$39</f>
        <v>1100</v>
      </c>
      <c r="CT11" s="413"/>
      <c r="CU11" s="98"/>
      <c r="CV11" s="98" t="str">
        <f>'Var Vorgaben'!$A$39</f>
        <v>Direktzahlungen ÖLN</v>
      </c>
      <c r="CW11" s="476"/>
      <c r="CX11" s="478"/>
      <c r="CY11" s="477"/>
      <c r="CZ11" s="176">
        <f>'Var Vorgaben'!$C$39</f>
        <v>1100</v>
      </c>
      <c r="DA11" s="413"/>
      <c r="DB11" s="98"/>
      <c r="DC11" s="98" t="str">
        <f>'Var Vorgaben'!$A$39</f>
        <v>Direktzahlungen ÖLN</v>
      </c>
      <c r="DD11" s="476"/>
      <c r="DE11" s="478"/>
      <c r="DF11" s="477"/>
      <c r="DG11" s="176">
        <f>'Var Vorgaben'!$C$39</f>
        <v>1100</v>
      </c>
      <c r="DH11" s="413"/>
      <c r="DI11" s="98"/>
    </row>
    <row r="12" spans="1:113" ht="15.75" thickBot="1" x14ac:dyDescent="0.3">
      <c r="A12" s="561" t="s">
        <v>86</v>
      </c>
      <c r="B12" s="374"/>
      <c r="C12" s="374"/>
      <c r="D12" s="374"/>
      <c r="E12" s="374"/>
      <c r="F12" s="479">
        <f>SUM(F10:F11)</f>
        <v>1100</v>
      </c>
      <c r="G12" s="373"/>
      <c r="H12" s="561" t="s">
        <v>86</v>
      </c>
      <c r="I12" s="374"/>
      <c r="J12" s="374"/>
      <c r="K12" s="374"/>
      <c r="L12" s="374"/>
      <c r="M12" s="479">
        <f>SUM(M10:M11)</f>
        <v>7724</v>
      </c>
      <c r="N12" s="373"/>
      <c r="O12" s="561" t="s">
        <v>86</v>
      </c>
      <c r="P12" s="374"/>
      <c r="Q12" s="374"/>
      <c r="R12" s="374"/>
      <c r="S12" s="374"/>
      <c r="T12" s="479">
        <f>SUM(T10:T11)</f>
        <v>11036</v>
      </c>
      <c r="U12" s="373"/>
      <c r="V12" s="561" t="s">
        <v>86</v>
      </c>
      <c r="W12" s="374"/>
      <c r="X12" s="374"/>
      <c r="Y12" s="374"/>
      <c r="Z12" s="374"/>
      <c r="AA12" s="479">
        <f>SUM(AA10:AA11)</f>
        <v>17660</v>
      </c>
      <c r="AB12" s="373"/>
      <c r="AC12" s="561" t="s">
        <v>86</v>
      </c>
      <c r="AD12" s="374"/>
      <c r="AE12" s="374"/>
      <c r="AF12" s="374"/>
      <c r="AG12" s="374"/>
      <c r="AH12" s="479">
        <f>SUM(AH10:AH11)</f>
        <v>30908</v>
      </c>
      <c r="AI12" s="373"/>
      <c r="AJ12" s="561" t="s">
        <v>86</v>
      </c>
      <c r="AK12" s="374"/>
      <c r="AL12" s="374"/>
      <c r="AM12" s="374"/>
      <c r="AN12" s="374"/>
      <c r="AO12" s="479">
        <f>SUM(AO10:AO11)</f>
        <v>37532</v>
      </c>
      <c r="AP12" s="373"/>
      <c r="AQ12" s="561" t="s">
        <v>86</v>
      </c>
      <c r="AR12" s="374"/>
      <c r="AS12" s="374"/>
      <c r="AT12" s="374"/>
      <c r="AU12" s="374"/>
      <c r="AV12" s="479">
        <f>SUM(AV10:AV11)</f>
        <v>44156</v>
      </c>
      <c r="AW12" s="373"/>
      <c r="AX12" s="561" t="s">
        <v>86</v>
      </c>
      <c r="AY12" s="374"/>
      <c r="AZ12" s="374"/>
      <c r="BA12" s="374"/>
      <c r="BB12" s="374"/>
      <c r="BC12" s="479">
        <f>SUM(BC10:BC11)</f>
        <v>44156</v>
      </c>
      <c r="BD12" s="373"/>
      <c r="BE12" s="561" t="s">
        <v>86</v>
      </c>
      <c r="BF12" s="374"/>
      <c r="BG12" s="374"/>
      <c r="BH12" s="374"/>
      <c r="BI12" s="374"/>
      <c r="BJ12" s="479">
        <f>SUM(BJ10:BJ11)</f>
        <v>44156</v>
      </c>
      <c r="BK12" s="373"/>
      <c r="BL12" s="561" t="s">
        <v>86</v>
      </c>
      <c r="BM12" s="374"/>
      <c r="BN12" s="374"/>
      <c r="BO12" s="374"/>
      <c r="BP12" s="374"/>
      <c r="BQ12" s="479">
        <f>SUM(BQ10:BQ11)</f>
        <v>44156</v>
      </c>
      <c r="BR12" s="373"/>
      <c r="BS12" s="561" t="s">
        <v>86</v>
      </c>
      <c r="BT12" s="374"/>
      <c r="BU12" s="374"/>
      <c r="BV12" s="374"/>
      <c r="BW12" s="374"/>
      <c r="BX12" s="479">
        <f>SUM(BX10:BX11)</f>
        <v>44156</v>
      </c>
      <c r="BY12" s="373"/>
      <c r="BZ12" s="561" t="s">
        <v>86</v>
      </c>
      <c r="CA12" s="374"/>
      <c r="CB12" s="374"/>
      <c r="CC12" s="374"/>
      <c r="CD12" s="374"/>
      <c r="CE12" s="479">
        <f>SUM(CE10:CE11)</f>
        <v>44156</v>
      </c>
      <c r="CF12" s="373"/>
      <c r="CG12" s="561" t="s">
        <v>86</v>
      </c>
      <c r="CH12" s="374"/>
      <c r="CI12" s="374"/>
      <c r="CJ12" s="374"/>
      <c r="CK12" s="374"/>
      <c r="CL12" s="479">
        <f>SUM(CL10:CL11)</f>
        <v>44156</v>
      </c>
      <c r="CM12" s="373"/>
      <c r="CN12" s="561" t="s">
        <v>86</v>
      </c>
      <c r="CO12" s="374"/>
      <c r="CP12" s="374"/>
      <c r="CQ12" s="374"/>
      <c r="CR12" s="374"/>
      <c r="CS12" s="479">
        <f>SUM(CS10:CS11)</f>
        <v>44156</v>
      </c>
      <c r="CT12" s="373"/>
      <c r="CU12" s="561" t="s">
        <v>86</v>
      </c>
      <c r="CV12" s="374"/>
      <c r="CW12" s="374"/>
      <c r="CX12" s="374"/>
      <c r="CY12" s="374"/>
      <c r="CZ12" s="479">
        <f>SUM(CZ10:CZ11)</f>
        <v>44156</v>
      </c>
      <c r="DA12" s="373"/>
      <c r="DB12" s="561" t="s">
        <v>86</v>
      </c>
      <c r="DC12" s="374"/>
      <c r="DD12" s="374"/>
      <c r="DE12" s="374"/>
      <c r="DF12" s="374"/>
      <c r="DG12" s="479">
        <f>SUM(DG10:DG11)</f>
        <v>44156</v>
      </c>
      <c r="DH12" s="373"/>
      <c r="DI12" s="171"/>
    </row>
    <row r="13" spans="1:113" x14ac:dyDescent="0.2">
      <c r="A13" s="73"/>
      <c r="B13" s="73"/>
      <c r="C13" s="468" t="s">
        <v>11</v>
      </c>
      <c r="D13" s="468" t="s">
        <v>57</v>
      </c>
      <c r="E13" s="469" t="s">
        <v>58</v>
      </c>
      <c r="F13" s="480" t="s">
        <v>13</v>
      </c>
      <c r="G13" s="471" t="s">
        <v>60</v>
      </c>
      <c r="H13" s="73"/>
      <c r="I13" s="73"/>
      <c r="J13" s="468" t="s">
        <v>11</v>
      </c>
      <c r="K13" s="468" t="s">
        <v>57</v>
      </c>
      <c r="L13" s="469" t="s">
        <v>58</v>
      </c>
      <c r="M13" s="480" t="s">
        <v>13</v>
      </c>
      <c r="N13" s="471" t="s">
        <v>60</v>
      </c>
      <c r="O13" s="73"/>
      <c r="P13" s="73"/>
      <c r="Q13" s="468" t="s">
        <v>11</v>
      </c>
      <c r="R13" s="468" t="s">
        <v>57</v>
      </c>
      <c r="S13" s="469" t="s">
        <v>58</v>
      </c>
      <c r="T13" s="480" t="s">
        <v>13</v>
      </c>
      <c r="U13" s="471" t="s">
        <v>60</v>
      </c>
      <c r="V13" s="73"/>
      <c r="W13" s="73"/>
      <c r="X13" s="468" t="s">
        <v>11</v>
      </c>
      <c r="Y13" s="468" t="s">
        <v>57</v>
      </c>
      <c r="Z13" s="469" t="s">
        <v>58</v>
      </c>
      <c r="AA13" s="480" t="s">
        <v>13</v>
      </c>
      <c r="AB13" s="471" t="s">
        <v>60</v>
      </c>
      <c r="AC13" s="73"/>
      <c r="AD13" s="73"/>
      <c r="AE13" s="468" t="s">
        <v>11</v>
      </c>
      <c r="AF13" s="468" t="s">
        <v>57</v>
      </c>
      <c r="AG13" s="469" t="s">
        <v>58</v>
      </c>
      <c r="AH13" s="480" t="s">
        <v>13</v>
      </c>
      <c r="AI13" s="471" t="s">
        <v>60</v>
      </c>
      <c r="AJ13" s="73"/>
      <c r="AK13" s="73"/>
      <c r="AL13" s="468" t="s">
        <v>11</v>
      </c>
      <c r="AM13" s="468" t="s">
        <v>57</v>
      </c>
      <c r="AN13" s="469" t="s">
        <v>58</v>
      </c>
      <c r="AO13" s="480" t="s">
        <v>13</v>
      </c>
      <c r="AP13" s="471" t="s">
        <v>60</v>
      </c>
      <c r="AQ13" s="73"/>
      <c r="AR13" s="73"/>
      <c r="AS13" s="468" t="s">
        <v>11</v>
      </c>
      <c r="AT13" s="468" t="s">
        <v>57</v>
      </c>
      <c r="AU13" s="469" t="s">
        <v>58</v>
      </c>
      <c r="AV13" s="480" t="s">
        <v>13</v>
      </c>
      <c r="AW13" s="471" t="s">
        <v>60</v>
      </c>
      <c r="AX13" s="73"/>
      <c r="AY13" s="73"/>
      <c r="AZ13" s="468" t="s">
        <v>11</v>
      </c>
      <c r="BA13" s="468" t="s">
        <v>57</v>
      </c>
      <c r="BB13" s="469" t="s">
        <v>58</v>
      </c>
      <c r="BC13" s="480" t="s">
        <v>13</v>
      </c>
      <c r="BD13" s="471" t="s">
        <v>60</v>
      </c>
      <c r="BE13" s="73"/>
      <c r="BF13" s="73"/>
      <c r="BG13" s="468" t="s">
        <v>11</v>
      </c>
      <c r="BH13" s="468" t="s">
        <v>57</v>
      </c>
      <c r="BI13" s="469" t="s">
        <v>58</v>
      </c>
      <c r="BJ13" s="480" t="s">
        <v>13</v>
      </c>
      <c r="BK13" s="471" t="s">
        <v>60</v>
      </c>
      <c r="BL13" s="73"/>
      <c r="BM13" s="73"/>
      <c r="BN13" s="468" t="s">
        <v>11</v>
      </c>
      <c r="BO13" s="468" t="s">
        <v>57</v>
      </c>
      <c r="BP13" s="469" t="s">
        <v>58</v>
      </c>
      <c r="BQ13" s="480" t="s">
        <v>13</v>
      </c>
      <c r="BR13" s="471" t="s">
        <v>60</v>
      </c>
      <c r="BS13" s="73"/>
      <c r="BT13" s="73"/>
      <c r="BU13" s="468" t="s">
        <v>11</v>
      </c>
      <c r="BV13" s="468" t="s">
        <v>57</v>
      </c>
      <c r="BW13" s="469" t="s">
        <v>58</v>
      </c>
      <c r="BX13" s="480" t="s">
        <v>13</v>
      </c>
      <c r="BY13" s="471" t="s">
        <v>60</v>
      </c>
      <c r="BZ13" s="73"/>
      <c r="CA13" s="73"/>
      <c r="CB13" s="468" t="s">
        <v>11</v>
      </c>
      <c r="CC13" s="468" t="s">
        <v>57</v>
      </c>
      <c r="CD13" s="469" t="s">
        <v>58</v>
      </c>
      <c r="CE13" s="480" t="s">
        <v>13</v>
      </c>
      <c r="CF13" s="471" t="s">
        <v>60</v>
      </c>
      <c r="CG13" s="73"/>
      <c r="CH13" s="73"/>
      <c r="CI13" s="468" t="s">
        <v>11</v>
      </c>
      <c r="CJ13" s="468" t="s">
        <v>57</v>
      </c>
      <c r="CK13" s="469" t="s">
        <v>58</v>
      </c>
      <c r="CL13" s="480" t="s">
        <v>13</v>
      </c>
      <c r="CM13" s="471" t="s">
        <v>60</v>
      </c>
      <c r="CN13" s="73"/>
      <c r="CO13" s="73"/>
      <c r="CP13" s="468" t="s">
        <v>11</v>
      </c>
      <c r="CQ13" s="468" t="s">
        <v>57</v>
      </c>
      <c r="CR13" s="469" t="s">
        <v>58</v>
      </c>
      <c r="CS13" s="480" t="s">
        <v>13</v>
      </c>
      <c r="CT13" s="471" t="s">
        <v>60</v>
      </c>
      <c r="CU13" s="73"/>
      <c r="CV13" s="73"/>
      <c r="CW13" s="468" t="s">
        <v>11</v>
      </c>
      <c r="CX13" s="468" t="s">
        <v>57</v>
      </c>
      <c r="CY13" s="469" t="s">
        <v>58</v>
      </c>
      <c r="CZ13" s="480" t="s">
        <v>13</v>
      </c>
      <c r="DA13" s="471" t="s">
        <v>60</v>
      </c>
      <c r="DB13" s="73"/>
      <c r="DC13" s="73"/>
      <c r="DD13" s="468" t="s">
        <v>11</v>
      </c>
      <c r="DE13" s="468" t="s">
        <v>57</v>
      </c>
      <c r="DF13" s="469" t="s">
        <v>58</v>
      </c>
      <c r="DG13" s="480" t="s">
        <v>13</v>
      </c>
      <c r="DH13" s="471" t="s">
        <v>60</v>
      </c>
      <c r="DI13" s="75"/>
    </row>
    <row r="14" spans="1:113" x14ac:dyDescent="0.2">
      <c r="A14" s="80" t="s">
        <v>29</v>
      </c>
      <c r="B14" s="73" t="str">
        <f>'Var Vorgaben'!$B$99</f>
        <v>Ammonsalpeter</v>
      </c>
      <c r="C14" s="120">
        <f>'Var Vorgaben'!$B$105</f>
        <v>2</v>
      </c>
      <c r="D14" s="481">
        <f>'Var Vorgaben'!$B$104</f>
        <v>150</v>
      </c>
      <c r="E14" s="48">
        <f>'Var Vorgaben'!$B$100*(1+'Varianten eingeben'!$C$27)</f>
        <v>0.9</v>
      </c>
      <c r="F14" s="483">
        <f>D14*E14</f>
        <v>135</v>
      </c>
      <c r="G14" s="484">
        <f>F14/$F$68</f>
        <v>1.4268784556645941E-2</v>
      </c>
      <c r="H14" s="80" t="s">
        <v>29</v>
      </c>
      <c r="I14" s="73" t="str">
        <f>'Var Vorgaben'!$B$99</f>
        <v>Ammonsalpeter</v>
      </c>
      <c r="J14" s="120">
        <f>'Var Vorgaben'!$B$107</f>
        <v>2</v>
      </c>
      <c r="K14" s="481">
        <f>'Var Vorgaben'!$B$106</f>
        <v>150</v>
      </c>
      <c r="L14" s="48">
        <f>'Var Vorgaben'!$B$100*(1+'Varianten eingeben'!$C$27)</f>
        <v>0.9</v>
      </c>
      <c r="M14" s="483">
        <f>K14*L14</f>
        <v>135</v>
      </c>
      <c r="N14" s="484">
        <f>M14/$M$68</f>
        <v>9.8178867717653891E-3</v>
      </c>
      <c r="O14" s="80" t="s">
        <v>29</v>
      </c>
      <c r="P14" s="73" t="str">
        <f>'Var Vorgaben'!$B$99</f>
        <v>Ammonsalpeter</v>
      </c>
      <c r="Q14" s="120">
        <f>'Var Vorgaben'!$B$109</f>
        <v>2</v>
      </c>
      <c r="R14" s="481">
        <f>'Var Vorgaben'!$B$108</f>
        <v>180</v>
      </c>
      <c r="S14" s="48">
        <f>'Var Vorgaben'!$B$100*(1+'Varianten eingeben'!$C$27)</f>
        <v>0.9</v>
      </c>
      <c r="T14" s="483">
        <f>R14*S14</f>
        <v>162</v>
      </c>
      <c r="U14" s="484">
        <f>T14/$T$68</f>
        <v>7.9728329426629503E-3</v>
      </c>
      <c r="V14" s="80" t="s">
        <v>29</v>
      </c>
      <c r="W14" s="73" t="str">
        <f>'Var Vorgaben'!$B$99</f>
        <v>Ammonsalpeter</v>
      </c>
      <c r="X14" s="120">
        <f>'Var Vorgaben'!$B$109</f>
        <v>2</v>
      </c>
      <c r="Y14" s="481">
        <f>'Var Vorgaben'!$B$108</f>
        <v>180</v>
      </c>
      <c r="Z14" s="48">
        <f>'Var Vorgaben'!$B$100*(1+'Varianten eingeben'!$C$27)</f>
        <v>0.9</v>
      </c>
      <c r="AA14" s="483">
        <f>Y14*Z14</f>
        <v>162</v>
      </c>
      <c r="AB14" s="484">
        <f>AA14/$AA$68</f>
        <v>6.7012628485645861E-3</v>
      </c>
      <c r="AC14" s="80" t="s">
        <v>29</v>
      </c>
      <c r="AD14" s="73" t="str">
        <f>'Var Vorgaben'!$B$99</f>
        <v>Ammonsalpeter</v>
      </c>
      <c r="AE14" s="120">
        <f>'Var Vorgaben'!$B$111</f>
        <v>3</v>
      </c>
      <c r="AF14" s="481">
        <f>'Var Vorgaben'!$B$110</f>
        <v>220</v>
      </c>
      <c r="AG14" s="48">
        <f>'Var Vorgaben'!$B$100*(1+'Varianten eingeben'!$C$27)</f>
        <v>0.9</v>
      </c>
      <c r="AH14" s="483">
        <f>AF14*AG14</f>
        <v>198</v>
      </c>
      <c r="AI14" s="484">
        <f>AH14/$AH$68</f>
        <v>5.6741931797921405E-3</v>
      </c>
      <c r="AJ14" s="80" t="s">
        <v>29</v>
      </c>
      <c r="AK14" s="73" t="str">
        <f>'Var Vorgaben'!$B$99</f>
        <v>Ammonsalpeter</v>
      </c>
      <c r="AL14" s="120">
        <f>'Var Vorgaben'!$B$111</f>
        <v>3</v>
      </c>
      <c r="AM14" s="481">
        <f>'Var Vorgaben'!$B$110</f>
        <v>220</v>
      </c>
      <c r="AN14" s="48">
        <f>'Var Vorgaben'!$B$100*(1+'Varianten eingeben'!$C$27)</f>
        <v>0.9</v>
      </c>
      <c r="AO14" s="483">
        <f>AM14*AN14</f>
        <v>198</v>
      </c>
      <c r="AP14" s="484">
        <f>AO14/$AO$68</f>
        <v>5.1572290230221304E-3</v>
      </c>
      <c r="AQ14" s="80" t="s">
        <v>29</v>
      </c>
      <c r="AR14" s="73" t="str">
        <f>'Var Vorgaben'!$B$99</f>
        <v>Ammonsalpeter</v>
      </c>
      <c r="AS14" s="120">
        <f>'Var Vorgaben'!$B$111</f>
        <v>3</v>
      </c>
      <c r="AT14" s="481">
        <f>'Var Vorgaben'!$B$110</f>
        <v>220</v>
      </c>
      <c r="AU14" s="48">
        <f>'Var Vorgaben'!$B$100*(1+'Varianten eingeben'!$C$27)</f>
        <v>0.9</v>
      </c>
      <c r="AV14" s="483">
        <f>AT14*AU14</f>
        <v>198</v>
      </c>
      <c r="AW14" s="484">
        <f>AV14/$AV$68</f>
        <v>4.7297749699131428E-3</v>
      </c>
      <c r="AX14" s="80" t="s">
        <v>29</v>
      </c>
      <c r="AY14" s="73" t="str">
        <f>'Var Vorgaben'!$B$99</f>
        <v>Ammonsalpeter</v>
      </c>
      <c r="AZ14" s="120">
        <f>'Var Vorgaben'!$B$111</f>
        <v>3</v>
      </c>
      <c r="BA14" s="481">
        <f>'Var Vorgaben'!$B$110</f>
        <v>220</v>
      </c>
      <c r="BB14" s="48">
        <f>'Var Vorgaben'!$B$100*(1+'Varianten eingeben'!$C$27)</f>
        <v>0.9</v>
      </c>
      <c r="BC14" s="483">
        <f>BA14*BB14</f>
        <v>198</v>
      </c>
      <c r="BD14" s="484">
        <f>BC14/$BC$68</f>
        <v>4.7321083173677315E-3</v>
      </c>
      <c r="BE14" s="80" t="s">
        <v>29</v>
      </c>
      <c r="BF14" s="73" t="str">
        <f>'Var Vorgaben'!$B$99</f>
        <v>Ammonsalpeter</v>
      </c>
      <c r="BG14" s="120">
        <f>'Var Vorgaben'!$B$111</f>
        <v>3</v>
      </c>
      <c r="BH14" s="481">
        <f>'Var Vorgaben'!$B$110</f>
        <v>220</v>
      </c>
      <c r="BI14" s="48">
        <f>'Var Vorgaben'!$B$100*(1+'Varianten eingeben'!$C$27)</f>
        <v>0.9</v>
      </c>
      <c r="BJ14" s="483">
        <f>BH14*BI14</f>
        <v>198</v>
      </c>
      <c r="BK14" s="484">
        <f>BJ14/$BJ$68</f>
        <v>4.7344649995128786E-3</v>
      </c>
      <c r="BL14" s="80" t="s">
        <v>29</v>
      </c>
      <c r="BM14" s="73" t="str">
        <f>'Var Vorgaben'!$B$99</f>
        <v>Ammonsalpeter</v>
      </c>
      <c r="BN14" s="120">
        <f>'Var Vorgaben'!$B$111</f>
        <v>3</v>
      </c>
      <c r="BO14" s="481">
        <f>'Var Vorgaben'!$B$110</f>
        <v>220</v>
      </c>
      <c r="BP14" s="48">
        <f>'Var Vorgaben'!$B$100*(1+'Varianten eingeben'!$C$27)</f>
        <v>0.9</v>
      </c>
      <c r="BQ14" s="483">
        <f>BO14*BP14</f>
        <v>198</v>
      </c>
      <c r="BR14" s="484">
        <f>BQ14/$BQ$68</f>
        <v>4.7368452721249588E-3</v>
      </c>
      <c r="BS14" s="80" t="s">
        <v>29</v>
      </c>
      <c r="BT14" s="73" t="str">
        <f>'Var Vorgaben'!$B$99</f>
        <v>Ammonsalpeter</v>
      </c>
      <c r="BU14" s="120">
        <f>'Var Vorgaben'!$B$111</f>
        <v>3</v>
      </c>
      <c r="BV14" s="481">
        <f>'Var Vorgaben'!$B$110</f>
        <v>220</v>
      </c>
      <c r="BW14" s="48">
        <f>'Var Vorgaben'!$B$100*(1+'Varianten eingeben'!$C$27)</f>
        <v>0.9</v>
      </c>
      <c r="BX14" s="483">
        <f>BV14*BW14</f>
        <v>198</v>
      </c>
      <c r="BY14" s="484">
        <f>BX14/$BX$68</f>
        <v>4.7392493942139072E-3</v>
      </c>
      <c r="BZ14" s="80" t="s">
        <v>29</v>
      </c>
      <c r="CA14" s="73" t="str">
        <f>'Var Vorgaben'!$B$99</f>
        <v>Ammonsalpeter</v>
      </c>
      <c r="CB14" s="120">
        <f>'Var Vorgaben'!$B$111</f>
        <v>3</v>
      </c>
      <c r="CC14" s="481">
        <f>'Var Vorgaben'!$B$110</f>
        <v>220</v>
      </c>
      <c r="CD14" s="48">
        <f>'Var Vorgaben'!$B$100*(1+'Varianten eingeben'!$C$27)</f>
        <v>0.9</v>
      </c>
      <c r="CE14" s="483">
        <f>CC14*CD14</f>
        <v>198</v>
      </c>
      <c r="CF14" s="484">
        <f>CE14/$CE$68</f>
        <v>4.7416776280722796E-3</v>
      </c>
      <c r="CG14" s="80" t="s">
        <v>29</v>
      </c>
      <c r="CH14" s="73" t="str">
        <f>'Var Vorgaben'!$B$99</f>
        <v>Ammonsalpeter</v>
      </c>
      <c r="CI14" s="120">
        <f>'Var Vorgaben'!$B$111</f>
        <v>3</v>
      </c>
      <c r="CJ14" s="481">
        <f>'Var Vorgaben'!$B$110</f>
        <v>220</v>
      </c>
      <c r="CK14" s="48">
        <f>'Var Vorgaben'!$B$100*(1+'Varianten eingeben'!$C$27)</f>
        <v>0.9</v>
      </c>
      <c r="CL14" s="483">
        <f>CJ14*CK14</f>
        <v>198</v>
      </c>
      <c r="CM14" s="484">
        <f>CL14/$CL$68</f>
        <v>4.7441302393252185E-3</v>
      </c>
      <c r="CN14" s="80" t="s">
        <v>29</v>
      </c>
      <c r="CO14" s="73" t="str">
        <f>'Var Vorgaben'!$B$99</f>
        <v>Ammonsalpeter</v>
      </c>
      <c r="CP14" s="120">
        <f>'Var Vorgaben'!$B$111</f>
        <v>3</v>
      </c>
      <c r="CQ14" s="481">
        <f>'Var Vorgaben'!$B$110</f>
        <v>220</v>
      </c>
      <c r="CR14" s="48">
        <f>'Var Vorgaben'!$B$100*(1+'Varianten eingeben'!$C$27)</f>
        <v>0.9</v>
      </c>
      <c r="CS14" s="483">
        <f>CQ14*CR14</f>
        <v>198</v>
      </c>
      <c r="CT14" s="484">
        <f>CS14/$CS$68</f>
        <v>4.7466074969813449E-3</v>
      </c>
      <c r="CU14" s="80" t="s">
        <v>29</v>
      </c>
      <c r="CV14" s="73" t="str">
        <f>'Var Vorgaben'!$B$99</f>
        <v>Ammonsalpeter</v>
      </c>
      <c r="CW14" s="120">
        <f>'Var Vorgaben'!$B$111</f>
        <v>3</v>
      </c>
      <c r="CX14" s="481">
        <f>'Var Vorgaben'!$B$110</f>
        <v>220</v>
      </c>
      <c r="CY14" s="48">
        <f>'Var Vorgaben'!$B$100*(1+'Varianten eingeben'!$C$27)</f>
        <v>0.9</v>
      </c>
      <c r="CZ14" s="483">
        <f>CX14*CY14</f>
        <v>198</v>
      </c>
      <c r="DA14" s="484">
        <f>CZ14/$CZ$68</f>
        <v>4.7491096734845768E-3</v>
      </c>
      <c r="DB14" s="80" t="s">
        <v>29</v>
      </c>
      <c r="DC14" s="73" t="str">
        <f>'Var Vorgaben'!$B$99</f>
        <v>Ammonsalpeter</v>
      </c>
      <c r="DD14" s="120">
        <f>'Var Vorgaben'!$B$111</f>
        <v>3</v>
      </c>
      <c r="DE14" s="481">
        <f>'Var Vorgaben'!$B$110</f>
        <v>220</v>
      </c>
      <c r="DF14" s="48">
        <f>'Var Vorgaben'!$B$100*(1+'Varianten eingeben'!$C$27)</f>
        <v>0.9</v>
      </c>
      <c r="DG14" s="483">
        <f>DE14*DF14</f>
        <v>198</v>
      </c>
      <c r="DH14" s="484">
        <f>DG14/$DG$68</f>
        <v>4.153568818522111E-3</v>
      </c>
      <c r="DI14" s="75"/>
    </row>
    <row r="15" spans="1:113" ht="13.5" thickBot="1" x14ac:dyDescent="0.25">
      <c r="A15" s="80"/>
      <c r="B15" s="73" t="str">
        <f>'Var Vorgaben'!$C$99</f>
        <v>Grunddünger (Terbona)</v>
      </c>
      <c r="C15" s="657">
        <f>'Var Vorgaben'!$C$105</f>
        <v>0</v>
      </c>
      <c r="D15" s="481">
        <f>'Var Vorgaben'!$C$104</f>
        <v>0</v>
      </c>
      <c r="E15" s="48">
        <f>'Var Vorgaben'!$C$100*(1+'Varianten eingeben'!$C$27)</f>
        <v>1.08</v>
      </c>
      <c r="F15" s="656">
        <f>D15*E15</f>
        <v>0</v>
      </c>
      <c r="G15" s="484">
        <f>F15/$F$68</f>
        <v>0</v>
      </c>
      <c r="H15" s="80"/>
      <c r="I15" s="73" t="str">
        <f>'Var Vorgaben'!$C$99</f>
        <v>Grunddünger (Terbona)</v>
      </c>
      <c r="J15" s="657">
        <f>'Var Vorgaben'!$C$107</f>
        <v>0</v>
      </c>
      <c r="K15" s="481">
        <f>'Var Vorgaben'!$C$106</f>
        <v>0</v>
      </c>
      <c r="L15" s="48">
        <f>'Var Vorgaben'!$C$100*(1+'Varianten eingeben'!$C$27)</f>
        <v>1.08</v>
      </c>
      <c r="M15" s="656">
        <f>K15*L15</f>
        <v>0</v>
      </c>
      <c r="N15" s="484">
        <f>M15/$M$68</f>
        <v>0</v>
      </c>
      <c r="O15" s="80"/>
      <c r="P15" s="73" t="str">
        <f>'Var Vorgaben'!$C$99</f>
        <v>Grunddünger (Terbona)</v>
      </c>
      <c r="Q15" s="657">
        <f>'Var Vorgaben'!$C$109</f>
        <v>0</v>
      </c>
      <c r="R15" s="481">
        <f>'Var Vorgaben'!$C$108</f>
        <v>0</v>
      </c>
      <c r="S15" s="48">
        <f>'Var Vorgaben'!$C$100*(1+'Varianten eingeben'!$C$27)</f>
        <v>1.08</v>
      </c>
      <c r="T15" s="656">
        <f>R15*S15</f>
        <v>0</v>
      </c>
      <c r="U15" s="484">
        <f>T15/$T$68</f>
        <v>0</v>
      </c>
      <c r="V15" s="80"/>
      <c r="W15" s="73" t="str">
        <f>'Var Vorgaben'!$C$99</f>
        <v>Grunddünger (Terbona)</v>
      </c>
      <c r="X15" s="657">
        <f>'Var Vorgaben'!$C$109</f>
        <v>0</v>
      </c>
      <c r="Y15" s="481">
        <f>'Var Vorgaben'!$C$108</f>
        <v>0</v>
      </c>
      <c r="Z15" s="48">
        <f>'Var Vorgaben'!$C$100*(1+'Varianten eingeben'!$C$27)</f>
        <v>1.08</v>
      </c>
      <c r="AA15" s="656">
        <f>Y15*Z15</f>
        <v>0</v>
      </c>
      <c r="AB15" s="484">
        <f>AA15/$AA$68</f>
        <v>0</v>
      </c>
      <c r="AC15" s="894"/>
      <c r="AD15" s="171" t="str">
        <f>'Var Vorgaben'!$C$99</f>
        <v>Grunddünger (Terbona)</v>
      </c>
      <c r="AE15" s="511">
        <f>'Var Vorgaben'!$C$111</f>
        <v>1</v>
      </c>
      <c r="AF15" s="889">
        <f>'Var Vorgaben'!$C$110</f>
        <v>300</v>
      </c>
      <c r="AG15" s="45">
        <f>'Var Vorgaben'!$C$100*(1+'Varianten eingeben'!$C$27)</f>
        <v>1.08</v>
      </c>
      <c r="AH15" s="486">
        <f>AF15*AG15</f>
        <v>324</v>
      </c>
      <c r="AI15" s="484">
        <f>AH15/$AH$68</f>
        <v>9.2850433851144124E-3</v>
      </c>
      <c r="AJ15" s="98"/>
      <c r="AK15" s="171" t="str">
        <f>'Var Vorgaben'!$C$99</f>
        <v>Grunddünger (Terbona)</v>
      </c>
      <c r="AL15" s="511">
        <f>'Var Vorgaben'!$C$111</f>
        <v>1</v>
      </c>
      <c r="AM15" s="889">
        <f>'Var Vorgaben'!$C$110</f>
        <v>300</v>
      </c>
      <c r="AN15" s="45">
        <f>'Var Vorgaben'!$C$100*(1+'Varianten eingeben'!$C$27)</f>
        <v>1.08</v>
      </c>
      <c r="AO15" s="486">
        <f>AM15*AN15</f>
        <v>324</v>
      </c>
      <c r="AP15" s="484">
        <f>AO15/$AO$68</f>
        <v>8.4391020376725773E-3</v>
      </c>
      <c r="AQ15" s="98"/>
      <c r="AR15" s="171" t="str">
        <f>'Var Vorgaben'!$C$99</f>
        <v>Grunddünger (Terbona)</v>
      </c>
      <c r="AS15" s="511">
        <f>'Var Vorgaben'!$C$111</f>
        <v>1</v>
      </c>
      <c r="AT15" s="889">
        <f>'Var Vorgaben'!$C$110</f>
        <v>300</v>
      </c>
      <c r="AU15" s="45">
        <f>'Var Vorgaben'!$C$100*(1+'Varianten eingeben'!$C$27)</f>
        <v>1.08</v>
      </c>
      <c r="AV15" s="486">
        <f>AT15*AU15</f>
        <v>324</v>
      </c>
      <c r="AW15" s="484">
        <f>AV15/$AV$68</f>
        <v>7.7396317689487791E-3</v>
      </c>
      <c r="AX15" s="98"/>
      <c r="AY15" s="171" t="str">
        <f>'Var Vorgaben'!$C$99</f>
        <v>Grunddünger (Terbona)</v>
      </c>
      <c r="AZ15" s="511">
        <f>'Var Vorgaben'!$C$111</f>
        <v>1</v>
      </c>
      <c r="BA15" s="889">
        <f>'Var Vorgaben'!$C$110</f>
        <v>300</v>
      </c>
      <c r="BB15" s="45">
        <f>'Var Vorgaben'!$C$100*(1+'Varianten eingeben'!$C$27)</f>
        <v>1.08</v>
      </c>
      <c r="BC15" s="486">
        <f>BA15*BB15</f>
        <v>324</v>
      </c>
      <c r="BD15" s="484">
        <f>BC15/$BC$68</f>
        <v>7.7434499738744701E-3</v>
      </c>
      <c r="BE15" s="98"/>
      <c r="BF15" s="171" t="str">
        <f>'Var Vorgaben'!$C$99</f>
        <v>Grunddünger (Terbona)</v>
      </c>
      <c r="BG15" s="511">
        <f>'Var Vorgaben'!$C$111</f>
        <v>1</v>
      </c>
      <c r="BH15" s="889">
        <f>'Var Vorgaben'!$C$110</f>
        <v>300</v>
      </c>
      <c r="BI15" s="45">
        <f>'Var Vorgaben'!$C$100*(1+'Varianten eingeben'!$C$27)</f>
        <v>1.08</v>
      </c>
      <c r="BJ15" s="486">
        <f>BH15*BI15</f>
        <v>324</v>
      </c>
      <c r="BK15" s="484">
        <f>BJ15/$BJ$68</f>
        <v>7.7473063628392558E-3</v>
      </c>
      <c r="BL15" s="98"/>
      <c r="BM15" s="171" t="str">
        <f>'Var Vorgaben'!$C$99</f>
        <v>Grunddünger (Terbona)</v>
      </c>
      <c r="BN15" s="511">
        <f>'Var Vorgaben'!$C$111</f>
        <v>1</v>
      </c>
      <c r="BO15" s="889">
        <f>'Var Vorgaben'!$C$110</f>
        <v>300</v>
      </c>
      <c r="BP15" s="45">
        <f>'Var Vorgaben'!$C$100*(1+'Varianten eingeben'!$C$27)</f>
        <v>1.08</v>
      </c>
      <c r="BQ15" s="486">
        <f>BO15*BP15</f>
        <v>324</v>
      </c>
      <c r="BR15" s="484">
        <f>BQ15/$BQ$68</f>
        <v>7.7512013543862964E-3</v>
      </c>
      <c r="BS15" s="98"/>
      <c r="BT15" s="171" t="str">
        <f>'Var Vorgaben'!$C$99</f>
        <v>Grunddünger (Terbona)</v>
      </c>
      <c r="BU15" s="511">
        <f>'Var Vorgaben'!$C$111</f>
        <v>1</v>
      </c>
      <c r="BV15" s="889">
        <f>'Var Vorgaben'!$C$110</f>
        <v>300</v>
      </c>
      <c r="BW15" s="45">
        <f>'Var Vorgaben'!$C$100*(1+'Varianten eingeben'!$C$27)</f>
        <v>1.08</v>
      </c>
      <c r="BX15" s="486">
        <f>BV15*BW15</f>
        <v>324</v>
      </c>
      <c r="BY15" s="484">
        <f>BX15/$BX$68</f>
        <v>7.7551353723500308E-3</v>
      </c>
      <c r="BZ15" s="98"/>
      <c r="CA15" s="171" t="str">
        <f>'Var Vorgaben'!$C$99</f>
        <v>Grunddünger (Terbona)</v>
      </c>
      <c r="CB15" s="511">
        <f>'Var Vorgaben'!$C$111</f>
        <v>1</v>
      </c>
      <c r="CC15" s="889">
        <f>'Var Vorgaben'!$C$110</f>
        <v>300</v>
      </c>
      <c r="CD15" s="45">
        <f>'Var Vorgaben'!$C$100*(1+'Varianten eingeben'!$C$27)</f>
        <v>1.08</v>
      </c>
      <c r="CE15" s="486">
        <f>CC15*CD15</f>
        <v>324</v>
      </c>
      <c r="CF15" s="484">
        <f>CE15/$CE$68</f>
        <v>7.759108845936457E-3</v>
      </c>
      <c r="CG15" s="98"/>
      <c r="CH15" s="171" t="str">
        <f>'Var Vorgaben'!$C$99</f>
        <v>Grunddünger (Terbona)</v>
      </c>
      <c r="CI15" s="511">
        <f>'Var Vorgaben'!$C$111</f>
        <v>1</v>
      </c>
      <c r="CJ15" s="889">
        <f>'Var Vorgaben'!$C$110</f>
        <v>300</v>
      </c>
      <c r="CK15" s="45">
        <f>'Var Vorgaben'!$C$100*(1+'Varianten eingeben'!$C$27)</f>
        <v>1.08</v>
      </c>
      <c r="CL15" s="486">
        <f>CJ15*CK15</f>
        <v>324</v>
      </c>
      <c r="CM15" s="484">
        <f>CL15/$CL$68</f>
        <v>7.7631222098049025E-3</v>
      </c>
      <c r="CN15" s="98"/>
      <c r="CO15" s="171" t="str">
        <f>'Var Vorgaben'!$C$99</f>
        <v>Grunddünger (Terbona)</v>
      </c>
      <c r="CP15" s="511">
        <f>'Var Vorgaben'!$C$111</f>
        <v>1</v>
      </c>
      <c r="CQ15" s="889">
        <f>'Var Vorgaben'!$C$110</f>
        <v>300</v>
      </c>
      <c r="CR15" s="45">
        <f>'Var Vorgaben'!$C$100*(1+'Varianten eingeben'!$C$27)</f>
        <v>1.08</v>
      </c>
      <c r="CS15" s="486">
        <f>CQ15*CR15</f>
        <v>324</v>
      </c>
      <c r="CT15" s="484">
        <f>CS15/$CS$68</f>
        <v>7.7671759041512915E-3</v>
      </c>
      <c r="CU15" s="98"/>
      <c r="CV15" s="171" t="str">
        <f>'Var Vorgaben'!$C$99</f>
        <v>Grunddünger (Terbona)</v>
      </c>
      <c r="CW15" s="511">
        <f>'Var Vorgaben'!$C$111</f>
        <v>1</v>
      </c>
      <c r="CX15" s="889">
        <f>'Var Vorgaben'!$C$110</f>
        <v>300</v>
      </c>
      <c r="CY15" s="45">
        <f>'Var Vorgaben'!$C$100*(1+'Varianten eingeben'!$C$27)</f>
        <v>1.08</v>
      </c>
      <c r="CZ15" s="486">
        <f>CX15*CY15</f>
        <v>324</v>
      </c>
      <c r="DA15" s="484">
        <f>CZ15/$CZ$68</f>
        <v>7.7712703747929435E-3</v>
      </c>
      <c r="DB15" s="98"/>
      <c r="DC15" s="171" t="str">
        <f>'Var Vorgaben'!$C$99</f>
        <v>Grunddünger (Terbona)</v>
      </c>
      <c r="DD15" s="511">
        <f>'Var Vorgaben'!$C$111</f>
        <v>1</v>
      </c>
      <c r="DE15" s="889">
        <f>'Var Vorgaben'!$C$110</f>
        <v>300</v>
      </c>
      <c r="DF15" s="45">
        <f>'Var Vorgaben'!$C$100*(1+'Varianten eingeben'!$C$27)</f>
        <v>1.08</v>
      </c>
      <c r="DG15" s="486">
        <f>DE15*DF15</f>
        <v>324</v>
      </c>
      <c r="DH15" s="484">
        <f>DG15/$DG$68</f>
        <v>6.7967489757634544E-3</v>
      </c>
    </row>
    <row r="16" spans="1:113" x14ac:dyDescent="0.2">
      <c r="A16" s="80"/>
      <c r="B16" s="73"/>
      <c r="C16" s="120">
        <f>SUM(C14:C15)</f>
        <v>2</v>
      </c>
      <c r="D16" s="481"/>
      <c r="E16" s="48"/>
      <c r="F16" s="486"/>
      <c r="G16" s="484"/>
      <c r="H16" s="80"/>
      <c r="I16" s="73"/>
      <c r="J16" s="120">
        <f>SUM(J14:J15)</f>
        <v>2</v>
      </c>
      <c r="K16" s="481"/>
      <c r="L16" s="48"/>
      <c r="M16" s="486"/>
      <c r="N16" s="484"/>
      <c r="O16" s="80"/>
      <c r="P16" s="73"/>
      <c r="Q16" s="511"/>
      <c r="R16" s="481"/>
      <c r="S16" s="48"/>
      <c r="T16" s="486"/>
      <c r="U16" s="484"/>
      <c r="V16" s="80"/>
      <c r="W16" s="73"/>
      <c r="X16" s="511"/>
      <c r="Y16" s="481"/>
      <c r="Z16" s="48"/>
      <c r="AA16" s="486"/>
      <c r="AB16" s="484"/>
      <c r="AC16" s="894"/>
      <c r="AD16" s="171" t="str">
        <f>'Var Vorgaben'!$D$99</f>
        <v xml:space="preserve">Triplesuperphosphat </v>
      </c>
      <c r="AE16" s="511">
        <f>'Var Vorgaben'!$D$111</f>
        <v>0</v>
      </c>
      <c r="AF16" s="889">
        <f>'Var Vorgaben'!$D$110</f>
        <v>35</v>
      </c>
      <c r="AG16" s="45">
        <f>'Var Vorgaben'!$D$100</f>
        <v>0.79</v>
      </c>
      <c r="AH16" s="486">
        <f>AF16*AG16</f>
        <v>27.650000000000002</v>
      </c>
      <c r="AI16" s="484">
        <f>AH16/$AH$68</f>
        <v>7.9238101727905404E-4</v>
      </c>
      <c r="AJ16" s="98"/>
      <c r="AK16" s="171" t="str">
        <f>'Var Vorgaben'!$D$99</f>
        <v xml:space="preserve">Triplesuperphosphat </v>
      </c>
      <c r="AL16" s="511">
        <f>'Var Vorgaben'!$D$111</f>
        <v>0</v>
      </c>
      <c r="AM16" s="889">
        <f>'Var Vorgaben'!$D$110</f>
        <v>35</v>
      </c>
      <c r="AN16" s="45">
        <f>'Var Vorgaben'!$D$100</f>
        <v>0.79</v>
      </c>
      <c r="AO16" s="486">
        <f>AM16*AN16</f>
        <v>27.650000000000002</v>
      </c>
      <c r="AP16" s="484">
        <f>AO16/$AO$68</f>
        <v>7.2018880043718135E-4</v>
      </c>
      <c r="AQ16" s="98"/>
      <c r="AR16" s="171" t="str">
        <f>'Var Vorgaben'!$D$99</f>
        <v xml:space="preserve">Triplesuperphosphat </v>
      </c>
      <c r="AS16" s="511">
        <f>'Var Vorgaben'!$D$111</f>
        <v>0</v>
      </c>
      <c r="AT16" s="889">
        <f>'Var Vorgaben'!$D$110</f>
        <v>35</v>
      </c>
      <c r="AU16" s="45">
        <f>'Var Vorgaben'!$D$100</f>
        <v>0.79</v>
      </c>
      <c r="AV16" s="486">
        <f>AT16*AU16</f>
        <v>27.650000000000002</v>
      </c>
      <c r="AW16" s="484">
        <f>AV16/$AV$68</f>
        <v>6.6049635312170917E-4</v>
      </c>
      <c r="AX16" s="98"/>
      <c r="AY16" s="171" t="str">
        <f>'Var Vorgaben'!$D$99</f>
        <v xml:space="preserve">Triplesuperphosphat </v>
      </c>
      <c r="AZ16" s="511">
        <f>'Var Vorgaben'!$D$111</f>
        <v>0</v>
      </c>
      <c r="BA16" s="889">
        <f>'Var Vorgaben'!$D$110</f>
        <v>35</v>
      </c>
      <c r="BB16" s="45">
        <f>'Var Vorgaben'!$D$100</f>
        <v>0.79</v>
      </c>
      <c r="BC16" s="486">
        <f>BA16*BB16</f>
        <v>27.650000000000002</v>
      </c>
      <c r="BD16" s="484">
        <f>BC16/$BC$68</f>
        <v>6.6082219684453431E-4</v>
      </c>
      <c r="BE16" s="98"/>
      <c r="BF16" s="171" t="str">
        <f>'Var Vorgaben'!$D$99</f>
        <v xml:space="preserve">Triplesuperphosphat </v>
      </c>
      <c r="BG16" s="511">
        <f>'Var Vorgaben'!$D$111</f>
        <v>0</v>
      </c>
      <c r="BH16" s="889">
        <f>'Var Vorgaben'!$D$110</f>
        <v>35</v>
      </c>
      <c r="BI16" s="45">
        <f>'Var Vorgaben'!$D$100</f>
        <v>0.79</v>
      </c>
      <c r="BJ16" s="486">
        <f>BH16*BI16</f>
        <v>27.650000000000002</v>
      </c>
      <c r="BK16" s="484">
        <f>BJ16/$BJ$68</f>
        <v>6.6115129917439957E-4</v>
      </c>
      <c r="BL16" s="98"/>
      <c r="BM16" s="171" t="str">
        <f>'Var Vorgaben'!$D$99</f>
        <v xml:space="preserve">Triplesuperphosphat </v>
      </c>
      <c r="BN16" s="511">
        <f>'Var Vorgaben'!$D$111</f>
        <v>0</v>
      </c>
      <c r="BO16" s="889">
        <f>'Var Vorgaben'!$D$110</f>
        <v>35</v>
      </c>
      <c r="BP16" s="45">
        <f>'Var Vorgaben'!$D$100</f>
        <v>0.79</v>
      </c>
      <c r="BQ16" s="486">
        <f>BO16*BP16</f>
        <v>27.650000000000002</v>
      </c>
      <c r="BR16" s="484">
        <f>BQ16/$BQ$68</f>
        <v>6.614836958295713E-4</v>
      </c>
      <c r="BS16" s="98"/>
      <c r="BT16" s="171" t="str">
        <f>'Var Vorgaben'!$D$99</f>
        <v xml:space="preserve">Triplesuperphosphat </v>
      </c>
      <c r="BU16" s="511">
        <f>'Var Vorgaben'!$D$111</f>
        <v>0</v>
      </c>
      <c r="BV16" s="889">
        <f>'Var Vorgaben'!$D$110</f>
        <v>35</v>
      </c>
      <c r="BW16" s="45">
        <f>'Var Vorgaben'!$D$100</f>
        <v>0.79</v>
      </c>
      <c r="BX16" s="486">
        <f>BV16*BW16</f>
        <v>27.650000000000002</v>
      </c>
      <c r="BY16" s="484">
        <f>BX16/$BX$68</f>
        <v>6.6181942297987152E-4</v>
      </c>
      <c r="BZ16" s="98"/>
      <c r="CA16" s="171" t="str">
        <f>'Var Vorgaben'!$D$99</f>
        <v xml:space="preserve">Triplesuperphosphat </v>
      </c>
      <c r="CB16" s="511">
        <f>'Var Vorgaben'!$D$111</f>
        <v>0</v>
      </c>
      <c r="CC16" s="889">
        <f>'Var Vorgaben'!$D$110</f>
        <v>35</v>
      </c>
      <c r="CD16" s="45">
        <f>'Var Vorgaben'!$D$100</f>
        <v>0.79</v>
      </c>
      <c r="CE16" s="486">
        <f>CC16*CD16</f>
        <v>27.650000000000002</v>
      </c>
      <c r="CF16" s="484">
        <f>CE16/$CE$68</f>
        <v>6.6215851725352792E-4</v>
      </c>
      <c r="CG16" s="98"/>
      <c r="CH16" s="171" t="str">
        <f>'Var Vorgaben'!$D$99</f>
        <v xml:space="preserve">Triplesuperphosphat </v>
      </c>
      <c r="CI16" s="511">
        <f>'Var Vorgaben'!$D$111</f>
        <v>0</v>
      </c>
      <c r="CJ16" s="889">
        <f>'Var Vorgaben'!$D$110</f>
        <v>35</v>
      </c>
      <c r="CK16" s="45">
        <f>'Var Vorgaben'!$D$100</f>
        <v>0.79</v>
      </c>
      <c r="CL16" s="486">
        <f>CJ16*CK16</f>
        <v>27.650000000000002</v>
      </c>
      <c r="CM16" s="484">
        <f>CL16/$CL$68</f>
        <v>6.6250101574415296E-4</v>
      </c>
      <c r="CN16" s="98"/>
      <c r="CO16" s="171" t="str">
        <f>'Var Vorgaben'!$D$99</f>
        <v xml:space="preserve">Triplesuperphosphat </v>
      </c>
      <c r="CP16" s="511">
        <f>'Var Vorgaben'!$D$111</f>
        <v>0</v>
      </c>
      <c r="CQ16" s="889">
        <f>'Var Vorgaben'!$D$110</f>
        <v>35</v>
      </c>
      <c r="CR16" s="45">
        <f>'Var Vorgaben'!$D$100</f>
        <v>0.79</v>
      </c>
      <c r="CS16" s="486">
        <f>CQ16*CR16</f>
        <v>27.650000000000002</v>
      </c>
      <c r="CT16" s="484">
        <f>CS16/$CS$68</f>
        <v>6.6284695601784944E-4</v>
      </c>
      <c r="CU16" s="98"/>
      <c r="CV16" s="171" t="str">
        <f>'Var Vorgaben'!$D$99</f>
        <v xml:space="preserve">Triplesuperphosphat </v>
      </c>
      <c r="CW16" s="511">
        <f>'Var Vorgaben'!$D$111</f>
        <v>0</v>
      </c>
      <c r="CX16" s="889">
        <f>'Var Vorgaben'!$D$110</f>
        <v>35</v>
      </c>
      <c r="CY16" s="45">
        <f>'Var Vorgaben'!$D$100</f>
        <v>0.79</v>
      </c>
      <c r="CZ16" s="486">
        <f>CX16*CY16</f>
        <v>27.650000000000002</v>
      </c>
      <c r="DA16" s="484">
        <f>CZ16/$CZ$68</f>
        <v>6.6319637612044719E-4</v>
      </c>
      <c r="DB16" s="98"/>
      <c r="DC16" s="171" t="str">
        <f>'Var Vorgaben'!$D$99</f>
        <v xml:space="preserve">Triplesuperphosphat </v>
      </c>
      <c r="DD16" s="511">
        <f>'Var Vorgaben'!$D$111</f>
        <v>0</v>
      </c>
      <c r="DE16" s="889">
        <f>'Var Vorgaben'!$D$110</f>
        <v>35</v>
      </c>
      <c r="DF16" s="45">
        <f>'Var Vorgaben'!$D$100</f>
        <v>0.79</v>
      </c>
      <c r="DG16" s="486">
        <f>DE16*DF16</f>
        <v>27.650000000000002</v>
      </c>
      <c r="DH16" s="484">
        <f>DG16/$DG$68</f>
        <v>5.8003120117240594E-4</v>
      </c>
    </row>
    <row r="17" spans="1:113" ht="13.5" thickBot="1" x14ac:dyDescent="0.25">
      <c r="A17" s="80"/>
      <c r="B17" s="73"/>
      <c r="C17" s="511"/>
      <c r="D17" s="481"/>
      <c r="E17" s="48"/>
      <c r="F17" s="486"/>
      <c r="G17" s="484"/>
      <c r="H17" s="80"/>
      <c r="I17" s="73"/>
      <c r="J17" s="511"/>
      <c r="K17" s="481"/>
      <c r="L17" s="48"/>
      <c r="M17" s="486"/>
      <c r="N17" s="484"/>
      <c r="O17" s="80"/>
      <c r="P17" s="73"/>
      <c r="Q17" s="511"/>
      <c r="R17" s="481"/>
      <c r="S17" s="48"/>
      <c r="T17" s="486"/>
      <c r="U17" s="484"/>
      <c r="V17" s="80"/>
      <c r="W17" s="73"/>
      <c r="X17" s="511"/>
      <c r="Y17" s="481"/>
      <c r="Z17" s="48"/>
      <c r="AA17" s="486"/>
      <c r="AB17" s="484"/>
      <c r="AC17" s="80"/>
      <c r="AD17" s="73" t="str">
        <f>'Var Vorgaben'!$E$99</f>
        <v>Patentkali</v>
      </c>
      <c r="AE17" s="893">
        <f>'Var Vorgaben'!$E$111</f>
        <v>0</v>
      </c>
      <c r="AF17" s="481">
        <f>'Var Vorgaben'!$E$110</f>
        <v>180</v>
      </c>
      <c r="AG17" s="48">
        <f>'Var Vorgaben'!$E$100</f>
        <v>0.67</v>
      </c>
      <c r="AH17" s="656">
        <f>AF17*AG17</f>
        <v>120.60000000000001</v>
      </c>
      <c r="AI17" s="484">
        <f>AH17/$AH$68</f>
        <v>3.4560994822370314E-3</v>
      </c>
      <c r="AJ17" s="80"/>
      <c r="AK17" s="73" t="str">
        <f>'Var Vorgaben'!$E$99</f>
        <v>Patentkali</v>
      </c>
      <c r="AL17" s="893">
        <f>'Var Vorgaben'!$E$111</f>
        <v>0</v>
      </c>
      <c r="AM17" s="481">
        <f>'Var Vorgaben'!$E$110</f>
        <v>180</v>
      </c>
      <c r="AN17" s="48">
        <f>'Var Vorgaben'!$E$100</f>
        <v>0.67</v>
      </c>
      <c r="AO17" s="656">
        <f>AM17*AN17</f>
        <v>120.60000000000001</v>
      </c>
      <c r="AP17" s="484">
        <f>AO17/$AO$68</f>
        <v>3.1412213140225706E-3</v>
      </c>
      <c r="AQ17" s="80"/>
      <c r="AR17" s="73" t="str">
        <f>'Var Vorgaben'!$E$99</f>
        <v>Patentkali</v>
      </c>
      <c r="AS17" s="893">
        <f>'Var Vorgaben'!$E$111</f>
        <v>0</v>
      </c>
      <c r="AT17" s="481">
        <f>'Var Vorgaben'!$E$110</f>
        <v>180</v>
      </c>
      <c r="AU17" s="48">
        <f>'Var Vorgaben'!$E$100</f>
        <v>0.67</v>
      </c>
      <c r="AV17" s="656">
        <f>AT17*AU17</f>
        <v>120.60000000000001</v>
      </c>
      <c r="AW17" s="484">
        <f>AV17/$AV$68</f>
        <v>2.8808629362198235E-3</v>
      </c>
      <c r="AX17" s="80"/>
      <c r="AY17" s="73" t="str">
        <f>'Var Vorgaben'!$E$99</f>
        <v>Patentkali</v>
      </c>
      <c r="AZ17" s="893">
        <f>'Var Vorgaben'!$E$111</f>
        <v>0</v>
      </c>
      <c r="BA17" s="481">
        <f>'Var Vorgaben'!$E$110</f>
        <v>180</v>
      </c>
      <c r="BB17" s="48">
        <f>'Var Vorgaben'!$E$100</f>
        <v>0.67</v>
      </c>
      <c r="BC17" s="656">
        <f>BA17*BB17</f>
        <v>120.60000000000001</v>
      </c>
      <c r="BD17" s="484">
        <f>BC17/$BC$68</f>
        <v>2.8822841569421643E-3</v>
      </c>
      <c r="BE17" s="80"/>
      <c r="BF17" s="73" t="str">
        <f>'Var Vorgaben'!$E$99</f>
        <v>Patentkali</v>
      </c>
      <c r="BG17" s="893">
        <f>'Var Vorgaben'!$E$111</f>
        <v>0</v>
      </c>
      <c r="BH17" s="481">
        <f>'Var Vorgaben'!$E$110</f>
        <v>180</v>
      </c>
      <c r="BI17" s="48">
        <f>'Var Vorgaben'!$E$100</f>
        <v>0.67</v>
      </c>
      <c r="BJ17" s="656">
        <f>BH17*BI17</f>
        <v>120.60000000000001</v>
      </c>
      <c r="BK17" s="484">
        <f>BJ17/$BJ$68</f>
        <v>2.88371959061239E-3</v>
      </c>
      <c r="BL17" s="80"/>
      <c r="BM17" s="73" t="str">
        <f>'Var Vorgaben'!$E$99</f>
        <v>Patentkali</v>
      </c>
      <c r="BN17" s="893">
        <f>'Var Vorgaben'!$E$111</f>
        <v>0</v>
      </c>
      <c r="BO17" s="481">
        <f>'Var Vorgaben'!$E$110</f>
        <v>180</v>
      </c>
      <c r="BP17" s="48">
        <f>'Var Vorgaben'!$E$100</f>
        <v>0.67</v>
      </c>
      <c r="BQ17" s="656">
        <f>BO17*BP17</f>
        <v>120.60000000000001</v>
      </c>
      <c r="BR17" s="484">
        <f>BQ17/$BQ$68</f>
        <v>2.8851693930215662E-3</v>
      </c>
      <c r="BS17" s="80"/>
      <c r="BT17" s="73" t="str">
        <f>'Var Vorgaben'!$E$99</f>
        <v>Patentkali</v>
      </c>
      <c r="BU17" s="893">
        <f>'Var Vorgaben'!$E$111</f>
        <v>0</v>
      </c>
      <c r="BV17" s="481">
        <f>'Var Vorgaben'!$E$110</f>
        <v>180</v>
      </c>
      <c r="BW17" s="48">
        <f>'Var Vorgaben'!$E$100</f>
        <v>0.67</v>
      </c>
      <c r="BX17" s="656">
        <f>BV17*BW17</f>
        <v>120.60000000000001</v>
      </c>
      <c r="BY17" s="484">
        <f>BX17/$BX$68</f>
        <v>2.8866337219302894E-3</v>
      </c>
      <c r="BZ17" s="80"/>
      <c r="CA17" s="73" t="str">
        <f>'Var Vorgaben'!$E$99</f>
        <v>Patentkali</v>
      </c>
      <c r="CB17" s="893">
        <f>'Var Vorgaben'!$E$111</f>
        <v>0</v>
      </c>
      <c r="CC17" s="481">
        <f>'Var Vorgaben'!$E$110</f>
        <v>180</v>
      </c>
      <c r="CD17" s="48">
        <f>'Var Vorgaben'!$E$100</f>
        <v>0.67</v>
      </c>
      <c r="CE17" s="656">
        <f>CC17*CD17</f>
        <v>120.60000000000001</v>
      </c>
      <c r="CF17" s="484">
        <f>CE17/$CE$68</f>
        <v>2.8881127370985705E-3</v>
      </c>
      <c r="CG17" s="80"/>
      <c r="CH17" s="73" t="str">
        <f>'Var Vorgaben'!$E$99</f>
        <v>Patentkali</v>
      </c>
      <c r="CI17" s="893">
        <f>'Var Vorgaben'!$E$111</f>
        <v>0</v>
      </c>
      <c r="CJ17" s="481">
        <f>'Var Vorgaben'!$E$110</f>
        <v>180</v>
      </c>
      <c r="CK17" s="48">
        <f>'Var Vorgaben'!$E$100</f>
        <v>0.67</v>
      </c>
      <c r="CL17" s="656">
        <f>CJ17*CK17</f>
        <v>120.60000000000001</v>
      </c>
      <c r="CM17" s="484">
        <f>CL17/$CL$68</f>
        <v>2.8896066003162696E-3</v>
      </c>
      <c r="CN17" s="80"/>
      <c r="CO17" s="73" t="str">
        <f>'Var Vorgaben'!$E$99</f>
        <v>Patentkali</v>
      </c>
      <c r="CP17" s="893">
        <f>'Var Vorgaben'!$E$111</f>
        <v>0</v>
      </c>
      <c r="CQ17" s="481">
        <f>'Var Vorgaben'!$E$110</f>
        <v>180</v>
      </c>
      <c r="CR17" s="48">
        <f>'Var Vorgaben'!$E$100</f>
        <v>0.67</v>
      </c>
      <c r="CS17" s="656">
        <f>CQ17*CR17</f>
        <v>120.60000000000001</v>
      </c>
      <c r="CT17" s="484">
        <f>CS17/$CS$68</f>
        <v>2.8911154754340919E-3</v>
      </c>
      <c r="CU17" s="80"/>
      <c r="CV17" s="73" t="str">
        <f>'Var Vorgaben'!$E$99</f>
        <v>Patentkali</v>
      </c>
      <c r="CW17" s="893">
        <f>'Var Vorgaben'!$E$111</f>
        <v>0</v>
      </c>
      <c r="CX17" s="481">
        <f>'Var Vorgaben'!$E$110</f>
        <v>180</v>
      </c>
      <c r="CY17" s="48">
        <f>'Var Vorgaben'!$E$100</f>
        <v>0.67</v>
      </c>
      <c r="CZ17" s="656">
        <f>CX17*CY17</f>
        <v>120.60000000000001</v>
      </c>
      <c r="DA17" s="484">
        <f>CZ17/$CZ$68</f>
        <v>2.8926395283951512E-3</v>
      </c>
      <c r="DB17" s="80"/>
      <c r="DC17" s="73" t="str">
        <f>'Var Vorgaben'!$E$99</f>
        <v>Patentkali</v>
      </c>
      <c r="DD17" s="893">
        <f>'Var Vorgaben'!$E$111</f>
        <v>0</v>
      </c>
      <c r="DE17" s="481">
        <f>'Var Vorgaben'!$E$110</f>
        <v>180</v>
      </c>
      <c r="DF17" s="48">
        <f>'Var Vorgaben'!$E$100</f>
        <v>0.67</v>
      </c>
      <c r="DG17" s="656">
        <f>DE17*DF17</f>
        <v>120.60000000000001</v>
      </c>
      <c r="DH17" s="484">
        <f>DG17/$DG$68</f>
        <v>2.5299010076452861E-3</v>
      </c>
    </row>
    <row r="18" spans="1:113" x14ac:dyDescent="0.2">
      <c r="A18" s="80"/>
      <c r="F18" s="178">
        <f>SUM(F14:F15)</f>
        <v>135</v>
      </c>
      <c r="G18" s="655">
        <f>F18/$F$68</f>
        <v>1.4268784556645941E-2</v>
      </c>
      <c r="H18" s="80"/>
      <c r="I18" s="64"/>
      <c r="K18" s="120"/>
      <c r="L18" s="482"/>
      <c r="M18" s="178">
        <f>SUM(M14:M15)</f>
        <v>135</v>
      </c>
      <c r="N18" s="655">
        <f>M18/$M$68</f>
        <v>9.8178867717653891E-3</v>
      </c>
      <c r="O18" s="80"/>
      <c r="Q18" s="120">
        <f>SUM(Q14:Q15)</f>
        <v>2</v>
      </c>
      <c r="R18" s="120"/>
      <c r="S18" s="482"/>
      <c r="T18" s="178">
        <f>SUM(T14:T15)</f>
        <v>162</v>
      </c>
      <c r="U18" s="655">
        <f>T18/$T$68</f>
        <v>7.9728329426629503E-3</v>
      </c>
      <c r="V18" s="80"/>
      <c r="X18" s="120">
        <f>SUM(X14:X15)</f>
        <v>2</v>
      </c>
      <c r="Y18" s="120"/>
      <c r="Z18" s="482"/>
      <c r="AA18" s="178">
        <f>SUM(AA14:AA15)</f>
        <v>162</v>
      </c>
      <c r="AB18" s="655">
        <f>AA18/$AA$68</f>
        <v>6.7012628485645861E-3</v>
      </c>
      <c r="AC18" s="80"/>
      <c r="AE18" s="120">
        <f>SUM(AE14:AE17)</f>
        <v>4</v>
      </c>
      <c r="AF18" s="120"/>
      <c r="AG18" s="482"/>
      <c r="AH18" s="178">
        <f>SUM(AH14:AH17)</f>
        <v>670.25</v>
      </c>
      <c r="AI18" s="655">
        <f>AH18/$AH$68</f>
        <v>1.9207717064422637E-2</v>
      </c>
      <c r="AJ18" s="80"/>
      <c r="AL18" s="120">
        <f>SUM(AL14:AL17)</f>
        <v>4</v>
      </c>
      <c r="AM18" s="120"/>
      <c r="AN18" s="482"/>
      <c r="AO18" s="178">
        <f>SUM(AO14:AO17)</f>
        <v>670.25</v>
      </c>
      <c r="AP18" s="655">
        <f>AO18/$AO$68</f>
        <v>1.7457741175154459E-2</v>
      </c>
      <c r="AQ18" s="80"/>
      <c r="AS18" s="120">
        <f>SUM(AS14:AS17)</f>
        <v>4</v>
      </c>
      <c r="AT18" s="120"/>
      <c r="AU18" s="482"/>
      <c r="AV18" s="178">
        <f>SUM(AV14:AV17)</f>
        <v>670.25</v>
      </c>
      <c r="AW18" s="655">
        <f>AV18/$AV$68</f>
        <v>1.6010766028203456E-2</v>
      </c>
      <c r="AX18" s="80"/>
      <c r="AZ18" s="120">
        <f>SUM(AZ14:AZ17)</f>
        <v>4</v>
      </c>
      <c r="BA18" s="120"/>
      <c r="BB18" s="482"/>
      <c r="BC18" s="178">
        <f>SUM(BC14:BC17)</f>
        <v>670.25</v>
      </c>
      <c r="BD18" s="655">
        <f>BC18/$BC$68</f>
        <v>1.60186646450289E-2</v>
      </c>
      <c r="BE18" s="80"/>
      <c r="BG18" s="120">
        <f>SUM(BG14:BG17)</f>
        <v>4</v>
      </c>
      <c r="BH18" s="120"/>
      <c r="BI18" s="482"/>
      <c r="BJ18" s="178">
        <f>SUM(BJ14:BJ17)</f>
        <v>670.25</v>
      </c>
      <c r="BK18" s="655">
        <f>BJ18/$BJ$68</f>
        <v>1.6026642252138925E-2</v>
      </c>
      <c r="BL18" s="80"/>
      <c r="BN18" s="120">
        <f>SUM(BN14:BN17)</f>
        <v>4</v>
      </c>
      <c r="BO18" s="120"/>
      <c r="BP18" s="482"/>
      <c r="BQ18" s="178">
        <f>SUM(BQ14:BQ17)</f>
        <v>670.25</v>
      </c>
      <c r="BR18" s="655">
        <f>BQ18/$BQ$68</f>
        <v>1.6034699715362394E-2</v>
      </c>
      <c r="BS18" s="80"/>
      <c r="BU18" s="120">
        <f>SUM(BU14:BU17)</f>
        <v>4</v>
      </c>
      <c r="BV18" s="120"/>
      <c r="BW18" s="482"/>
      <c r="BX18" s="178">
        <f>SUM(BX14:BX17)</f>
        <v>670.25</v>
      </c>
      <c r="BY18" s="655">
        <f>BX18/$BX$68</f>
        <v>1.6042837911474098E-2</v>
      </c>
      <c r="BZ18" s="80"/>
      <c r="CB18" s="120">
        <f>SUM(CB14:CB17)</f>
        <v>4</v>
      </c>
      <c r="CC18" s="120"/>
      <c r="CD18" s="482"/>
      <c r="CE18" s="178">
        <f>SUM(CE14:CE17)</f>
        <v>670.25</v>
      </c>
      <c r="CF18" s="655">
        <f>CE18/$CE$68</f>
        <v>1.6051057728360834E-2</v>
      </c>
      <c r="CG18" s="80"/>
      <c r="CI18" s="120">
        <f>SUM(CI14:CI17)</f>
        <v>4</v>
      </c>
      <c r="CJ18" s="120"/>
      <c r="CK18" s="482"/>
      <c r="CL18" s="178">
        <f>SUM(CL14:CL17)</f>
        <v>670.25</v>
      </c>
      <c r="CM18" s="655">
        <f>CL18/$CL$68</f>
        <v>1.6059360065190542E-2</v>
      </c>
      <c r="CN18" s="80"/>
      <c r="CP18" s="120">
        <f>SUM(CP14:CP17)</f>
        <v>4</v>
      </c>
      <c r="CQ18" s="120"/>
      <c r="CR18" s="482"/>
      <c r="CS18" s="178">
        <f>SUM(CS14:CS17)</f>
        <v>670.25</v>
      </c>
      <c r="CT18" s="655">
        <f>CS18/$CS$68</f>
        <v>1.6067745832584579E-2</v>
      </c>
      <c r="CU18" s="80"/>
      <c r="CW18" s="120">
        <f>SUM(CW14:CW17)</f>
        <v>4</v>
      </c>
      <c r="CX18" s="120"/>
      <c r="CY18" s="482"/>
      <c r="CZ18" s="178">
        <f>SUM(CZ14:CZ17)</f>
        <v>670.25</v>
      </c>
      <c r="DA18" s="655">
        <f>CZ18/$CZ$68</f>
        <v>1.6076215952793117E-2</v>
      </c>
      <c r="DB18" s="80"/>
      <c r="DD18" s="120">
        <f>SUM(DD14:DD17)</f>
        <v>4</v>
      </c>
      <c r="DE18" s="120"/>
      <c r="DF18" s="482"/>
      <c r="DG18" s="178">
        <f>SUM(DG14:DG17)</f>
        <v>670.25</v>
      </c>
      <c r="DH18" s="655">
        <f>DG18/$DG$68</f>
        <v>1.4060250003103259E-2</v>
      </c>
    </row>
    <row r="19" spans="1:113" x14ac:dyDescent="0.2">
      <c r="A19" s="73"/>
      <c r="C19" s="323"/>
      <c r="D19" s="529"/>
      <c r="G19" s="484"/>
      <c r="H19" s="124"/>
      <c r="I19" s="64"/>
      <c r="J19" s="323"/>
      <c r="K19" s="529"/>
      <c r="L19" s="482"/>
      <c r="M19" s="483"/>
      <c r="N19" s="484"/>
      <c r="O19" s="73"/>
      <c r="Q19" s="323"/>
      <c r="R19" s="529"/>
      <c r="S19" s="482"/>
      <c r="T19" s="483"/>
      <c r="U19" s="484"/>
      <c r="V19" s="73"/>
      <c r="X19" s="323"/>
      <c r="Y19" s="529"/>
      <c r="Z19" s="482"/>
      <c r="AA19" s="483"/>
      <c r="AB19" s="484"/>
      <c r="AC19" s="73"/>
      <c r="AE19" s="323"/>
      <c r="AF19" s="529"/>
      <c r="AG19" s="482"/>
      <c r="AH19" s="483"/>
      <c r="AI19" s="484"/>
      <c r="AJ19" s="73"/>
      <c r="AL19" s="323"/>
      <c r="AM19" s="529"/>
      <c r="AN19" s="482"/>
      <c r="AO19" s="483"/>
      <c r="AP19" s="484"/>
      <c r="AQ19" s="73"/>
      <c r="AS19" s="323"/>
      <c r="AT19" s="529"/>
      <c r="AU19" s="482"/>
      <c r="AV19" s="483"/>
      <c r="AW19" s="484"/>
      <c r="AX19" s="73"/>
      <c r="AZ19" s="323"/>
      <c r="BA19" s="529"/>
      <c r="BB19" s="482"/>
      <c r="BC19" s="483"/>
      <c r="BD19" s="484"/>
      <c r="BE19" s="73"/>
      <c r="BG19" s="323"/>
      <c r="BH19" s="529"/>
      <c r="BI19" s="482"/>
      <c r="BJ19" s="483"/>
      <c r="BK19" s="484"/>
      <c r="BL19" s="73"/>
      <c r="BN19" s="323"/>
      <c r="BO19" s="529"/>
      <c r="BP19" s="482"/>
      <c r="BQ19" s="483"/>
      <c r="BR19" s="484"/>
      <c r="BS19" s="73"/>
      <c r="BU19" s="323"/>
      <c r="BV19" s="529"/>
      <c r="BW19" s="482"/>
      <c r="BX19" s="483"/>
      <c r="BY19" s="484"/>
      <c r="BZ19" s="73"/>
      <c r="CB19" s="323"/>
      <c r="CC19" s="529"/>
      <c r="CD19" s="482"/>
      <c r="CE19" s="483"/>
      <c r="CF19" s="484"/>
      <c r="CG19" s="73"/>
      <c r="CI19" s="323"/>
      <c r="CJ19" s="529"/>
      <c r="CK19" s="482"/>
      <c r="CL19" s="483"/>
      <c r="CM19" s="484"/>
      <c r="CN19" s="73"/>
      <c r="CP19" s="323"/>
      <c r="CQ19" s="529"/>
      <c r="CR19" s="482"/>
      <c r="CS19" s="483"/>
      <c r="CT19" s="484"/>
      <c r="CU19" s="73"/>
      <c r="CW19" s="323"/>
      <c r="CX19" s="529"/>
      <c r="CY19" s="482"/>
      <c r="CZ19" s="483"/>
      <c r="DA19" s="484"/>
      <c r="DB19" s="73"/>
      <c r="DD19" s="323"/>
      <c r="DE19" s="529"/>
      <c r="DF19" s="482"/>
      <c r="DG19" s="483"/>
      <c r="DH19" s="484"/>
    </row>
    <row r="20" spans="1:113" x14ac:dyDescent="0.2">
      <c r="A20" s="64" t="str">
        <f>'Var Vorgaben'!$A$115</f>
        <v>Fungiziden</v>
      </c>
      <c r="C20" s="323"/>
      <c r="D20" s="529"/>
      <c r="F20" s="483">
        <f>'Var Vorgaben'!$B$115*(1+'Varianten eingeben'!$C$26)</f>
        <v>420</v>
      </c>
      <c r="G20" s="484"/>
      <c r="H20" s="64" t="str">
        <f>'Var Vorgaben'!$A$115</f>
        <v>Fungiziden</v>
      </c>
      <c r="I20" s="64"/>
      <c r="J20" s="323"/>
      <c r="K20" s="529"/>
      <c r="L20" s="482"/>
      <c r="M20" s="483">
        <f>'Var Vorgaben'!$C$115*(1+'Varianten eingeben'!$C$26)</f>
        <v>550</v>
      </c>
      <c r="N20" s="484"/>
      <c r="O20" s="64" t="str">
        <f>'Var Vorgaben'!$A$115</f>
        <v>Fungiziden</v>
      </c>
      <c r="Q20" s="323"/>
      <c r="R20" s="529"/>
      <c r="S20" s="482"/>
      <c r="T20" s="483">
        <f>'Var Vorgaben'!$D$115*(1+'Varianten eingeben'!$C$26)</f>
        <v>1200</v>
      </c>
      <c r="U20" s="484"/>
      <c r="V20" s="64" t="str">
        <f>'Var Vorgaben'!$A$115</f>
        <v>Fungiziden</v>
      </c>
      <c r="X20" s="323"/>
      <c r="Y20" s="529"/>
      <c r="Z20" s="482"/>
      <c r="AA20" s="483">
        <f>'Var Vorgaben'!$E$115*(1+'Varianten eingeben'!$C$26)</f>
        <v>1200</v>
      </c>
      <c r="AB20" s="484"/>
      <c r="AC20" s="64" t="str">
        <f>'Var Vorgaben'!$A$115</f>
        <v>Fungiziden</v>
      </c>
      <c r="AE20" s="323"/>
      <c r="AF20" s="529"/>
      <c r="AG20" s="482"/>
      <c r="AH20" s="483">
        <f>'Var Vorgaben'!$E$115*(1+'Varianten eingeben'!$C$26)</f>
        <v>1200</v>
      </c>
      <c r="AI20" s="484"/>
      <c r="AJ20" s="64" t="str">
        <f>'Var Vorgaben'!$A$115</f>
        <v>Fungiziden</v>
      </c>
      <c r="AL20" s="323"/>
      <c r="AM20" s="529"/>
      <c r="AN20" s="482"/>
      <c r="AO20" s="483">
        <f>'Var Vorgaben'!$E$115*(1+'Varianten eingeben'!$C$26)</f>
        <v>1200</v>
      </c>
      <c r="AP20" s="484"/>
      <c r="AQ20" s="64" t="str">
        <f>'Var Vorgaben'!$A$115</f>
        <v>Fungiziden</v>
      </c>
      <c r="AS20" s="323"/>
      <c r="AT20" s="529"/>
      <c r="AU20" s="482"/>
      <c r="AV20" s="483">
        <f>'Var Vorgaben'!$E$115*(1+'Varianten eingeben'!$C$26)</f>
        <v>1200</v>
      </c>
      <c r="AW20" s="484"/>
      <c r="AX20" s="64" t="str">
        <f>'Var Vorgaben'!$A$115</f>
        <v>Fungiziden</v>
      </c>
      <c r="AZ20" s="323"/>
      <c r="BA20" s="529"/>
      <c r="BB20" s="482"/>
      <c r="BC20" s="483">
        <f>'Var Vorgaben'!$E$115*(1+'Varianten eingeben'!$C$26)</f>
        <v>1200</v>
      </c>
      <c r="BD20" s="484"/>
      <c r="BE20" s="64" t="str">
        <f>'Var Vorgaben'!$A$115</f>
        <v>Fungiziden</v>
      </c>
      <c r="BG20" s="323"/>
      <c r="BH20" s="529"/>
      <c r="BI20" s="482"/>
      <c r="BJ20" s="483">
        <f>'Var Vorgaben'!$E$115*(1+'Varianten eingeben'!$C$26)</f>
        <v>1200</v>
      </c>
      <c r="BK20" s="484"/>
      <c r="BL20" s="64" t="str">
        <f>'Var Vorgaben'!$A$115</f>
        <v>Fungiziden</v>
      </c>
      <c r="BN20" s="323"/>
      <c r="BO20" s="529"/>
      <c r="BP20" s="482"/>
      <c r="BQ20" s="483">
        <f>'Var Vorgaben'!$E$115*(1+'Varianten eingeben'!$C$26)</f>
        <v>1200</v>
      </c>
      <c r="BR20" s="484"/>
      <c r="BS20" s="64" t="str">
        <f>'Var Vorgaben'!$A$115</f>
        <v>Fungiziden</v>
      </c>
      <c r="BU20" s="323"/>
      <c r="BV20" s="529"/>
      <c r="BW20" s="482"/>
      <c r="BX20" s="483">
        <f>'Var Vorgaben'!$E$115*(1+'Varianten eingeben'!$C$26)</f>
        <v>1200</v>
      </c>
      <c r="BY20" s="484"/>
      <c r="BZ20" s="64" t="str">
        <f>'Var Vorgaben'!$A$115</f>
        <v>Fungiziden</v>
      </c>
      <c r="CB20" s="323"/>
      <c r="CC20" s="529"/>
      <c r="CD20" s="482"/>
      <c r="CE20" s="483">
        <f>'Var Vorgaben'!$E$115*(1+'Varianten eingeben'!$C$26)</f>
        <v>1200</v>
      </c>
      <c r="CF20" s="484"/>
      <c r="CG20" s="64" t="str">
        <f>'Var Vorgaben'!$A$115</f>
        <v>Fungiziden</v>
      </c>
      <c r="CI20" s="323"/>
      <c r="CJ20" s="529"/>
      <c r="CK20" s="482"/>
      <c r="CL20" s="483">
        <f>'Var Vorgaben'!$E$115*(1+'Varianten eingeben'!$C$26)</f>
        <v>1200</v>
      </c>
      <c r="CM20" s="484"/>
      <c r="CN20" s="64" t="str">
        <f>'Var Vorgaben'!$A$115</f>
        <v>Fungiziden</v>
      </c>
      <c r="CP20" s="323"/>
      <c r="CQ20" s="529"/>
      <c r="CR20" s="482"/>
      <c r="CS20" s="483">
        <f>'Var Vorgaben'!$E$115*(1+'Varianten eingeben'!$C$26)</f>
        <v>1200</v>
      </c>
      <c r="CT20" s="484"/>
      <c r="CU20" s="64" t="str">
        <f>'Var Vorgaben'!$A$115</f>
        <v>Fungiziden</v>
      </c>
      <c r="CW20" s="323"/>
      <c r="CX20" s="529"/>
      <c r="CY20" s="482"/>
      <c r="CZ20" s="483">
        <f>'Var Vorgaben'!$E$115*(1+'Varianten eingeben'!$C$26)</f>
        <v>1200</v>
      </c>
      <c r="DA20" s="484"/>
      <c r="DB20" s="64" t="str">
        <f>'Var Vorgaben'!$A$115</f>
        <v>Fungiziden</v>
      </c>
      <c r="DD20" s="323"/>
      <c r="DE20" s="529"/>
      <c r="DF20" s="482"/>
      <c r="DG20" s="483">
        <f>'Var Vorgaben'!$E$115*(1+'Varianten eingeben'!$C$26)</f>
        <v>1200</v>
      </c>
      <c r="DH20" s="484"/>
    </row>
    <row r="21" spans="1:113" x14ac:dyDescent="0.2">
      <c r="A21" s="64" t="str">
        <f>'Var Vorgaben'!$A$116</f>
        <v>Insektiziden</v>
      </c>
      <c r="C21" s="323"/>
      <c r="D21" s="888"/>
      <c r="F21" s="483">
        <f>'Var Vorgaben'!$B$116*(1+'Varianten eingeben'!$C$26)</f>
        <v>55</v>
      </c>
      <c r="G21" s="484"/>
      <c r="H21" s="64" t="str">
        <f>'Var Vorgaben'!$A$116</f>
        <v>Insektiziden</v>
      </c>
      <c r="I21" s="64"/>
      <c r="J21" s="323"/>
      <c r="K21" s="888"/>
      <c r="L21" s="482"/>
      <c r="M21" s="483">
        <f>'Var Vorgaben'!$C$116*(1+'Varianten eingeben'!$C$26)</f>
        <v>55</v>
      </c>
      <c r="N21" s="484"/>
      <c r="O21" s="64" t="str">
        <f>'Var Vorgaben'!$A$116</f>
        <v>Insektiziden</v>
      </c>
      <c r="Q21" s="323"/>
      <c r="R21" s="888"/>
      <c r="S21" s="482"/>
      <c r="T21" s="483">
        <f>'Var Vorgaben'!$D$116*(1+'Varianten eingeben'!$C$26)</f>
        <v>900</v>
      </c>
      <c r="U21" s="484"/>
      <c r="V21" s="64" t="str">
        <f>'Var Vorgaben'!$A$116</f>
        <v>Insektiziden</v>
      </c>
      <c r="X21" s="323"/>
      <c r="Y21" s="888"/>
      <c r="Z21" s="482"/>
      <c r="AA21" s="483">
        <f>'Var Vorgaben'!$E$116*(1+'Varianten eingeben'!$C$26)</f>
        <v>1200</v>
      </c>
      <c r="AB21" s="484"/>
      <c r="AC21" s="64" t="str">
        <f>'Var Vorgaben'!$A$116</f>
        <v>Insektiziden</v>
      </c>
      <c r="AE21" s="323"/>
      <c r="AF21" s="888"/>
      <c r="AG21" s="482"/>
      <c r="AH21" s="483">
        <f>'Var Vorgaben'!$E$116*(1+'Varianten eingeben'!$C$26)</f>
        <v>1200</v>
      </c>
      <c r="AI21" s="484"/>
      <c r="AJ21" s="64" t="str">
        <f>'Var Vorgaben'!$A$116</f>
        <v>Insektiziden</v>
      </c>
      <c r="AL21" s="323"/>
      <c r="AM21" s="888"/>
      <c r="AN21" s="482"/>
      <c r="AO21" s="483">
        <f>'Var Vorgaben'!$E$116*(1+'Varianten eingeben'!$C$26)</f>
        <v>1200</v>
      </c>
      <c r="AP21" s="484"/>
      <c r="AQ21" s="64" t="str">
        <f>'Var Vorgaben'!$A$116</f>
        <v>Insektiziden</v>
      </c>
      <c r="AS21" s="323"/>
      <c r="AT21" s="888"/>
      <c r="AU21" s="482"/>
      <c r="AV21" s="483">
        <f>'Var Vorgaben'!$E$116*(1+'Varianten eingeben'!$C$26)</f>
        <v>1200</v>
      </c>
      <c r="AW21" s="484"/>
      <c r="AX21" s="64" t="str">
        <f>'Var Vorgaben'!$A$116</f>
        <v>Insektiziden</v>
      </c>
      <c r="AZ21" s="323"/>
      <c r="BA21" s="888"/>
      <c r="BB21" s="482"/>
      <c r="BC21" s="483">
        <f>'Var Vorgaben'!$E$116*(1+'Varianten eingeben'!$C$26)</f>
        <v>1200</v>
      </c>
      <c r="BD21" s="484"/>
      <c r="BE21" s="64" t="str">
        <f>'Var Vorgaben'!$A$116</f>
        <v>Insektiziden</v>
      </c>
      <c r="BG21" s="323"/>
      <c r="BH21" s="888"/>
      <c r="BI21" s="482"/>
      <c r="BJ21" s="483">
        <f>'Var Vorgaben'!$E$116*(1+'Varianten eingeben'!$C$26)</f>
        <v>1200</v>
      </c>
      <c r="BK21" s="484"/>
      <c r="BL21" s="64" t="str">
        <f>'Var Vorgaben'!$A$116</f>
        <v>Insektiziden</v>
      </c>
      <c r="BN21" s="323"/>
      <c r="BO21" s="888"/>
      <c r="BP21" s="482"/>
      <c r="BQ21" s="483">
        <f>'Var Vorgaben'!$E$116*(1+'Varianten eingeben'!$C$26)</f>
        <v>1200</v>
      </c>
      <c r="BR21" s="484"/>
      <c r="BS21" s="64" t="str">
        <f>'Var Vorgaben'!$A$116</f>
        <v>Insektiziden</v>
      </c>
      <c r="BU21" s="323"/>
      <c r="BV21" s="888"/>
      <c r="BW21" s="482"/>
      <c r="BX21" s="483">
        <f>'Var Vorgaben'!$E$116*(1+'Varianten eingeben'!$C$26)</f>
        <v>1200</v>
      </c>
      <c r="BY21" s="484"/>
      <c r="BZ21" s="64" t="str">
        <f>'Var Vorgaben'!$A$116</f>
        <v>Insektiziden</v>
      </c>
      <c r="CB21" s="323"/>
      <c r="CC21" s="888"/>
      <c r="CD21" s="482"/>
      <c r="CE21" s="483">
        <f>'Var Vorgaben'!$E$116*(1+'Varianten eingeben'!$C$26)</f>
        <v>1200</v>
      </c>
      <c r="CF21" s="484"/>
      <c r="CG21" s="64" t="str">
        <f>'Var Vorgaben'!$A$116</f>
        <v>Insektiziden</v>
      </c>
      <c r="CI21" s="323"/>
      <c r="CJ21" s="888"/>
      <c r="CK21" s="482"/>
      <c r="CL21" s="483">
        <f>'Var Vorgaben'!$E$116*(1+'Varianten eingeben'!$C$26)</f>
        <v>1200</v>
      </c>
      <c r="CM21" s="484"/>
      <c r="CN21" s="64" t="str">
        <f>'Var Vorgaben'!$A$116</f>
        <v>Insektiziden</v>
      </c>
      <c r="CP21" s="323"/>
      <c r="CQ21" s="888"/>
      <c r="CR21" s="482"/>
      <c r="CS21" s="483">
        <f>'Var Vorgaben'!$E$116*(1+'Varianten eingeben'!$C$26)</f>
        <v>1200</v>
      </c>
      <c r="CT21" s="484"/>
      <c r="CU21" s="64" t="str">
        <f>'Var Vorgaben'!$A$116</f>
        <v>Insektiziden</v>
      </c>
      <c r="CW21" s="323"/>
      <c r="CX21" s="888"/>
      <c r="CY21" s="482"/>
      <c r="CZ21" s="483">
        <f>'Var Vorgaben'!$E$116*(1+'Varianten eingeben'!$C$26)</f>
        <v>1200</v>
      </c>
      <c r="DA21" s="484"/>
      <c r="DB21" s="64" t="str">
        <f>'Var Vorgaben'!$A$116</f>
        <v>Insektiziden</v>
      </c>
      <c r="DD21" s="323"/>
      <c r="DE21" s="888"/>
      <c r="DF21" s="482"/>
      <c r="DG21" s="483">
        <f>'Var Vorgaben'!$E$116*(1+'Varianten eingeben'!$C$26)</f>
        <v>1200</v>
      </c>
      <c r="DH21" s="484"/>
    </row>
    <row r="22" spans="1:113" ht="13.5" thickBot="1" x14ac:dyDescent="0.25">
      <c r="A22" s="64" t="str">
        <f>'Var Vorgaben'!$A$117</f>
        <v>Herbiziden</v>
      </c>
      <c r="C22" s="323"/>
      <c r="D22" s="529"/>
      <c r="F22" s="656">
        <f>'Var Vorgaben'!$B$117*(1+'Varianten eingeben'!$C$26)</f>
        <v>0</v>
      </c>
      <c r="G22" s="484"/>
      <c r="H22" s="64" t="str">
        <f>'Var Vorgaben'!$A$117</f>
        <v>Herbiziden</v>
      </c>
      <c r="I22" s="64"/>
      <c r="J22" s="323"/>
      <c r="K22" s="529"/>
      <c r="L22" s="482"/>
      <c r="M22" s="656">
        <f>'Var Vorgaben'!$C$117*(1+'Varianten eingeben'!$C$26)</f>
        <v>80</v>
      </c>
      <c r="N22" s="484"/>
      <c r="O22" s="64" t="str">
        <f>'Var Vorgaben'!$A$117</f>
        <v>Herbiziden</v>
      </c>
      <c r="Q22" s="323"/>
      <c r="R22" s="529"/>
      <c r="S22" s="482"/>
      <c r="T22" s="656">
        <f>'Var Vorgaben'!$D$117*(1+'Varianten eingeben'!$C$26)</f>
        <v>150</v>
      </c>
      <c r="U22" s="484"/>
      <c r="V22" s="64" t="str">
        <f>'Var Vorgaben'!$A$117</f>
        <v>Herbiziden</v>
      </c>
      <c r="X22" s="323"/>
      <c r="Y22" s="529"/>
      <c r="Z22" s="482"/>
      <c r="AA22" s="656">
        <f>'Var Vorgaben'!$E$117*(1+'Varianten eingeben'!$C$26)</f>
        <v>160</v>
      </c>
      <c r="AB22" s="484"/>
      <c r="AC22" s="64" t="str">
        <f>'Var Vorgaben'!$A$117</f>
        <v>Herbiziden</v>
      </c>
      <c r="AE22" s="323"/>
      <c r="AF22" s="529"/>
      <c r="AG22" s="482"/>
      <c r="AH22" s="656">
        <f>'Var Vorgaben'!$E$117*(1+'Varianten eingeben'!$C$26)</f>
        <v>160</v>
      </c>
      <c r="AI22" s="484"/>
      <c r="AJ22" s="64" t="str">
        <f>'Var Vorgaben'!$A$117</f>
        <v>Herbiziden</v>
      </c>
      <c r="AL22" s="323"/>
      <c r="AM22" s="529"/>
      <c r="AN22" s="482"/>
      <c r="AO22" s="656">
        <f>'Var Vorgaben'!$E$117*(1+'Varianten eingeben'!$C$26)</f>
        <v>160</v>
      </c>
      <c r="AP22" s="484"/>
      <c r="AQ22" s="64" t="str">
        <f>'Var Vorgaben'!$A$117</f>
        <v>Herbiziden</v>
      </c>
      <c r="AS22" s="323"/>
      <c r="AT22" s="529"/>
      <c r="AU22" s="482"/>
      <c r="AV22" s="656">
        <f>'Var Vorgaben'!$E$117*(1+'Varianten eingeben'!$C$26)</f>
        <v>160</v>
      </c>
      <c r="AW22" s="484"/>
      <c r="AX22" s="64" t="str">
        <f>'Var Vorgaben'!$A$117</f>
        <v>Herbiziden</v>
      </c>
      <c r="AZ22" s="323"/>
      <c r="BA22" s="529"/>
      <c r="BB22" s="482"/>
      <c r="BC22" s="656">
        <f>'Var Vorgaben'!$E$117*(1+'Varianten eingeben'!$C$26)</f>
        <v>160</v>
      </c>
      <c r="BD22" s="484"/>
      <c r="BE22" s="64" t="str">
        <f>'Var Vorgaben'!$A$117</f>
        <v>Herbiziden</v>
      </c>
      <c r="BG22" s="323"/>
      <c r="BH22" s="529"/>
      <c r="BI22" s="482"/>
      <c r="BJ22" s="656">
        <f>'Var Vorgaben'!$E$117*(1+'Varianten eingeben'!$C$26)</f>
        <v>160</v>
      </c>
      <c r="BK22" s="484"/>
      <c r="BL22" s="64" t="str">
        <f>'Var Vorgaben'!$A$117</f>
        <v>Herbiziden</v>
      </c>
      <c r="BN22" s="323"/>
      <c r="BO22" s="529"/>
      <c r="BP22" s="482"/>
      <c r="BQ22" s="656">
        <f>'Var Vorgaben'!$E$117*(1+'Varianten eingeben'!$C$26)</f>
        <v>160</v>
      </c>
      <c r="BR22" s="484"/>
      <c r="BS22" s="64" t="str">
        <f>'Var Vorgaben'!$A$117</f>
        <v>Herbiziden</v>
      </c>
      <c r="BU22" s="323"/>
      <c r="BV22" s="529"/>
      <c r="BW22" s="482"/>
      <c r="BX22" s="656">
        <f>'Var Vorgaben'!$E$117*(1+'Varianten eingeben'!$C$26)</f>
        <v>160</v>
      </c>
      <c r="BY22" s="484"/>
      <c r="BZ22" s="64" t="str">
        <f>'Var Vorgaben'!$A$117</f>
        <v>Herbiziden</v>
      </c>
      <c r="CB22" s="323"/>
      <c r="CC22" s="529"/>
      <c r="CD22" s="482"/>
      <c r="CE22" s="656">
        <f>'Var Vorgaben'!$E$117*(1+'Varianten eingeben'!$C$26)</f>
        <v>160</v>
      </c>
      <c r="CF22" s="484"/>
      <c r="CG22" s="64" t="str">
        <f>'Var Vorgaben'!$A$117</f>
        <v>Herbiziden</v>
      </c>
      <c r="CI22" s="323"/>
      <c r="CJ22" s="529"/>
      <c r="CK22" s="482"/>
      <c r="CL22" s="656">
        <f>'Var Vorgaben'!$E$117*(1+'Varianten eingeben'!$C$26)</f>
        <v>160</v>
      </c>
      <c r="CM22" s="484"/>
      <c r="CN22" s="64" t="str">
        <f>'Var Vorgaben'!$A$117</f>
        <v>Herbiziden</v>
      </c>
      <c r="CP22" s="323"/>
      <c r="CQ22" s="529"/>
      <c r="CR22" s="482"/>
      <c r="CS22" s="656">
        <f>'Var Vorgaben'!$E$117*(1+'Varianten eingeben'!$C$26)</f>
        <v>160</v>
      </c>
      <c r="CT22" s="484"/>
      <c r="CU22" s="64" t="str">
        <f>'Var Vorgaben'!$A$117</f>
        <v>Herbiziden</v>
      </c>
      <c r="CW22" s="323"/>
      <c r="CX22" s="529"/>
      <c r="CY22" s="482"/>
      <c r="CZ22" s="656">
        <f>'Var Vorgaben'!$E$117*(1+'Varianten eingeben'!$C$26)</f>
        <v>160</v>
      </c>
      <c r="DA22" s="484"/>
      <c r="DB22" s="64" t="str">
        <f>'Var Vorgaben'!$A$117</f>
        <v>Herbiziden</v>
      </c>
      <c r="DD22" s="323"/>
      <c r="DE22" s="529"/>
      <c r="DF22" s="482"/>
      <c r="DG22" s="656">
        <f>'Var Vorgaben'!$E$117*(1+'Varianten eingeben'!$C$26)</f>
        <v>160</v>
      </c>
      <c r="DH22" s="484"/>
    </row>
    <row r="23" spans="1:113" s="73" customFormat="1" x14ac:dyDescent="0.2">
      <c r="A23" s="124"/>
      <c r="B23" s="378"/>
      <c r="C23" s="323"/>
      <c r="D23" s="888"/>
      <c r="E23" s="482"/>
      <c r="F23" s="182">
        <f>SUM(F20:F22)</f>
        <v>475</v>
      </c>
      <c r="G23" s="671">
        <f>F23/F33</f>
        <v>0.13818113882237257</v>
      </c>
      <c r="H23" s="124"/>
      <c r="I23" s="378"/>
      <c r="J23" s="323"/>
      <c r="K23" s="888"/>
      <c r="L23" s="482"/>
      <c r="M23" s="182">
        <f>SUM(M20:M22)</f>
        <v>685</v>
      </c>
      <c r="N23" s="671">
        <f>M23/M33</f>
        <v>0.16358142935647099</v>
      </c>
      <c r="O23" s="124"/>
      <c r="P23" s="378"/>
      <c r="Q23" s="323"/>
      <c r="R23" s="888"/>
      <c r="S23" s="482"/>
      <c r="T23" s="182">
        <f>SUM(T20:T22)</f>
        <v>2250</v>
      </c>
      <c r="U23" s="671">
        <f>T23/T33</f>
        <v>0.37193052554342293</v>
      </c>
      <c r="V23" s="124"/>
      <c r="W23" s="378"/>
      <c r="X23" s="323"/>
      <c r="Y23" s="888"/>
      <c r="Z23" s="482"/>
      <c r="AA23" s="182">
        <f>SUM(AA20:AA22)</f>
        <v>2560</v>
      </c>
      <c r="AB23" s="671">
        <f>AA23/AA33</f>
        <v>0.37104047094964809</v>
      </c>
      <c r="AC23" s="124"/>
      <c r="AD23" s="378"/>
      <c r="AE23" s="323"/>
      <c r="AF23" s="888"/>
      <c r="AG23" s="482"/>
      <c r="AH23" s="182">
        <f>SUM(AH20:AH22)</f>
        <v>2560</v>
      </c>
      <c r="AI23" s="671">
        <f>AH23/AH33</f>
        <v>0.30161054492667211</v>
      </c>
      <c r="AJ23" s="124"/>
      <c r="AK23" s="378"/>
      <c r="AL23" s="323"/>
      <c r="AM23" s="888"/>
      <c r="AN23" s="482"/>
      <c r="AO23" s="182">
        <f>SUM(AO20:AO22)</f>
        <v>2560</v>
      </c>
      <c r="AP23" s="671">
        <f>AO23/AO33</f>
        <v>0.28356957244037634</v>
      </c>
      <c r="AQ23" s="124"/>
      <c r="AR23" s="378"/>
      <c r="AS23" s="323"/>
      <c r="AT23" s="888"/>
      <c r="AU23" s="482"/>
      <c r="AV23" s="182">
        <f>SUM(AV20:AV22)</f>
        <v>2560</v>
      </c>
      <c r="AW23" s="671">
        <f>AV23/AV33</f>
        <v>0.26756504696290723</v>
      </c>
      <c r="AX23" s="124"/>
      <c r="AY23" s="378"/>
      <c r="AZ23" s="323"/>
      <c r="BA23" s="888"/>
      <c r="BB23" s="482"/>
      <c r="BC23" s="182">
        <f>SUM(BC20:BC22)</f>
        <v>2560</v>
      </c>
      <c r="BD23" s="671">
        <f>BC23/BC33</f>
        <v>0.26756504696290723</v>
      </c>
      <c r="BE23" s="124"/>
      <c r="BF23" s="378"/>
      <c r="BG23" s="323"/>
      <c r="BH23" s="888"/>
      <c r="BI23" s="482"/>
      <c r="BJ23" s="182">
        <f>SUM(BJ20:BJ22)</f>
        <v>2560</v>
      </c>
      <c r="BK23" s="671">
        <f>BJ23/BJ33</f>
        <v>0.26756504696290723</v>
      </c>
      <c r="BL23" s="124"/>
      <c r="BM23" s="378"/>
      <c r="BN23" s="323"/>
      <c r="BO23" s="888"/>
      <c r="BP23" s="482"/>
      <c r="BQ23" s="182">
        <f>SUM(BQ20:BQ22)</f>
        <v>2560</v>
      </c>
      <c r="BR23" s="671">
        <f>BQ23/BQ33</f>
        <v>0.26756504696290723</v>
      </c>
      <c r="BS23" s="124"/>
      <c r="BT23" s="378"/>
      <c r="BU23" s="323"/>
      <c r="BV23" s="888"/>
      <c r="BW23" s="482"/>
      <c r="BX23" s="182">
        <f>SUM(BX20:BX22)</f>
        <v>2560</v>
      </c>
      <c r="BY23" s="671">
        <f>BX23/BX33</f>
        <v>0.26756504696290723</v>
      </c>
      <c r="BZ23" s="124"/>
      <c r="CA23" s="378"/>
      <c r="CB23" s="323"/>
      <c r="CC23" s="888"/>
      <c r="CD23" s="482"/>
      <c r="CE23" s="182">
        <f>SUM(CE20:CE22)</f>
        <v>2560</v>
      </c>
      <c r="CF23" s="671">
        <f>CE23/CE33</f>
        <v>0.26756504696290723</v>
      </c>
      <c r="CG23" s="124"/>
      <c r="CH23" s="378"/>
      <c r="CI23" s="323"/>
      <c r="CJ23" s="888"/>
      <c r="CK23" s="482"/>
      <c r="CL23" s="182">
        <f>SUM(CL20:CL22)</f>
        <v>2560</v>
      </c>
      <c r="CM23" s="671">
        <f>CL23/CL33</f>
        <v>0.26756504696290723</v>
      </c>
      <c r="CN23" s="124"/>
      <c r="CO23" s="378"/>
      <c r="CP23" s="323"/>
      <c r="CQ23" s="888"/>
      <c r="CR23" s="482"/>
      <c r="CS23" s="182">
        <f>SUM(CS20:CS22)</f>
        <v>2560</v>
      </c>
      <c r="CT23" s="671">
        <f>CS23/CS33</f>
        <v>0.26756504696290723</v>
      </c>
      <c r="CU23" s="124"/>
      <c r="CV23" s="378"/>
      <c r="CW23" s="323"/>
      <c r="CX23" s="888"/>
      <c r="CY23" s="482"/>
      <c r="CZ23" s="182">
        <f>SUM(CZ20:CZ22)</f>
        <v>2560</v>
      </c>
      <c r="DA23" s="671">
        <f>CZ23/CZ33</f>
        <v>0.26756504696290723</v>
      </c>
      <c r="DB23" s="124"/>
      <c r="DC23" s="378"/>
      <c r="DD23" s="323"/>
      <c r="DE23" s="888"/>
      <c r="DF23" s="482"/>
      <c r="DG23" s="182">
        <f>SUM(DG20:DG22)</f>
        <v>2560</v>
      </c>
      <c r="DH23" s="671">
        <f>DG23/DG33</f>
        <v>0.26756504696290723</v>
      </c>
    </row>
    <row r="24" spans="1:113" s="73" customFormat="1" ht="13.5" thickBot="1" x14ac:dyDescent="0.25">
      <c r="A24" s="124"/>
      <c r="B24" s="378"/>
      <c r="C24" s="323"/>
      <c r="D24" s="888"/>
      <c r="E24" s="482"/>
      <c r="F24" s="182"/>
      <c r="G24" s="671"/>
      <c r="H24" s="124"/>
      <c r="I24" s="64"/>
      <c r="J24" s="323"/>
      <c r="K24" s="888"/>
      <c r="L24" s="482"/>
      <c r="M24" s="182"/>
      <c r="N24" s="671"/>
      <c r="O24" s="124"/>
      <c r="P24" s="64"/>
      <c r="Q24" s="807"/>
      <c r="R24" s="529"/>
      <c r="S24" s="482"/>
      <c r="T24" s="656"/>
      <c r="U24" s="484"/>
      <c r="V24" s="124"/>
      <c r="W24" s="64"/>
      <c r="X24" s="807"/>
      <c r="Y24" s="529"/>
      <c r="Z24" s="482"/>
      <c r="AA24" s="656"/>
      <c r="AB24" s="484"/>
      <c r="AC24" s="124"/>
      <c r="AD24" s="64"/>
      <c r="AE24" s="807"/>
      <c r="AF24" s="529"/>
      <c r="AG24" s="482"/>
      <c r="AH24" s="656"/>
      <c r="AI24" s="484"/>
      <c r="AJ24" s="124"/>
      <c r="AK24" s="64"/>
      <c r="AL24" s="807"/>
      <c r="AM24" s="529"/>
      <c r="AN24" s="482"/>
      <c r="AO24" s="656"/>
      <c r="AP24" s="484"/>
      <c r="AQ24" s="124"/>
      <c r="AR24" s="64"/>
      <c r="AS24" s="807"/>
      <c r="AT24" s="529"/>
      <c r="AU24" s="482"/>
      <c r="AV24" s="656"/>
      <c r="AW24" s="484"/>
      <c r="AX24" s="124"/>
      <c r="AY24" s="64"/>
      <c r="AZ24" s="807"/>
      <c r="BA24" s="529"/>
      <c r="BB24" s="482"/>
      <c r="BC24" s="656"/>
      <c r="BD24" s="484"/>
      <c r="BE24" s="124"/>
      <c r="BF24" s="64"/>
      <c r="BG24" s="807"/>
      <c r="BH24" s="529"/>
      <c r="BI24" s="482"/>
      <c r="BJ24" s="656"/>
      <c r="BK24" s="484"/>
      <c r="BL24" s="124"/>
      <c r="BM24" s="64"/>
      <c r="BN24" s="807"/>
      <c r="BO24" s="529"/>
      <c r="BP24" s="482"/>
      <c r="BQ24" s="656"/>
      <c r="BR24" s="484"/>
      <c r="BS24" s="124"/>
      <c r="BT24" s="64"/>
      <c r="BU24" s="807"/>
      <c r="BV24" s="529"/>
      <c r="BW24" s="482"/>
      <c r="BX24" s="656"/>
      <c r="BY24" s="484"/>
      <c r="BZ24" s="124"/>
      <c r="CA24" s="64"/>
      <c r="CB24" s="807"/>
      <c r="CC24" s="529"/>
      <c r="CD24" s="482"/>
      <c r="CE24" s="656"/>
      <c r="CF24" s="484"/>
      <c r="CG24" s="124"/>
      <c r="CH24" s="64"/>
      <c r="CI24" s="807"/>
      <c r="CJ24" s="529"/>
      <c r="CK24" s="482"/>
      <c r="CL24" s="656"/>
      <c r="CM24" s="484"/>
      <c r="CN24" s="124"/>
      <c r="CO24" s="64"/>
      <c r="CP24" s="807"/>
      <c r="CQ24" s="529"/>
      <c r="CR24" s="482"/>
      <c r="CS24" s="656"/>
      <c r="CT24" s="484"/>
      <c r="CU24" s="124"/>
      <c r="CV24" s="64"/>
      <c r="CW24" s="807"/>
      <c r="CX24" s="529"/>
      <c r="CY24" s="482"/>
      <c r="CZ24" s="656"/>
      <c r="DA24" s="484"/>
      <c r="DB24" s="124"/>
      <c r="DC24" s="64"/>
      <c r="DD24" s="807"/>
      <c r="DE24" s="529"/>
      <c r="DF24" s="482"/>
      <c r="DG24" s="656"/>
      <c r="DH24" s="484"/>
    </row>
    <row r="25" spans="1:113" ht="16.5" customHeight="1" x14ac:dyDescent="0.2">
      <c r="A25" s="73" t="str">
        <f>'Var Hagel'!$A$76</f>
        <v>Hagelversicherung</v>
      </c>
      <c r="B25" s="528">
        <f>'Varianten eingeben'!$D$32</f>
        <v>0</v>
      </c>
      <c r="C25" s="1185">
        <f>'Var Hagel'!$D79</f>
        <v>0.112</v>
      </c>
      <c r="D25" s="1186">
        <f>'Var Hagel'!$C79*(1+'Varianten eingeben'!$C$32)</f>
        <v>0</v>
      </c>
      <c r="E25" s="1185">
        <f>'Var Hagel'!$E79</f>
        <v>0.8</v>
      </c>
      <c r="F25" s="162">
        <f>E25*D25*C25*B25</f>
        <v>0</v>
      </c>
      <c r="G25" s="655">
        <f>F25/$F$70</f>
        <v>0</v>
      </c>
      <c r="H25" s="73" t="str">
        <f>'Var Hagel'!$A$76</f>
        <v>Hagelversicherung</v>
      </c>
      <c r="I25" s="528">
        <f>'Varianten eingeben'!$D$32</f>
        <v>0</v>
      </c>
      <c r="J25" s="1185">
        <f>'Var Hagel'!$D80</f>
        <v>0.112</v>
      </c>
      <c r="K25" s="1186">
        <f>'Var Hagel'!$C80*(1+'Varianten eingeben'!$C$32)</f>
        <v>6624</v>
      </c>
      <c r="L25" s="1185">
        <f>'Var Hagel'!$E80</f>
        <v>0.8</v>
      </c>
      <c r="M25" s="162">
        <f>L25*K25*J25*I25</f>
        <v>0</v>
      </c>
      <c r="N25" s="484">
        <f>M25/$M$70</f>
        <v>0</v>
      </c>
      <c r="O25" s="73" t="str">
        <f>'Var Hagel'!$A$76</f>
        <v>Hagelversicherung</v>
      </c>
      <c r="P25" s="528">
        <f>'Varianten eingeben'!$D$32</f>
        <v>0</v>
      </c>
      <c r="Q25" s="1185">
        <f>'Var Hagel'!$D81</f>
        <v>0.112</v>
      </c>
      <c r="R25" s="1186">
        <f>'Var Hagel'!$C81*(1+'Varianten eingeben'!$C$32)</f>
        <v>9936</v>
      </c>
      <c r="S25" s="1185">
        <f>'Var Hagel'!$E80</f>
        <v>0.8</v>
      </c>
      <c r="T25" s="162">
        <f>S25*R25*Q25*P25</f>
        <v>0</v>
      </c>
      <c r="U25" s="655">
        <f>T25/$T$70</f>
        <v>0</v>
      </c>
      <c r="V25" s="73" t="str">
        <f>'Var Hagel'!$A$76</f>
        <v>Hagelversicherung</v>
      </c>
      <c r="W25" s="528">
        <f>'Varianten eingeben'!$D$32</f>
        <v>0</v>
      </c>
      <c r="X25" s="1185">
        <f>'Var Hagel'!$D82</f>
        <v>0.112</v>
      </c>
      <c r="Y25" s="1186">
        <f>'Var Hagel'!$C82*(1+'Varianten eingeben'!$C$32)</f>
        <v>16560</v>
      </c>
      <c r="Z25" s="1185">
        <f>'Var Hagel'!$E82</f>
        <v>0.8</v>
      </c>
      <c r="AA25" s="162">
        <f>Z25*Y25*X25*W25</f>
        <v>0</v>
      </c>
      <c r="AB25" s="655">
        <f>AA25/$AA$70</f>
        <v>0</v>
      </c>
      <c r="AC25" s="73" t="str">
        <f>'Var Hagel'!$A$76</f>
        <v>Hagelversicherung</v>
      </c>
      <c r="AD25" s="528">
        <f>'Varianten eingeben'!$D$32</f>
        <v>0</v>
      </c>
      <c r="AE25" s="1185">
        <f>'Var Hagel'!$D83</f>
        <v>0.112</v>
      </c>
      <c r="AF25" s="1186">
        <f>'Var Hagel'!$C83*(1+'Varianten eingeben'!$C$32)</f>
        <v>29808</v>
      </c>
      <c r="AG25" s="1185">
        <f>'Var Hagel'!$E83</f>
        <v>0.8</v>
      </c>
      <c r="AH25" s="162">
        <f>AG25*AF25*AE25*AD25</f>
        <v>0</v>
      </c>
      <c r="AI25" s="655">
        <f>AH25/$AH$70</f>
        <v>0</v>
      </c>
      <c r="AJ25" s="73" t="str">
        <f>'Var Hagel'!$A$76</f>
        <v>Hagelversicherung</v>
      </c>
      <c r="AK25" s="528">
        <f>'Varianten eingeben'!$D$32</f>
        <v>0</v>
      </c>
      <c r="AL25" s="1185">
        <f>'Var Hagel'!$D84</f>
        <v>0.112</v>
      </c>
      <c r="AM25" s="1186">
        <f>'Var Hagel'!$C84*(1+'Varianten eingeben'!$C$32)</f>
        <v>36432</v>
      </c>
      <c r="AN25" s="1185">
        <f>'Var Hagel'!$E84</f>
        <v>0.8</v>
      </c>
      <c r="AO25" s="162">
        <f>AN25*AM25*AL25*AK25</f>
        <v>0</v>
      </c>
      <c r="AP25" s="655">
        <f>AO25/$AO$70</f>
        <v>0</v>
      </c>
      <c r="AQ25" s="73" t="str">
        <f>'Var Hagel'!$A$76</f>
        <v>Hagelversicherung</v>
      </c>
      <c r="AR25" s="528">
        <f>'Varianten eingeben'!$D$32</f>
        <v>0</v>
      </c>
      <c r="AS25" s="1185">
        <f>'Var Hagel'!$D85</f>
        <v>0.112</v>
      </c>
      <c r="AT25" s="1186">
        <f>'Var Hagel'!$C85*(1+'Varianten eingeben'!$C$32)</f>
        <v>43056</v>
      </c>
      <c r="AU25" s="1185">
        <f>'Var Hagel'!$E85</f>
        <v>0.8</v>
      </c>
      <c r="AV25" s="162">
        <f>AU25*AT25*AS25*AR25</f>
        <v>0</v>
      </c>
      <c r="AW25" s="655">
        <f>AV25/$AV$70</f>
        <v>0</v>
      </c>
      <c r="AX25" s="73" t="str">
        <f>'Var Hagel'!$A$76</f>
        <v>Hagelversicherung</v>
      </c>
      <c r="AY25" s="528">
        <f>'Varianten eingeben'!$D$32</f>
        <v>0</v>
      </c>
      <c r="AZ25" s="1185">
        <f>'Var Hagel'!$D86</f>
        <v>0.112</v>
      </c>
      <c r="BA25" s="1186">
        <f>'Var Hagel'!$C86*(1+'Varianten eingeben'!$C$32)</f>
        <v>43056</v>
      </c>
      <c r="BB25" s="1185">
        <f>'Var Hagel'!$E86</f>
        <v>0.8</v>
      </c>
      <c r="BC25" s="162">
        <f>BB25*BA25*AZ25*AY25</f>
        <v>0</v>
      </c>
      <c r="BD25" s="655">
        <f>BC25/$BC$70</f>
        <v>0</v>
      </c>
      <c r="BE25" s="73" t="str">
        <f>'Var Hagel'!$A$76</f>
        <v>Hagelversicherung</v>
      </c>
      <c r="BF25" s="528">
        <f>'Varianten eingeben'!$D$32</f>
        <v>0</v>
      </c>
      <c r="BG25" s="1185">
        <f>'Var Hagel'!$D87</f>
        <v>0.112</v>
      </c>
      <c r="BH25" s="1186">
        <f>'Var Hagel'!$C87*(1+'Varianten eingeben'!$C$32)</f>
        <v>43056</v>
      </c>
      <c r="BI25" s="1185">
        <f>'Var Hagel'!$E87</f>
        <v>0.8</v>
      </c>
      <c r="BJ25" s="162">
        <f>BI25*BH25*BG25*BF25</f>
        <v>0</v>
      </c>
      <c r="BK25" s="655">
        <f>BJ25/$BJ$70</f>
        <v>0</v>
      </c>
      <c r="BL25" s="73" t="str">
        <f>'Var Hagel'!$A$76</f>
        <v>Hagelversicherung</v>
      </c>
      <c r="BM25" s="528">
        <f>'Varianten eingeben'!$D$32</f>
        <v>0</v>
      </c>
      <c r="BN25" s="1185">
        <f>'Var Hagel'!$D88</f>
        <v>0.112</v>
      </c>
      <c r="BO25" s="1186">
        <f>'Var Hagel'!$C88*(1+'Varianten eingeben'!$C$32)</f>
        <v>43056</v>
      </c>
      <c r="BP25" s="1185">
        <f>'Var Hagel'!$E88</f>
        <v>0.8</v>
      </c>
      <c r="BQ25" s="162">
        <f>BP25*BO25*BN25*BM25</f>
        <v>0</v>
      </c>
      <c r="BR25" s="655">
        <f>BQ25/$BQ$70</f>
        <v>0</v>
      </c>
      <c r="BS25" s="73" t="str">
        <f>'Var Hagel'!$A$76</f>
        <v>Hagelversicherung</v>
      </c>
      <c r="BT25" s="528">
        <f>'Varianten eingeben'!$D$32</f>
        <v>0</v>
      </c>
      <c r="BU25" s="1185">
        <f>'Var Hagel'!$D89</f>
        <v>0.112</v>
      </c>
      <c r="BV25" s="1186">
        <f>'Var Hagel'!$C89*(1+'Varianten eingeben'!$C$32)</f>
        <v>43056</v>
      </c>
      <c r="BW25" s="1185">
        <f>'Var Hagel'!$E89</f>
        <v>0.8</v>
      </c>
      <c r="BX25" s="162">
        <f>BW25*BV25*BU25*BT25</f>
        <v>0</v>
      </c>
      <c r="BY25" s="655">
        <f>BX25/$BX$70</f>
        <v>0</v>
      </c>
      <c r="BZ25" s="73" t="str">
        <f>'Var Hagel'!$A$76</f>
        <v>Hagelversicherung</v>
      </c>
      <c r="CA25" s="528">
        <f>'Varianten eingeben'!$D$32</f>
        <v>0</v>
      </c>
      <c r="CB25" s="1185">
        <f>'Var Hagel'!$D90</f>
        <v>0.112</v>
      </c>
      <c r="CC25" s="1186">
        <f>'Var Hagel'!$C90*(1+'Varianten eingeben'!$C$32)</f>
        <v>43056</v>
      </c>
      <c r="CD25" s="1185">
        <f>'Var Hagel'!$E90</f>
        <v>0.8</v>
      </c>
      <c r="CE25" s="162">
        <f>CD25*CC25*CB25*CA25</f>
        <v>0</v>
      </c>
      <c r="CF25" s="655">
        <f>CE25/$CE$70</f>
        <v>0</v>
      </c>
      <c r="CG25" s="73" t="str">
        <f>'Var Hagel'!$A$76</f>
        <v>Hagelversicherung</v>
      </c>
      <c r="CH25" s="528">
        <f>'Varianten eingeben'!$D$32</f>
        <v>0</v>
      </c>
      <c r="CI25" s="1185">
        <f>'Var Hagel'!$D91</f>
        <v>0.112</v>
      </c>
      <c r="CJ25" s="1186">
        <f>'Var Hagel'!$C91*(1+'Varianten eingeben'!$C$32)</f>
        <v>43056</v>
      </c>
      <c r="CK25" s="1185">
        <f>'Var Hagel'!$E91</f>
        <v>0.8</v>
      </c>
      <c r="CL25" s="162">
        <f>CK25*CJ25*CI25*CH25</f>
        <v>0</v>
      </c>
      <c r="CM25" s="655">
        <f>CL25/$CL$70</f>
        <v>0</v>
      </c>
      <c r="CN25" s="73" t="str">
        <f>'Var Hagel'!$A$76</f>
        <v>Hagelversicherung</v>
      </c>
      <c r="CO25" s="528">
        <f>'Varianten eingeben'!$D$32</f>
        <v>0</v>
      </c>
      <c r="CP25" s="1185">
        <f>'Var Hagel'!$D92</f>
        <v>0.112</v>
      </c>
      <c r="CQ25" s="1186">
        <f>'Var Hagel'!$C92*(1+'Varianten eingeben'!$C$32)</f>
        <v>43056</v>
      </c>
      <c r="CR25" s="1185">
        <f>'Var Hagel'!$E92</f>
        <v>0.8</v>
      </c>
      <c r="CS25" s="162">
        <f>CR25*CQ25*CP25*CO25</f>
        <v>0</v>
      </c>
      <c r="CT25" s="655">
        <f>CS25/$CS$70</f>
        <v>0</v>
      </c>
      <c r="CU25" s="73" t="str">
        <f>'Var Hagel'!$A$76</f>
        <v>Hagelversicherung</v>
      </c>
      <c r="CV25" s="528">
        <f>'Varianten eingeben'!$D$32</f>
        <v>0</v>
      </c>
      <c r="CW25" s="1185">
        <f>'Var Hagel'!$D93</f>
        <v>0.112</v>
      </c>
      <c r="CX25" s="1186">
        <f>'Var Hagel'!$C93*(1+'Varianten eingeben'!$C$32)</f>
        <v>43056</v>
      </c>
      <c r="CY25" s="1185">
        <f>'Var Hagel'!$E93</f>
        <v>0.8</v>
      </c>
      <c r="CZ25" s="162">
        <f>CY25*CX25*CW25*CV25</f>
        <v>0</v>
      </c>
      <c r="DA25" s="655">
        <f>CZ25/$CZ$70</f>
        <v>0</v>
      </c>
      <c r="DB25" s="73" t="str">
        <f>'Var Hagel'!$A$76</f>
        <v>Hagelversicherung</v>
      </c>
      <c r="DC25" s="528">
        <f>'Varianten eingeben'!$D$32</f>
        <v>0</v>
      </c>
      <c r="DD25" s="1185">
        <f>'Var Hagel'!$D94</f>
        <v>0.112</v>
      </c>
      <c r="DE25" s="1186">
        <f>'Var Hagel'!$C94*(1+'Varianten eingeben'!$C$32)</f>
        <v>43056</v>
      </c>
      <c r="DF25" s="1185">
        <f>'Var Hagel'!$E94</f>
        <v>0.8</v>
      </c>
      <c r="DG25" s="162">
        <f>DF25*DE25*DD25*DC25</f>
        <v>0</v>
      </c>
      <c r="DH25" s="655">
        <f>DG25/$DG$70</f>
        <v>0</v>
      </c>
    </row>
    <row r="26" spans="1:113" ht="16.5" customHeight="1" x14ac:dyDescent="0.2">
      <c r="A26" s="171" t="s">
        <v>450</v>
      </c>
      <c r="B26" s="528"/>
      <c r="C26" s="323"/>
      <c r="D26" s="323"/>
      <c r="E26" s="169"/>
      <c r="F26" s="162">
        <f>'Var Vorgaben'!$C$188</f>
        <v>2107.5169002666662</v>
      </c>
      <c r="G26" s="655"/>
      <c r="H26" s="171" t="s">
        <v>450</v>
      </c>
      <c r="I26" s="528"/>
      <c r="J26" s="323"/>
      <c r="K26" s="323"/>
      <c r="L26" s="169"/>
      <c r="M26" s="162">
        <f>'Var Vorgaben'!$C$188</f>
        <v>2107.5169002666662</v>
      </c>
      <c r="N26" s="655"/>
      <c r="O26" s="171" t="s">
        <v>450</v>
      </c>
      <c r="P26" s="528"/>
      <c r="Q26" s="323"/>
      <c r="R26" s="323"/>
      <c r="S26" s="169"/>
      <c r="T26" s="162">
        <f>'Var Vorgaben'!$C$188</f>
        <v>2107.5169002666662</v>
      </c>
      <c r="U26" s="655"/>
      <c r="V26" s="171" t="s">
        <v>450</v>
      </c>
      <c r="W26" s="528"/>
      <c r="X26" s="323"/>
      <c r="Y26" s="323"/>
      <c r="Z26" s="169"/>
      <c r="AA26" s="162">
        <f>'Var Vorgaben'!$C$188</f>
        <v>2107.5169002666662</v>
      </c>
      <c r="AB26" s="655"/>
      <c r="AC26" s="171" t="s">
        <v>450</v>
      </c>
      <c r="AD26" s="528"/>
      <c r="AE26" s="323"/>
      <c r="AF26" s="323"/>
      <c r="AG26" s="169"/>
      <c r="AH26" s="162">
        <f>'Var Vorgaben'!$C$188</f>
        <v>2107.5169002666662</v>
      </c>
      <c r="AI26" s="655"/>
      <c r="AJ26" s="171" t="s">
        <v>450</v>
      </c>
      <c r="AK26" s="528"/>
      <c r="AL26" s="323"/>
      <c r="AM26" s="323"/>
      <c r="AN26" s="169"/>
      <c r="AO26" s="162">
        <f>'Var Vorgaben'!$C$188</f>
        <v>2107.5169002666662</v>
      </c>
      <c r="AP26" s="655"/>
      <c r="AQ26" s="171" t="s">
        <v>450</v>
      </c>
      <c r="AR26" s="528"/>
      <c r="AS26" s="323"/>
      <c r="AT26" s="323"/>
      <c r="AU26" s="169"/>
      <c r="AV26" s="162">
        <f>'Var Vorgaben'!$C$188</f>
        <v>2107.5169002666662</v>
      </c>
      <c r="AW26" s="655"/>
      <c r="AX26" s="171" t="s">
        <v>450</v>
      </c>
      <c r="AY26" s="528"/>
      <c r="AZ26" s="323"/>
      <c r="BA26" s="323"/>
      <c r="BB26" s="169"/>
      <c r="BC26" s="162">
        <f>'Var Vorgaben'!$C$188</f>
        <v>2107.5169002666662</v>
      </c>
      <c r="BD26" s="655"/>
      <c r="BE26" s="171" t="s">
        <v>450</v>
      </c>
      <c r="BF26" s="528"/>
      <c r="BG26" s="323"/>
      <c r="BH26" s="323"/>
      <c r="BI26" s="169"/>
      <c r="BJ26" s="162">
        <f>'Var Vorgaben'!$C$188</f>
        <v>2107.5169002666662</v>
      </c>
      <c r="BK26" s="655"/>
      <c r="BL26" s="171" t="s">
        <v>450</v>
      </c>
      <c r="BM26" s="528"/>
      <c r="BN26" s="323"/>
      <c r="BO26" s="323"/>
      <c r="BP26" s="169"/>
      <c r="BQ26" s="162">
        <f>'Var Vorgaben'!$C$188</f>
        <v>2107.5169002666662</v>
      </c>
      <c r="BR26" s="655"/>
      <c r="BS26" s="171" t="s">
        <v>450</v>
      </c>
      <c r="BT26" s="528"/>
      <c r="BU26" s="323"/>
      <c r="BV26" s="323"/>
      <c r="BW26" s="169"/>
      <c r="BX26" s="162">
        <f>'Var Vorgaben'!$C$188</f>
        <v>2107.5169002666662</v>
      </c>
      <c r="BY26" s="655"/>
      <c r="BZ26" s="171" t="s">
        <v>450</v>
      </c>
      <c r="CA26" s="528"/>
      <c r="CB26" s="323"/>
      <c r="CC26" s="323"/>
      <c r="CD26" s="169"/>
      <c r="CE26" s="162">
        <f>'Var Vorgaben'!$C$188</f>
        <v>2107.5169002666662</v>
      </c>
      <c r="CF26" s="655"/>
      <c r="CG26" s="171" t="s">
        <v>450</v>
      </c>
      <c r="CH26" s="528"/>
      <c r="CI26" s="323"/>
      <c r="CJ26" s="323"/>
      <c r="CK26" s="169"/>
      <c r="CL26" s="162">
        <f>'Var Vorgaben'!$C$188</f>
        <v>2107.5169002666662</v>
      </c>
      <c r="CM26" s="655"/>
      <c r="CN26" s="171" t="s">
        <v>450</v>
      </c>
      <c r="CO26" s="528"/>
      <c r="CP26" s="323"/>
      <c r="CQ26" s="323"/>
      <c r="CR26" s="169"/>
      <c r="CS26" s="162">
        <f>'Var Vorgaben'!$C$188</f>
        <v>2107.5169002666662</v>
      </c>
      <c r="CT26" s="655"/>
      <c r="CU26" s="171" t="s">
        <v>450</v>
      </c>
      <c r="CV26" s="528"/>
      <c r="CW26" s="323"/>
      <c r="CX26" s="323"/>
      <c r="CY26" s="169"/>
      <c r="CZ26" s="162">
        <f>'Var Vorgaben'!$C$188</f>
        <v>2107.5169002666662</v>
      </c>
      <c r="DA26" s="655"/>
      <c r="DB26" s="171" t="s">
        <v>450</v>
      </c>
      <c r="DC26" s="528"/>
      <c r="DD26" s="323"/>
      <c r="DE26" s="323"/>
      <c r="DF26" s="169"/>
      <c r="DG26" s="162">
        <f>'Var Vorgaben'!$C$188</f>
        <v>2107.5169002666662</v>
      </c>
      <c r="DH26" s="655"/>
    </row>
    <row r="27" spans="1:113" ht="18" customHeight="1" x14ac:dyDescent="0.2">
      <c r="A27" s="80" t="s">
        <v>657</v>
      </c>
      <c r="B27" s="73" t="str">
        <f>'Var Vorgaben'!$F$38</f>
        <v>Zwetschgen</v>
      </c>
      <c r="C27" s="73" t="s">
        <v>63</v>
      </c>
      <c r="D27" s="323"/>
      <c r="E27" s="169">
        <f>'Var Vorgaben'!$G$38</f>
        <v>470</v>
      </c>
      <c r="F27" s="93">
        <f>E27</f>
        <v>470</v>
      </c>
      <c r="G27" s="484">
        <f>F27/$F$68</f>
        <v>4.9676509197211796E-2</v>
      </c>
      <c r="H27" s="80" t="s">
        <v>657</v>
      </c>
      <c r="I27" s="73" t="str">
        <f>'Var Vorgaben'!$F$38</f>
        <v>Zwetschgen</v>
      </c>
      <c r="J27" s="73" t="s">
        <v>63</v>
      </c>
      <c r="K27" s="323"/>
      <c r="L27" s="169">
        <f>'Var Vorgaben'!$G$38</f>
        <v>470</v>
      </c>
      <c r="M27" s="93">
        <f>L27</f>
        <v>470</v>
      </c>
      <c r="N27" s="484">
        <f>M27/$M$68</f>
        <v>3.4180790983183204E-2</v>
      </c>
      <c r="O27" s="80" t="s">
        <v>657</v>
      </c>
      <c r="P27" s="73" t="str">
        <f>'Var Vorgaben'!$F$38</f>
        <v>Zwetschgen</v>
      </c>
      <c r="Q27" s="73" t="s">
        <v>63</v>
      </c>
      <c r="R27" s="323"/>
      <c r="S27" s="169">
        <f>'Var Vorgaben'!$G$38</f>
        <v>470</v>
      </c>
      <c r="T27" s="93">
        <f>S27</f>
        <v>470</v>
      </c>
      <c r="U27" s="484">
        <f>T27/$T$68</f>
        <v>2.3131058537355472E-2</v>
      </c>
      <c r="V27" s="80" t="s">
        <v>657</v>
      </c>
      <c r="W27" s="73" t="str">
        <f>'Var Vorgaben'!$F$38</f>
        <v>Zwetschgen</v>
      </c>
      <c r="X27" s="73" t="s">
        <v>63</v>
      </c>
      <c r="Y27" s="323"/>
      <c r="Z27" s="169">
        <f>'Var Vorgaben'!$G$38</f>
        <v>470</v>
      </c>
      <c r="AA27" s="93">
        <f>Z27</f>
        <v>470</v>
      </c>
      <c r="AB27" s="484">
        <f>AA27/$AA$68</f>
        <v>1.9441935424847873E-2</v>
      </c>
      <c r="AC27" s="80" t="s">
        <v>658</v>
      </c>
      <c r="AD27" s="73" t="str">
        <f>'Var Vorgaben'!$F$38</f>
        <v>Zwetschgen</v>
      </c>
      <c r="AE27" s="4" t="s">
        <v>670</v>
      </c>
      <c r="AF27" s="323"/>
      <c r="AG27" s="169">
        <f>'Var Vorgaben'!$G$38</f>
        <v>470</v>
      </c>
      <c r="AH27" s="93">
        <f>AG27</f>
        <v>470</v>
      </c>
      <c r="AI27" s="484">
        <f>AH27/$AH$68</f>
        <v>1.3469044416678313E-2</v>
      </c>
      <c r="AJ27" s="80" t="s">
        <v>657</v>
      </c>
      <c r="AK27" s="73" t="str">
        <f>'Var Vorgaben'!$F$38</f>
        <v>Zwetschgen</v>
      </c>
      <c r="AL27" s="73" t="str">
        <f>$AE$27</f>
        <v>pro ha</v>
      </c>
      <c r="AM27" s="323"/>
      <c r="AN27" s="169">
        <f>'Var Vorgaben'!$G$38</f>
        <v>470</v>
      </c>
      <c r="AO27" s="93">
        <f>AN27</f>
        <v>470</v>
      </c>
      <c r="AP27" s="484">
        <f>AO27/$AO$68</f>
        <v>1.2241907276870714E-2</v>
      </c>
      <c r="AQ27" s="80" t="s">
        <v>657</v>
      </c>
      <c r="AR27" s="73" t="str">
        <f>'Var Vorgaben'!$F$38</f>
        <v>Zwetschgen</v>
      </c>
      <c r="AS27" s="73" t="str">
        <f>$AE$27</f>
        <v>pro ha</v>
      </c>
      <c r="AT27" s="323"/>
      <c r="AU27" s="169">
        <f>'Var Vorgaben'!$G$38</f>
        <v>470</v>
      </c>
      <c r="AV27" s="93">
        <f>AU27</f>
        <v>470</v>
      </c>
      <c r="AW27" s="484">
        <f>AV27/$AV$68</f>
        <v>1.122724361545039E-2</v>
      </c>
      <c r="AX27" s="80" t="s">
        <v>657</v>
      </c>
      <c r="AY27" s="73" t="str">
        <f>'Var Vorgaben'!$F$38</f>
        <v>Zwetschgen</v>
      </c>
      <c r="AZ27" s="73" t="str">
        <f>$AE$27</f>
        <v>pro ha</v>
      </c>
      <c r="BA27" s="323"/>
      <c r="BB27" s="169">
        <f>'Var Vorgaben'!$G$38</f>
        <v>470</v>
      </c>
      <c r="BC27" s="93">
        <f>BB27</f>
        <v>470</v>
      </c>
      <c r="BD27" s="484">
        <f>BC27/$BC$68</f>
        <v>1.1232782369509262E-2</v>
      </c>
      <c r="BE27" s="80" t="s">
        <v>657</v>
      </c>
      <c r="BF27" s="73" t="str">
        <f>'Var Vorgaben'!$F$38</f>
        <v>Zwetschgen</v>
      </c>
      <c r="BG27" s="73" t="str">
        <f>$AE$27</f>
        <v>pro ha</v>
      </c>
      <c r="BH27" s="323"/>
      <c r="BI27" s="169">
        <f>'Var Vorgaben'!$G$38</f>
        <v>470</v>
      </c>
      <c r="BJ27" s="93">
        <f>BI27</f>
        <v>470</v>
      </c>
      <c r="BK27" s="484">
        <f>BJ27/$BJ$68</f>
        <v>1.1238376513995217E-2</v>
      </c>
      <c r="BL27" s="80" t="s">
        <v>657</v>
      </c>
      <c r="BM27" s="73" t="str">
        <f>'Var Vorgaben'!$F$38</f>
        <v>Zwetschgen</v>
      </c>
      <c r="BN27" s="73" t="str">
        <f>$AE$27</f>
        <v>pro ha</v>
      </c>
      <c r="BO27" s="323"/>
      <c r="BP27" s="169">
        <f>'Var Vorgaben'!$G$38</f>
        <v>470</v>
      </c>
      <c r="BQ27" s="93">
        <f>BP27</f>
        <v>470</v>
      </c>
      <c r="BR27" s="484">
        <f>BQ27/$BQ$68</f>
        <v>1.1244026656054196E-2</v>
      </c>
      <c r="BS27" s="80" t="s">
        <v>657</v>
      </c>
      <c r="BT27" s="73" t="str">
        <f>'Var Vorgaben'!$F$38</f>
        <v>Zwetschgen</v>
      </c>
      <c r="BU27" s="73" t="str">
        <f>$AE$27</f>
        <v>pro ha</v>
      </c>
      <c r="BV27" s="323"/>
      <c r="BW27" s="169">
        <f>'Var Vorgaben'!$G$38</f>
        <v>470</v>
      </c>
      <c r="BX27" s="93">
        <f>BW27</f>
        <v>470</v>
      </c>
      <c r="BY27" s="484">
        <f>BX27/$BX$68</f>
        <v>1.1249733410507761E-2</v>
      </c>
      <c r="BZ27" s="80" t="s">
        <v>657</v>
      </c>
      <c r="CA27" s="73" t="str">
        <f>'Var Vorgaben'!$F$38</f>
        <v>Zwetschgen</v>
      </c>
      <c r="CB27" s="73" t="str">
        <f>$AE$27</f>
        <v>pro ha</v>
      </c>
      <c r="CC27" s="323"/>
      <c r="CD27" s="169">
        <f>'Var Vorgaben'!$G$38</f>
        <v>470</v>
      </c>
      <c r="CE27" s="93">
        <f>CD27</f>
        <v>470</v>
      </c>
      <c r="CF27" s="484">
        <f>CE27/$CE$68</f>
        <v>1.1255497399969552E-2</v>
      </c>
      <c r="CG27" s="80" t="s">
        <v>657</v>
      </c>
      <c r="CH27" s="73" t="str">
        <f>'Var Vorgaben'!$F$38</f>
        <v>Zwetschgen</v>
      </c>
      <c r="CI27" s="73" t="str">
        <f>$AE$27</f>
        <v>pro ha</v>
      </c>
      <c r="CJ27" s="323"/>
      <c r="CK27" s="169">
        <f>'Var Vorgaben'!$G$38</f>
        <v>470</v>
      </c>
      <c r="CL27" s="93">
        <f>CK27</f>
        <v>470</v>
      </c>
      <c r="CM27" s="484">
        <f>CL27/$CL$68</f>
        <v>1.1261319254963901E-2</v>
      </c>
      <c r="CN27" s="80" t="s">
        <v>657</v>
      </c>
      <c r="CO27" s="73" t="str">
        <f>'Var Vorgaben'!$F$38</f>
        <v>Zwetschgen</v>
      </c>
      <c r="CP27" s="73" t="str">
        <f>$AE$27</f>
        <v>pro ha</v>
      </c>
      <c r="CQ27" s="323"/>
      <c r="CR27" s="169">
        <f>'Var Vorgaben'!$G$38</f>
        <v>470</v>
      </c>
      <c r="CS27" s="93">
        <f>CR27</f>
        <v>470</v>
      </c>
      <c r="CT27" s="484">
        <f>CS27/$CS$68</f>
        <v>1.1267199614046626E-2</v>
      </c>
      <c r="CU27" s="80" t="s">
        <v>657</v>
      </c>
      <c r="CV27" s="73" t="str">
        <f>'Var Vorgaben'!$F$38</f>
        <v>Zwetschgen</v>
      </c>
      <c r="CW27" s="73" t="str">
        <f>$AE$27</f>
        <v>pro ha</v>
      </c>
      <c r="CX27" s="323"/>
      <c r="CY27" s="169">
        <f>'Var Vorgaben'!$G$38</f>
        <v>470</v>
      </c>
      <c r="CZ27" s="93">
        <f>CY27</f>
        <v>470</v>
      </c>
      <c r="DA27" s="484">
        <f>CZ27/$CZ$68</f>
        <v>1.1273139123928036E-2</v>
      </c>
      <c r="DB27" s="80" t="s">
        <v>657</v>
      </c>
      <c r="DC27" s="73" t="str">
        <f>'Var Vorgaben'!$F$38</f>
        <v>Zwetschgen</v>
      </c>
      <c r="DD27" s="73" t="str">
        <f>$AE$27</f>
        <v>pro ha</v>
      </c>
      <c r="DE27" s="323"/>
      <c r="DF27" s="169">
        <f>'Var Vorgaben'!$G$38</f>
        <v>470</v>
      </c>
      <c r="DG27" s="93">
        <f>DF27</f>
        <v>470</v>
      </c>
      <c r="DH27" s="484">
        <f>DG27/$DG$68</f>
        <v>9.8594815389161233E-3</v>
      </c>
      <c r="DI27" s="73"/>
    </row>
    <row r="28" spans="1:113" ht="18" customHeight="1" x14ac:dyDescent="0.2">
      <c r="A28" s="80"/>
      <c r="B28" s="73">
        <f>'Var Vorgaben'!$F$39</f>
        <v>0</v>
      </c>
      <c r="C28" s="73" t="s">
        <v>63</v>
      </c>
      <c r="D28" s="323"/>
      <c r="E28" s="169">
        <f>'Var Vorgaben'!$G$39</f>
        <v>0</v>
      </c>
      <c r="F28" s="93">
        <f>E28*D9/100</f>
        <v>0</v>
      </c>
      <c r="G28" s="484">
        <f>F28/$F$68</f>
        <v>0</v>
      </c>
      <c r="H28" s="80"/>
      <c r="I28" s="73">
        <f>'Var Vorgaben'!$F$39</f>
        <v>0</v>
      </c>
      <c r="J28" s="73" t="s">
        <v>63</v>
      </c>
      <c r="K28" s="323"/>
      <c r="L28" s="169">
        <f>'Var Vorgaben'!$G$39</f>
        <v>0</v>
      </c>
      <c r="M28" s="93">
        <f>L28*K9/100</f>
        <v>0</v>
      </c>
      <c r="N28" s="484">
        <f>M28/$M$68</f>
        <v>0</v>
      </c>
      <c r="O28" s="80"/>
      <c r="P28" s="73">
        <f>'Var Vorgaben'!$F$39</f>
        <v>0</v>
      </c>
      <c r="Q28" s="73" t="s">
        <v>63</v>
      </c>
      <c r="R28" s="323"/>
      <c r="S28" s="169">
        <f>'Var Vorgaben'!$G$39</f>
        <v>0</v>
      </c>
      <c r="T28" s="93">
        <f>S28*R9/100</f>
        <v>0</v>
      </c>
      <c r="U28" s="484">
        <f>T28/$T$68</f>
        <v>0</v>
      </c>
      <c r="V28" s="80"/>
      <c r="W28" s="73">
        <f>'Var Vorgaben'!$F$39</f>
        <v>0</v>
      </c>
      <c r="X28" s="73" t="s">
        <v>63</v>
      </c>
      <c r="Y28" s="323"/>
      <c r="Z28" s="169">
        <f>'Var Vorgaben'!$G$39</f>
        <v>0</v>
      </c>
      <c r="AA28" s="93">
        <f>Z28*Y9/100</f>
        <v>0</v>
      </c>
      <c r="AB28" s="484">
        <f>AA28/$AA$68</f>
        <v>0</v>
      </c>
      <c r="AC28" s="80"/>
      <c r="AD28" s="73">
        <f>'Var Vorgaben'!$F$39</f>
        <v>0</v>
      </c>
      <c r="AE28" s="73" t="s">
        <v>63</v>
      </c>
      <c r="AF28" s="323"/>
      <c r="AG28" s="169">
        <f>'Var Vorgaben'!$G$39</f>
        <v>0</v>
      </c>
      <c r="AH28" s="93">
        <f>AG28*AF9/100</f>
        <v>0</v>
      </c>
      <c r="AI28" s="484">
        <f>AH28/$AH$68</f>
        <v>0</v>
      </c>
      <c r="AJ28" s="80"/>
      <c r="AK28" s="73">
        <f>'Var Vorgaben'!$F$39</f>
        <v>0</v>
      </c>
      <c r="AL28" s="73" t="s">
        <v>63</v>
      </c>
      <c r="AM28" s="323"/>
      <c r="AN28" s="169">
        <f>'Var Vorgaben'!$G$39</f>
        <v>0</v>
      </c>
      <c r="AO28" s="93">
        <f>AN28*AM9/100</f>
        <v>0</v>
      </c>
      <c r="AP28" s="484">
        <f>AO28/$AO$68</f>
        <v>0</v>
      </c>
      <c r="AQ28" s="80"/>
      <c r="AR28" s="73">
        <f>'Var Vorgaben'!$F$39</f>
        <v>0</v>
      </c>
      <c r="AS28" s="73" t="s">
        <v>63</v>
      </c>
      <c r="AT28" s="323"/>
      <c r="AU28" s="169">
        <f>'Var Vorgaben'!$G$39</f>
        <v>0</v>
      </c>
      <c r="AV28" s="93">
        <f>AU28*AT9/100</f>
        <v>0</v>
      </c>
      <c r="AW28" s="484">
        <f>AV28/$AV$68</f>
        <v>0</v>
      </c>
      <c r="AX28" s="80"/>
      <c r="AY28" s="73">
        <f>'Var Vorgaben'!$F$39</f>
        <v>0</v>
      </c>
      <c r="AZ28" s="73" t="s">
        <v>63</v>
      </c>
      <c r="BA28" s="323"/>
      <c r="BB28" s="169">
        <f>'Var Vorgaben'!$G$39</f>
        <v>0</v>
      </c>
      <c r="BC28" s="93">
        <f>BB28*BA9/100</f>
        <v>0</v>
      </c>
      <c r="BD28" s="484">
        <f>BC28/$BC$68</f>
        <v>0</v>
      </c>
      <c r="BE28" s="80"/>
      <c r="BF28" s="73">
        <f>'Var Vorgaben'!$F$39</f>
        <v>0</v>
      </c>
      <c r="BG28" s="73" t="s">
        <v>63</v>
      </c>
      <c r="BH28" s="323"/>
      <c r="BI28" s="169">
        <f>'Var Vorgaben'!$G$39</f>
        <v>0</v>
      </c>
      <c r="BJ28" s="93">
        <f>BI28*BH9/100</f>
        <v>0</v>
      </c>
      <c r="BK28" s="484">
        <f>BJ28/$BJ$68</f>
        <v>0</v>
      </c>
      <c r="BL28" s="80"/>
      <c r="BM28" s="73">
        <f>'Var Vorgaben'!$F$39</f>
        <v>0</v>
      </c>
      <c r="BN28" s="73" t="s">
        <v>63</v>
      </c>
      <c r="BO28" s="323"/>
      <c r="BP28" s="169">
        <f>'Var Vorgaben'!$G$39</f>
        <v>0</v>
      </c>
      <c r="BQ28" s="93">
        <f>BP28*BO9/100</f>
        <v>0</v>
      </c>
      <c r="BR28" s="484">
        <f>BQ28/$BQ$68</f>
        <v>0</v>
      </c>
      <c r="BS28" s="80"/>
      <c r="BT28" s="73">
        <f>'Var Vorgaben'!$F$39</f>
        <v>0</v>
      </c>
      <c r="BU28" s="73" t="s">
        <v>63</v>
      </c>
      <c r="BV28" s="323"/>
      <c r="BW28" s="169">
        <f>'Var Vorgaben'!$G$39</f>
        <v>0</v>
      </c>
      <c r="BX28" s="93">
        <f>BW28*BV9/100</f>
        <v>0</v>
      </c>
      <c r="BY28" s="484">
        <f>BX28/$BX$68</f>
        <v>0</v>
      </c>
      <c r="BZ28" s="80"/>
      <c r="CA28" s="73">
        <f>'Var Vorgaben'!$F$39</f>
        <v>0</v>
      </c>
      <c r="CB28" s="73" t="s">
        <v>63</v>
      </c>
      <c r="CC28" s="323"/>
      <c r="CD28" s="169">
        <f>'Var Vorgaben'!$G$39</f>
        <v>0</v>
      </c>
      <c r="CE28" s="93">
        <f>CD28*CC9/100</f>
        <v>0</v>
      </c>
      <c r="CF28" s="484">
        <f>CE28/$CE$68</f>
        <v>0</v>
      </c>
      <c r="CG28" s="80"/>
      <c r="CH28" s="73">
        <f>'Var Vorgaben'!$F$39</f>
        <v>0</v>
      </c>
      <c r="CI28" s="73" t="s">
        <v>63</v>
      </c>
      <c r="CJ28" s="323"/>
      <c r="CK28" s="169">
        <f>'Var Vorgaben'!$G$39</f>
        <v>0</v>
      </c>
      <c r="CL28" s="93">
        <f>CK28*CJ9/100</f>
        <v>0</v>
      </c>
      <c r="CM28" s="484">
        <f>CL28/$CL$68</f>
        <v>0</v>
      </c>
      <c r="CN28" s="80"/>
      <c r="CO28" s="73">
        <f>'Var Vorgaben'!$F$39</f>
        <v>0</v>
      </c>
      <c r="CP28" s="73" t="s">
        <v>63</v>
      </c>
      <c r="CQ28" s="323"/>
      <c r="CR28" s="169">
        <f>'Var Vorgaben'!$G$39</f>
        <v>0</v>
      </c>
      <c r="CS28" s="93">
        <f>CR28*CQ9/100</f>
        <v>0</v>
      </c>
      <c r="CT28" s="484">
        <f>CS28/$CS$68</f>
        <v>0</v>
      </c>
      <c r="CU28" s="80"/>
      <c r="CV28" s="73">
        <f>'Var Vorgaben'!$F$39</f>
        <v>0</v>
      </c>
      <c r="CW28" s="73" t="s">
        <v>63</v>
      </c>
      <c r="CX28" s="323"/>
      <c r="CY28" s="169">
        <f>'Var Vorgaben'!$G$39</f>
        <v>0</v>
      </c>
      <c r="CZ28" s="93">
        <f>CY28*CX9/100</f>
        <v>0</v>
      </c>
      <c r="DA28" s="484">
        <f>CZ28/$CZ$68</f>
        <v>0</v>
      </c>
      <c r="DB28" s="80"/>
      <c r="DC28" s="73">
        <f>'Var Vorgaben'!$F$39</f>
        <v>0</v>
      </c>
      <c r="DD28" s="73" t="s">
        <v>63</v>
      </c>
      <c r="DE28" s="323"/>
      <c r="DF28" s="169">
        <f>'Var Vorgaben'!$G$39</f>
        <v>0</v>
      </c>
      <c r="DG28" s="93">
        <f>DF28*DE9/100</f>
        <v>0</v>
      </c>
      <c r="DH28" s="484">
        <f>DG28/$DG$68</f>
        <v>0</v>
      </c>
      <c r="DI28" s="73"/>
    </row>
    <row r="29" spans="1:113" ht="13.5" thickBot="1" x14ac:dyDescent="0.25">
      <c r="A29" s="124" t="str">
        <f>'Var Vorgaben'!$E$40</f>
        <v>Gebindekosten und Aktionsbeiträge</v>
      </c>
      <c r="B29" s="124"/>
      <c r="C29" s="488"/>
      <c r="D29" s="379" t="str">
        <f>'Var Vorgaben'!$F$40</f>
        <v>Tafelzwetschgen 33 mm</v>
      </c>
      <c r="E29" s="380">
        <f>'Var Vorgaben'!$G$40</f>
        <v>0.15</v>
      </c>
      <c r="F29" s="658">
        <f>D8*E29</f>
        <v>0</v>
      </c>
      <c r="G29" s="484">
        <f>F29/$F$68</f>
        <v>0</v>
      </c>
      <c r="H29" s="124" t="str">
        <f>'Var Vorgaben'!$E$40</f>
        <v>Gebindekosten und Aktionsbeiträge</v>
      </c>
      <c r="I29" s="124"/>
      <c r="J29" s="488"/>
      <c r="K29" s="379" t="str">
        <f>'Var Vorgaben'!$F$40</f>
        <v>Tafelzwetschgen 33 mm</v>
      </c>
      <c r="L29" s="380">
        <f>'Var Vorgaben'!$G$40</f>
        <v>0.15</v>
      </c>
      <c r="M29" s="658">
        <f>K8*L29</f>
        <v>540</v>
      </c>
      <c r="N29" s="484">
        <f>M29/$M$68</f>
        <v>3.9271547087061556E-2</v>
      </c>
      <c r="O29" s="124" t="str">
        <f>'Var Vorgaben'!$E$40</f>
        <v>Gebindekosten und Aktionsbeiträge</v>
      </c>
      <c r="P29" s="124"/>
      <c r="Q29" s="488"/>
      <c r="R29" s="379" t="str">
        <f>'Var Vorgaben'!$F$40</f>
        <v>Tafelzwetschgen 33 mm</v>
      </c>
      <c r="S29" s="380">
        <f>'Var Vorgaben'!$G$40</f>
        <v>0.15</v>
      </c>
      <c r="T29" s="658">
        <f>R8*S29</f>
        <v>810</v>
      </c>
      <c r="U29" s="484">
        <f>T29/$T$68</f>
        <v>3.9864164713314748E-2</v>
      </c>
      <c r="V29" s="124" t="str">
        <f>'Var Vorgaben'!$E$40</f>
        <v>Gebindekosten und Aktionsbeiträge</v>
      </c>
      <c r="W29" s="124"/>
      <c r="X29" s="488"/>
      <c r="Y29" s="379" t="str">
        <f>'Var Vorgaben'!$F$40</f>
        <v>Tafelzwetschgen 33 mm</v>
      </c>
      <c r="Z29" s="380">
        <f>'Var Vorgaben'!$G$40</f>
        <v>0.15</v>
      </c>
      <c r="AA29" s="658">
        <f>Y8*Z29</f>
        <v>1350</v>
      </c>
      <c r="AB29" s="484">
        <f>AA29/$AA$68</f>
        <v>5.5843857071371551E-2</v>
      </c>
      <c r="AC29" s="124" t="str">
        <f>'Var Vorgaben'!$E$40</f>
        <v>Gebindekosten und Aktionsbeiträge</v>
      </c>
      <c r="AD29" s="124"/>
      <c r="AE29" s="488"/>
      <c r="AF29" s="379" t="str">
        <f>'Var Vorgaben'!$F$40</f>
        <v>Tafelzwetschgen 33 mm</v>
      </c>
      <c r="AG29" s="380">
        <f>'Var Vorgaben'!$G$40</f>
        <v>0.15</v>
      </c>
      <c r="AH29" s="658">
        <f>AF8*AG29</f>
        <v>2430</v>
      </c>
      <c r="AI29" s="484">
        <f>AH29/$AH$68</f>
        <v>6.9637825388358082E-2</v>
      </c>
      <c r="AJ29" s="124" t="str">
        <f>'Var Vorgaben'!$E$40</f>
        <v>Gebindekosten und Aktionsbeiträge</v>
      </c>
      <c r="AK29" s="124"/>
      <c r="AL29" s="488"/>
      <c r="AM29" s="379" t="str">
        <f>'Var Vorgaben'!$F$40</f>
        <v>Tafelzwetschgen 33 mm</v>
      </c>
      <c r="AN29" s="380">
        <f>'Var Vorgaben'!$G$40</f>
        <v>0.15</v>
      </c>
      <c r="AO29" s="658">
        <f>AM8*AN29</f>
        <v>2970</v>
      </c>
      <c r="AP29" s="484">
        <f>AO29/$AO$68</f>
        <v>7.7358435345331947E-2</v>
      </c>
      <c r="AQ29" s="124" t="str">
        <f>'Var Vorgaben'!$E$40</f>
        <v>Gebindekosten und Aktionsbeiträge</v>
      </c>
      <c r="AR29" s="124"/>
      <c r="AS29" s="488"/>
      <c r="AT29" s="379" t="str">
        <f>'Var Vorgaben'!$F$40</f>
        <v>Tafelzwetschgen 33 mm</v>
      </c>
      <c r="AU29" s="380">
        <f>'Var Vorgaben'!$G$40</f>
        <v>0.15</v>
      </c>
      <c r="AV29" s="658">
        <f>AT8*AU29</f>
        <v>3510</v>
      </c>
      <c r="AW29" s="484">
        <f>AV29/$AV$68</f>
        <v>8.3846010830278442E-2</v>
      </c>
      <c r="AX29" s="124" t="str">
        <f>'Var Vorgaben'!$E$40</f>
        <v>Gebindekosten und Aktionsbeiträge</v>
      </c>
      <c r="AY29" s="124"/>
      <c r="AZ29" s="488"/>
      <c r="BA29" s="379" t="str">
        <f>'Var Vorgaben'!$F$40</f>
        <v>Tafelzwetschgen 33 mm</v>
      </c>
      <c r="BB29" s="380">
        <f>'Var Vorgaben'!$G$40</f>
        <v>0.15</v>
      </c>
      <c r="BC29" s="658">
        <f>BA8*BB29</f>
        <v>3510</v>
      </c>
      <c r="BD29" s="484">
        <f>BC29/$BC$68</f>
        <v>8.3887374716973426E-2</v>
      </c>
      <c r="BE29" s="124" t="str">
        <f>'Var Vorgaben'!$E$40</f>
        <v>Gebindekosten und Aktionsbeiträge</v>
      </c>
      <c r="BF29" s="124"/>
      <c r="BG29" s="488"/>
      <c r="BH29" s="379" t="str">
        <f>'Var Vorgaben'!$F$40</f>
        <v>Tafelzwetschgen 33 mm</v>
      </c>
      <c r="BI29" s="380">
        <f>'Var Vorgaben'!$G$40</f>
        <v>0.15</v>
      </c>
      <c r="BJ29" s="658">
        <f>BH8*BI29</f>
        <v>3510</v>
      </c>
      <c r="BK29" s="484">
        <f>BJ29/$BJ$68</f>
        <v>8.3929152264091936E-2</v>
      </c>
      <c r="BL29" s="124" t="str">
        <f>'Var Vorgaben'!$E$40</f>
        <v>Gebindekosten und Aktionsbeiträge</v>
      </c>
      <c r="BM29" s="124"/>
      <c r="BN29" s="488"/>
      <c r="BO29" s="379" t="str">
        <f>'Var Vorgaben'!$F$40</f>
        <v>Tafelzwetschgen 33 mm</v>
      </c>
      <c r="BP29" s="380">
        <f>'Var Vorgaben'!$G$40</f>
        <v>0.15</v>
      </c>
      <c r="BQ29" s="658">
        <f>BO8*BP29</f>
        <v>3510</v>
      </c>
      <c r="BR29" s="484">
        <f>BQ29/$BQ$68</f>
        <v>8.3971348005851543E-2</v>
      </c>
      <c r="BS29" s="124" t="str">
        <f>'Var Vorgaben'!$E$40</f>
        <v>Gebindekosten und Aktionsbeiträge</v>
      </c>
      <c r="BT29" s="124"/>
      <c r="BU29" s="488"/>
      <c r="BV29" s="379" t="str">
        <f>'Var Vorgaben'!$F$40</f>
        <v>Tafelzwetschgen 33 mm</v>
      </c>
      <c r="BW29" s="380">
        <f>'Var Vorgaben'!$G$40</f>
        <v>0.15</v>
      </c>
      <c r="BX29" s="658">
        <f>BV8*BW29</f>
        <v>3510</v>
      </c>
      <c r="BY29" s="484">
        <f>BX29/$BX$68</f>
        <v>8.4013966533791992E-2</v>
      </c>
      <c r="BZ29" s="124" t="str">
        <f>'Var Vorgaben'!$E$40</f>
        <v>Gebindekosten und Aktionsbeiträge</v>
      </c>
      <c r="CA29" s="124"/>
      <c r="CB29" s="488"/>
      <c r="CC29" s="379" t="str">
        <f>'Var Vorgaben'!$F$40</f>
        <v>Tafelzwetschgen 33 mm</v>
      </c>
      <c r="CD29" s="380">
        <f>'Var Vorgaben'!$G$40</f>
        <v>0.15</v>
      </c>
      <c r="CE29" s="658">
        <f>CC8*CD29</f>
        <v>3510</v>
      </c>
      <c r="CF29" s="484">
        <f>CE29/$CE$68</f>
        <v>8.4057012497644953E-2</v>
      </c>
      <c r="CG29" s="124" t="str">
        <f>'Var Vorgaben'!$E$40</f>
        <v>Gebindekosten und Aktionsbeiträge</v>
      </c>
      <c r="CH29" s="124"/>
      <c r="CI29" s="488"/>
      <c r="CJ29" s="379" t="str">
        <f>'Var Vorgaben'!$F$40</f>
        <v>Tafelzwetschgen 33 mm</v>
      </c>
      <c r="CK29" s="380">
        <f>'Var Vorgaben'!$G$40</f>
        <v>0.15</v>
      </c>
      <c r="CL29" s="658">
        <f>CJ8*CK29</f>
        <v>3510</v>
      </c>
      <c r="CM29" s="484">
        <f>CL29/$CL$68</f>
        <v>8.4100490606219783E-2</v>
      </c>
      <c r="CN29" s="124" t="str">
        <f>'Var Vorgaben'!$E$40</f>
        <v>Gebindekosten und Aktionsbeiträge</v>
      </c>
      <c r="CO29" s="124"/>
      <c r="CP29" s="488"/>
      <c r="CQ29" s="379" t="str">
        <f>'Var Vorgaben'!$F$40</f>
        <v>Tafelzwetschgen 33 mm</v>
      </c>
      <c r="CR29" s="380">
        <f>'Var Vorgaben'!$G$40</f>
        <v>0.15</v>
      </c>
      <c r="CS29" s="658">
        <f>CQ8*CR29</f>
        <v>3510</v>
      </c>
      <c r="CT29" s="484">
        <f>CS29/$CS$68</f>
        <v>8.4144405628305663E-2</v>
      </c>
      <c r="CU29" s="124" t="str">
        <f>'Var Vorgaben'!$E$40</f>
        <v>Gebindekosten und Aktionsbeiträge</v>
      </c>
      <c r="CV29" s="124"/>
      <c r="CW29" s="488"/>
      <c r="CX29" s="379" t="str">
        <f>'Var Vorgaben'!$F$40</f>
        <v>Tafelzwetschgen 33 mm</v>
      </c>
      <c r="CY29" s="380">
        <f>'Var Vorgaben'!$G$40</f>
        <v>0.15</v>
      </c>
      <c r="CZ29" s="658">
        <f>CX8*CY29</f>
        <v>3510</v>
      </c>
      <c r="DA29" s="484">
        <f>CZ29/$CZ$68</f>
        <v>8.4188762393590216E-2</v>
      </c>
      <c r="DB29" s="124" t="str">
        <f>'Var Vorgaben'!$E$40</f>
        <v>Gebindekosten und Aktionsbeiträge</v>
      </c>
      <c r="DC29" s="124"/>
      <c r="DD29" s="488"/>
      <c r="DE29" s="379" t="str">
        <f>'Var Vorgaben'!$F$40</f>
        <v>Tafelzwetschgen 33 mm</v>
      </c>
      <c r="DF29" s="380">
        <f>'Var Vorgaben'!$G$40</f>
        <v>0.15</v>
      </c>
      <c r="DG29" s="658">
        <f>DE8*DF29</f>
        <v>3510</v>
      </c>
      <c r="DH29" s="484">
        <f>DG29/$DG$68</f>
        <v>7.3631447237437433E-2</v>
      </c>
    </row>
    <row r="30" spans="1:113" x14ac:dyDescent="0.2">
      <c r="A30" s="124"/>
      <c r="B30" s="124"/>
      <c r="C30" s="488"/>
      <c r="D30" s="323"/>
      <c r="E30" s="380"/>
      <c r="F30" s="94">
        <f>SUM(F27:F29)</f>
        <v>470</v>
      </c>
      <c r="G30" s="655">
        <f>F30/$F$68</f>
        <v>4.9676509197211796E-2</v>
      </c>
      <c r="H30" s="124"/>
      <c r="I30" s="124"/>
      <c r="J30" s="488"/>
      <c r="K30" s="323"/>
      <c r="L30" s="380"/>
      <c r="M30" s="94">
        <f>SUM(M27:M29)</f>
        <v>1010</v>
      </c>
      <c r="N30" s="655">
        <f>M30/$M$68</f>
        <v>7.345233807024476E-2</v>
      </c>
      <c r="O30" s="124"/>
      <c r="P30" s="124"/>
      <c r="Q30" s="488"/>
      <c r="R30" s="323"/>
      <c r="S30" s="380"/>
      <c r="T30" s="94">
        <f>SUM(T27:T29)</f>
        <v>1280</v>
      </c>
      <c r="U30" s="655">
        <f>T30/$T$68</f>
        <v>6.2995223250670224E-2</v>
      </c>
      <c r="V30" s="124"/>
      <c r="W30" s="124"/>
      <c r="X30" s="488"/>
      <c r="Y30" s="323"/>
      <c r="Z30" s="380"/>
      <c r="AA30" s="94">
        <f>SUM(AA27:AA29)</f>
        <v>1820</v>
      </c>
      <c r="AB30" s="655">
        <f>AA30/$AA$68</f>
        <v>7.5285792496219417E-2</v>
      </c>
      <c r="AC30" s="124"/>
      <c r="AD30" s="124"/>
      <c r="AE30" s="488"/>
      <c r="AF30" s="323"/>
      <c r="AG30" s="380"/>
      <c r="AH30" s="94">
        <f>SUM(AH27:AH29)</f>
        <v>2900</v>
      </c>
      <c r="AI30" s="655">
        <f>AH30/$AH$68</f>
        <v>8.3106869805036399E-2</v>
      </c>
      <c r="AJ30" s="124"/>
      <c r="AK30" s="124"/>
      <c r="AL30" s="488"/>
      <c r="AM30" s="323"/>
      <c r="AN30" s="380"/>
      <c r="AO30" s="94">
        <f>SUM(AO27:AO29)</f>
        <v>3440</v>
      </c>
      <c r="AP30" s="655"/>
      <c r="AQ30" s="124"/>
      <c r="AR30" s="124"/>
      <c r="AS30" s="488"/>
      <c r="AT30" s="323"/>
      <c r="AU30" s="380"/>
      <c r="AV30" s="94">
        <f>SUM(AV27:AV29)</f>
        <v>3980</v>
      </c>
      <c r="AW30" s="655">
        <f>AV30/$AV$68</f>
        <v>9.5073254445728839E-2</v>
      </c>
      <c r="AX30" s="124"/>
      <c r="AY30" s="124"/>
      <c r="AZ30" s="488"/>
      <c r="BA30" s="323"/>
      <c r="BB30" s="380"/>
      <c r="BC30" s="94">
        <f>SUM(BC27:BC29)</f>
        <v>3980</v>
      </c>
      <c r="BD30" s="655">
        <f>BC30/$BC$68</f>
        <v>9.5120157086482693E-2</v>
      </c>
      <c r="BE30" s="124"/>
      <c r="BF30" s="124"/>
      <c r="BG30" s="488"/>
      <c r="BH30" s="323"/>
      <c r="BI30" s="380"/>
      <c r="BJ30" s="94">
        <f>SUM(BJ27:BJ29)</f>
        <v>3980</v>
      </c>
      <c r="BK30" s="655">
        <f>BJ30/$BJ$68</f>
        <v>9.5167528778087151E-2</v>
      </c>
      <c r="BL30" s="124"/>
      <c r="BM30" s="124"/>
      <c r="BN30" s="488"/>
      <c r="BO30" s="323"/>
      <c r="BP30" s="380"/>
      <c r="BQ30" s="94">
        <f>SUM(BQ27:BQ29)</f>
        <v>3980</v>
      </c>
      <c r="BR30" s="655">
        <f>BQ30/$BQ$68</f>
        <v>9.5215374661905744E-2</v>
      </c>
      <c r="BS30" s="124"/>
      <c r="BT30" s="124"/>
      <c r="BU30" s="488"/>
      <c r="BV30" s="323"/>
      <c r="BW30" s="380"/>
      <c r="BX30" s="94">
        <f>SUM(BX27:BX29)</f>
        <v>3980</v>
      </c>
      <c r="BY30" s="655">
        <f>BX30/$BX$68</f>
        <v>9.5263699944299757E-2</v>
      </c>
      <c r="BZ30" s="124"/>
      <c r="CA30" s="124"/>
      <c r="CB30" s="488"/>
      <c r="CC30" s="323"/>
      <c r="CD30" s="380"/>
      <c r="CE30" s="94">
        <f>SUM(CE27:CE29)</f>
        <v>3980</v>
      </c>
      <c r="CF30" s="655">
        <f>CE30/$CE$68</f>
        <v>9.53125098976145E-2</v>
      </c>
      <c r="CG30" s="124"/>
      <c r="CH30" s="124"/>
      <c r="CI30" s="488"/>
      <c r="CJ30" s="323"/>
      <c r="CK30" s="380"/>
      <c r="CL30" s="94">
        <f>SUM(CL27:CL29)</f>
        <v>3980</v>
      </c>
      <c r="CM30" s="655">
        <f>CL30/$CL$68</f>
        <v>9.5361809861183686E-2</v>
      </c>
      <c r="CN30" s="124"/>
      <c r="CO30" s="124"/>
      <c r="CP30" s="488"/>
      <c r="CQ30" s="323"/>
      <c r="CR30" s="380"/>
      <c r="CS30" s="94">
        <f>SUM(CS27:CS29)</f>
        <v>3980</v>
      </c>
      <c r="CT30" s="655">
        <f>CS30/$CS$68</f>
        <v>9.5411605242352288E-2</v>
      </c>
      <c r="CU30" s="124"/>
      <c r="CV30" s="124"/>
      <c r="CW30" s="488"/>
      <c r="CX30" s="323"/>
      <c r="CY30" s="380"/>
      <c r="CZ30" s="94">
        <f>SUM(CZ27:CZ29)</f>
        <v>3980</v>
      </c>
      <c r="DA30" s="655">
        <f>CZ30/$CZ$68</f>
        <v>9.5461901517518252E-2</v>
      </c>
      <c r="DB30" s="124"/>
      <c r="DC30" s="124"/>
      <c r="DD30" s="488"/>
      <c r="DE30" s="323"/>
      <c r="DF30" s="380"/>
      <c r="DG30" s="94">
        <f>SUM(DG27:DG29)</f>
        <v>3980</v>
      </c>
      <c r="DH30" s="655">
        <f>DG30/$DG$68</f>
        <v>8.3490928776353557E-2</v>
      </c>
      <c r="DI30" s="73"/>
    </row>
    <row r="31" spans="1:113" x14ac:dyDescent="0.2">
      <c r="A31" s="124"/>
      <c r="B31" s="124"/>
      <c r="C31" s="488"/>
      <c r="D31" s="323"/>
      <c r="E31" s="380"/>
      <c r="F31" s="182"/>
      <c r="G31" s="484"/>
      <c r="H31" s="124"/>
      <c r="I31" s="124"/>
      <c r="J31" s="488"/>
      <c r="K31" s="323"/>
      <c r="L31" s="380"/>
      <c r="M31" s="182"/>
      <c r="N31" s="484"/>
      <c r="O31" s="124"/>
      <c r="P31" s="124"/>
      <c r="Q31" s="488"/>
      <c r="R31" s="323"/>
      <c r="S31" s="380"/>
      <c r="T31" s="182"/>
      <c r="U31" s="484"/>
      <c r="V31" s="124"/>
      <c r="W31" s="124"/>
      <c r="X31" s="488"/>
      <c r="Y31" s="323"/>
      <c r="Z31" s="380"/>
      <c r="AA31" s="182"/>
      <c r="AB31" s="484"/>
      <c r="AC31" s="124"/>
      <c r="AD31" s="124"/>
      <c r="AE31" s="488"/>
      <c r="AF31" s="323"/>
      <c r="AG31" s="380"/>
      <c r="AH31" s="182"/>
      <c r="AI31" s="484"/>
      <c r="AJ31" s="124"/>
      <c r="AK31" s="124"/>
      <c r="AL31" s="488"/>
      <c r="AM31" s="323"/>
      <c r="AN31" s="380"/>
      <c r="AO31" s="182"/>
      <c r="AP31" s="484"/>
      <c r="AQ31" s="124"/>
      <c r="AR31" s="124"/>
      <c r="AS31" s="488"/>
      <c r="AT31" s="323"/>
      <c r="AU31" s="380"/>
      <c r="AV31" s="182"/>
      <c r="AW31" s="484"/>
      <c r="AX31" s="124"/>
      <c r="AY31" s="124"/>
      <c r="AZ31" s="488"/>
      <c r="BA31" s="323"/>
      <c r="BB31" s="380"/>
      <c r="BC31" s="182"/>
      <c r="BD31" s="484"/>
      <c r="BE31" s="124"/>
      <c r="BF31" s="124"/>
      <c r="BG31" s="488"/>
      <c r="BH31" s="323"/>
      <c r="BI31" s="380"/>
      <c r="BJ31" s="182"/>
      <c r="BK31" s="484"/>
      <c r="BL31" s="124"/>
      <c r="BM31" s="124"/>
      <c r="BN31" s="488"/>
      <c r="BO31" s="323"/>
      <c r="BP31" s="380"/>
      <c r="BQ31" s="182"/>
      <c r="BR31" s="484"/>
      <c r="BS31" s="124"/>
      <c r="BT31" s="124"/>
      <c r="BU31" s="488"/>
      <c r="BV31" s="323"/>
      <c r="BW31" s="380"/>
      <c r="BX31" s="182"/>
      <c r="BY31" s="484"/>
      <c r="BZ31" s="124"/>
      <c r="CA31" s="124"/>
      <c r="CB31" s="488"/>
      <c r="CC31" s="323"/>
      <c r="CD31" s="380"/>
      <c r="CE31" s="182"/>
      <c r="CF31" s="484"/>
      <c r="CG31" s="124"/>
      <c r="CH31" s="124"/>
      <c r="CI31" s="488"/>
      <c r="CJ31" s="323"/>
      <c r="CK31" s="380"/>
      <c r="CL31" s="182"/>
      <c r="CM31" s="484"/>
      <c r="CN31" s="124"/>
      <c r="CO31" s="124"/>
      <c r="CP31" s="488"/>
      <c r="CQ31" s="323"/>
      <c r="CR31" s="380"/>
      <c r="CS31" s="182"/>
      <c r="CT31" s="484"/>
      <c r="CU31" s="124"/>
      <c r="CV31" s="124"/>
      <c r="CW31" s="488"/>
      <c r="CX31" s="323"/>
      <c r="CY31" s="380"/>
      <c r="CZ31" s="182"/>
      <c r="DA31" s="484"/>
      <c r="DB31" s="124"/>
      <c r="DC31" s="124"/>
      <c r="DD31" s="488"/>
      <c r="DE31" s="323"/>
      <c r="DF31" s="380"/>
      <c r="DG31" s="182"/>
      <c r="DH31" s="484"/>
      <c r="DI31" s="73"/>
    </row>
    <row r="32" spans="1:113" ht="15" customHeight="1" x14ac:dyDescent="0.2">
      <c r="A32" s="80" t="s">
        <v>202</v>
      </c>
      <c r="B32" s="489">
        <f>'Var Vorgaben'!$E$159+'Var Vorgaben'!$E$160</f>
        <v>250</v>
      </c>
      <c r="C32" s="385"/>
      <c r="D32" s="124"/>
      <c r="E32" s="386"/>
      <c r="F32" s="162">
        <f>B32+E32</f>
        <v>250</v>
      </c>
      <c r="G32" s="655">
        <f>F32/$F$68</f>
        <v>2.6423675104899891E-2</v>
      </c>
      <c r="H32" s="80" t="s">
        <v>202</v>
      </c>
      <c r="I32" s="489">
        <f>'Var Vorgaben'!$E$159+'Var Vorgaben'!$E$160</f>
        <v>250</v>
      </c>
      <c r="J32" s="385"/>
      <c r="K32" s="124"/>
      <c r="L32" s="386"/>
      <c r="M32" s="162">
        <f>I32+L32</f>
        <v>250</v>
      </c>
      <c r="N32" s="655">
        <f>M32/$M$68</f>
        <v>1.8181271799565534E-2</v>
      </c>
      <c r="O32" s="80" t="s">
        <v>202</v>
      </c>
      <c r="P32" s="489">
        <f>'Var Vorgaben'!$E$159+'Var Vorgaben'!$E$160</f>
        <v>250</v>
      </c>
      <c r="Q32" s="385"/>
      <c r="R32" s="124"/>
      <c r="S32" s="386"/>
      <c r="T32" s="162">
        <f>P32+S32</f>
        <v>250</v>
      </c>
      <c r="U32" s="655">
        <f>T32/$T$68</f>
        <v>1.2303754541146527E-2</v>
      </c>
      <c r="V32" s="80" t="s">
        <v>202</v>
      </c>
      <c r="W32" s="489">
        <f>'Var Vorgaben'!$E$159+'Var Vorgaben'!$E$160</f>
        <v>250</v>
      </c>
      <c r="X32" s="385"/>
      <c r="Y32" s="124"/>
      <c r="Z32" s="386"/>
      <c r="AA32" s="162">
        <f>W32+Z32</f>
        <v>250</v>
      </c>
      <c r="AB32" s="655">
        <f>AA32/$AA$68</f>
        <v>1.0341455013216953E-2</v>
      </c>
      <c r="AC32" s="80" t="s">
        <v>202</v>
      </c>
      <c r="AD32" s="489">
        <f>'Var Vorgaben'!$E$159+'Var Vorgaben'!$E$160</f>
        <v>250</v>
      </c>
      <c r="AE32" s="385"/>
      <c r="AF32" s="124"/>
      <c r="AG32" s="386"/>
      <c r="AH32" s="162">
        <f>AD32+AG32</f>
        <v>250</v>
      </c>
      <c r="AI32" s="655">
        <f>AH32/$AH$68</f>
        <v>7.1643853280203796E-3</v>
      </c>
      <c r="AJ32" s="80" t="s">
        <v>202</v>
      </c>
      <c r="AK32" s="489">
        <f>'Var Vorgaben'!$E$159+'Var Vorgaben'!$E$160</f>
        <v>250</v>
      </c>
      <c r="AL32" s="385"/>
      <c r="AM32" s="124"/>
      <c r="AN32" s="386"/>
      <c r="AO32" s="162">
        <f>AK32+AN32</f>
        <v>250</v>
      </c>
      <c r="AP32" s="655">
        <f>AO32/$AO$68</f>
        <v>6.5116528068461244E-3</v>
      </c>
      <c r="AQ32" s="80" t="s">
        <v>202</v>
      </c>
      <c r="AR32" s="489">
        <f>'Var Vorgaben'!$E$159+'Var Vorgaben'!$E$160</f>
        <v>250</v>
      </c>
      <c r="AS32" s="385"/>
      <c r="AT32" s="124"/>
      <c r="AU32" s="386"/>
      <c r="AV32" s="162">
        <f>AR32+AU32</f>
        <v>250</v>
      </c>
      <c r="AW32" s="655">
        <f>AV32/$AV$68</f>
        <v>5.9719380933246757E-3</v>
      </c>
      <c r="AX32" s="80" t="s">
        <v>202</v>
      </c>
      <c r="AY32" s="489">
        <f>'Var Vorgaben'!$E$159+'Var Vorgaben'!$E$160</f>
        <v>250</v>
      </c>
      <c r="AZ32" s="385"/>
      <c r="BA32" s="124"/>
      <c r="BB32" s="386"/>
      <c r="BC32" s="162">
        <f>AY32+BB32</f>
        <v>250</v>
      </c>
      <c r="BD32" s="655">
        <f>BC32/$BC$68</f>
        <v>5.9748842391006713E-3</v>
      </c>
      <c r="BE32" s="80" t="s">
        <v>202</v>
      </c>
      <c r="BF32" s="489">
        <f>'Var Vorgaben'!$E$159+'Var Vorgaben'!$E$160</f>
        <v>250</v>
      </c>
      <c r="BG32" s="385"/>
      <c r="BH32" s="124"/>
      <c r="BI32" s="386"/>
      <c r="BJ32" s="162">
        <f>BF32+BI32</f>
        <v>250</v>
      </c>
      <c r="BK32" s="655">
        <f>BJ32/$BJ$68</f>
        <v>5.9778598478697964E-3</v>
      </c>
      <c r="BL32" s="80" t="s">
        <v>202</v>
      </c>
      <c r="BM32" s="489">
        <f>'Var Vorgaben'!$E$159+'Var Vorgaben'!$E$160</f>
        <v>250</v>
      </c>
      <c r="BN32" s="385"/>
      <c r="BO32" s="124"/>
      <c r="BP32" s="386"/>
      <c r="BQ32" s="162">
        <f>BM32+BP32</f>
        <v>250</v>
      </c>
      <c r="BR32" s="655">
        <f>BQ32/$BQ$68</f>
        <v>5.9808652425820188E-3</v>
      </c>
      <c r="BS32" s="80" t="s">
        <v>202</v>
      </c>
      <c r="BT32" s="489">
        <f>'Var Vorgaben'!$E$159+'Var Vorgaben'!$E$160</f>
        <v>250</v>
      </c>
      <c r="BU32" s="385"/>
      <c r="BV32" s="124"/>
      <c r="BW32" s="386"/>
      <c r="BX32" s="162">
        <f>BT32+BW32</f>
        <v>250</v>
      </c>
      <c r="BY32" s="655">
        <f>BX32/$BX$68</f>
        <v>5.9839007502700851E-3</v>
      </c>
      <c r="BZ32" s="80" t="s">
        <v>202</v>
      </c>
      <c r="CA32" s="489">
        <f>'Var Vorgaben'!$E$159+'Var Vorgaben'!$E$160</f>
        <v>250</v>
      </c>
      <c r="CB32" s="385"/>
      <c r="CC32" s="124"/>
      <c r="CD32" s="386"/>
      <c r="CE32" s="162">
        <f>CA32+CD32</f>
        <v>250</v>
      </c>
      <c r="CF32" s="655">
        <f>CE32/$CE$68</f>
        <v>5.9869667021114643E-3</v>
      </c>
      <c r="CG32" s="80" t="s">
        <v>202</v>
      </c>
      <c r="CH32" s="489">
        <f>'Var Vorgaben'!$E$159+'Var Vorgaben'!$E$160</f>
        <v>250</v>
      </c>
      <c r="CI32" s="385"/>
      <c r="CJ32" s="124"/>
      <c r="CK32" s="386"/>
      <c r="CL32" s="162">
        <f>CH32+CK32</f>
        <v>250</v>
      </c>
      <c r="CM32" s="655">
        <f>CL32/$CL$68</f>
        <v>5.9900634334914375E-3</v>
      </c>
      <c r="CN32" s="80" t="s">
        <v>202</v>
      </c>
      <c r="CO32" s="489">
        <f>'Var Vorgaben'!$E$159+'Var Vorgaben'!$E$160</f>
        <v>250</v>
      </c>
      <c r="CP32" s="385"/>
      <c r="CQ32" s="124"/>
      <c r="CR32" s="386"/>
      <c r="CS32" s="162">
        <f>CO32+CR32</f>
        <v>250</v>
      </c>
      <c r="CT32" s="655">
        <f>CS32/$CS$68</f>
        <v>5.9931912840673549E-3</v>
      </c>
      <c r="CU32" s="80" t="s">
        <v>202</v>
      </c>
      <c r="CV32" s="489">
        <f>'Var Vorgaben'!$E$159+'Var Vorgaben'!$E$160</f>
        <v>250</v>
      </c>
      <c r="CW32" s="385"/>
      <c r="CX32" s="124"/>
      <c r="CY32" s="386"/>
      <c r="CZ32" s="162">
        <f>CV32+CY32</f>
        <v>250</v>
      </c>
      <c r="DA32" s="655">
        <f>CZ32/$CZ$68</f>
        <v>5.996350597834061E-3</v>
      </c>
      <c r="DB32" s="80" t="s">
        <v>202</v>
      </c>
      <c r="DC32" s="489">
        <f>'Var Vorgaben'!$E$159+'Var Vorgaben'!$E$160</f>
        <v>250</v>
      </c>
      <c r="DD32" s="385"/>
      <c r="DE32" s="124"/>
      <c r="DF32" s="386"/>
      <c r="DG32" s="162">
        <f>DC32+DF32</f>
        <v>250</v>
      </c>
      <c r="DH32" s="655">
        <f>DG32/$DG$68</f>
        <v>5.2444050738915549E-3</v>
      </c>
    </row>
    <row r="33" spans="1:119" ht="18.75" customHeight="1" x14ac:dyDescent="0.2">
      <c r="A33" s="395" t="s">
        <v>64</v>
      </c>
      <c r="B33" s="341"/>
      <c r="C33" s="490"/>
      <c r="D33" s="490"/>
      <c r="E33" s="455"/>
      <c r="F33" s="491">
        <f>F32+F30+F23+F18+F25+F26</f>
        <v>3437.5169002666662</v>
      </c>
      <c r="G33" s="484">
        <f>F33/$F$68</f>
        <v>0.36332731896099579</v>
      </c>
      <c r="H33" s="395" t="s">
        <v>64</v>
      </c>
      <c r="I33" s="341"/>
      <c r="J33" s="490"/>
      <c r="K33" s="490"/>
      <c r="L33" s="455"/>
      <c r="M33" s="491">
        <f>M32+M30+M23+M18+M25+M26</f>
        <v>4187.5169002666662</v>
      </c>
      <c r="N33" s="484">
        <f>M33/$M$68</f>
        <v>0.30453753171608972</v>
      </c>
      <c r="O33" s="395" t="s">
        <v>64</v>
      </c>
      <c r="P33" s="341"/>
      <c r="Q33" s="490"/>
      <c r="R33" s="490"/>
      <c r="S33" s="455"/>
      <c r="T33" s="491">
        <f>T32+T30+T23+T18+T25+T26</f>
        <v>6049.5169002666662</v>
      </c>
      <c r="U33" s="484">
        <f>T33/$T$68</f>
        <v>0.29772708413359461</v>
      </c>
      <c r="V33" s="395" t="s">
        <v>64</v>
      </c>
      <c r="W33" s="341"/>
      <c r="X33" s="490"/>
      <c r="Y33" s="490"/>
      <c r="Z33" s="455"/>
      <c r="AA33" s="491">
        <f>AA32+AA30+AA23+AA18+AA25+AA26</f>
        <v>6899.5169002666662</v>
      </c>
      <c r="AB33" s="484">
        <f>AA33/$AA$68</f>
        <v>0.28540417454815126</v>
      </c>
      <c r="AC33" s="395" t="s">
        <v>64</v>
      </c>
      <c r="AD33" s="341"/>
      <c r="AE33" s="490"/>
      <c r="AF33" s="490"/>
      <c r="AG33" s="455"/>
      <c r="AH33" s="491">
        <f>AH32+AH30+AH23+AH18+AH25+AH26</f>
        <v>8487.7669002666662</v>
      </c>
      <c r="AI33" s="484">
        <f>AH33/$AH$68</f>
        <v>0.24323853059171008</v>
      </c>
      <c r="AJ33" s="395" t="s">
        <v>64</v>
      </c>
      <c r="AK33" s="341"/>
      <c r="AL33" s="490"/>
      <c r="AM33" s="490"/>
      <c r="AN33" s="455"/>
      <c r="AO33" s="491">
        <f>AO32+AO30+AO23+AO18+AO25+AO26</f>
        <v>9027.7669002666662</v>
      </c>
      <c r="AP33" s="484">
        <f>AO33/$AO$68</f>
        <v>0.23514273470269587</v>
      </c>
      <c r="AQ33" s="395" t="s">
        <v>64</v>
      </c>
      <c r="AR33" s="341"/>
      <c r="AS33" s="490"/>
      <c r="AT33" s="490"/>
      <c r="AU33" s="455"/>
      <c r="AV33" s="491">
        <f>AV32+AV30+AV23+AV18+AV25+AV26</f>
        <v>9567.7669002666662</v>
      </c>
      <c r="AW33" s="484">
        <f>AV33/$AV$68</f>
        <v>0.22855244647901382</v>
      </c>
      <c r="AX33" s="395" t="s">
        <v>64</v>
      </c>
      <c r="AY33" s="341"/>
      <c r="AZ33" s="490"/>
      <c r="BA33" s="490"/>
      <c r="BB33" s="455"/>
      <c r="BC33" s="491">
        <f>BC32+BC30+BC23+BC18+BC25+BC26</f>
        <v>9567.7669002666662</v>
      </c>
      <c r="BD33" s="484">
        <f>BC33/$BC$68</f>
        <v>0.22866519862316956</v>
      </c>
      <c r="BE33" s="395" t="s">
        <v>64</v>
      </c>
      <c r="BF33" s="341"/>
      <c r="BG33" s="490"/>
      <c r="BH33" s="490"/>
      <c r="BI33" s="455"/>
      <c r="BJ33" s="491">
        <f>BJ32+BJ30+BJ23+BJ18+BJ25+BJ26</f>
        <v>9567.7669002666662</v>
      </c>
      <c r="BK33" s="484">
        <f>BJ33/$BJ$68</f>
        <v>0.22877907834752706</v>
      </c>
      <c r="BL33" s="395" t="s">
        <v>64</v>
      </c>
      <c r="BM33" s="341"/>
      <c r="BN33" s="490"/>
      <c r="BO33" s="490"/>
      <c r="BP33" s="455"/>
      <c r="BQ33" s="491">
        <f>BQ32+BQ30+BQ23+BQ18+BQ25+BQ26</f>
        <v>9567.7669002666662</v>
      </c>
      <c r="BR33" s="484">
        <f>BQ33/$BQ$68</f>
        <v>0.22889409801172642</v>
      </c>
      <c r="BS33" s="395" t="s">
        <v>64</v>
      </c>
      <c r="BT33" s="341"/>
      <c r="BU33" s="490"/>
      <c r="BV33" s="490"/>
      <c r="BW33" s="455"/>
      <c r="BX33" s="491">
        <f>BX32+BX30+BX23+BX18+BX25+BX26</f>
        <v>9567.7669002666662</v>
      </c>
      <c r="BY33" s="484">
        <f>BX33/$BX$68</f>
        <v>0.22901027013165998</v>
      </c>
      <c r="BZ33" s="395" t="s">
        <v>64</v>
      </c>
      <c r="CA33" s="341"/>
      <c r="CB33" s="490"/>
      <c r="CC33" s="490"/>
      <c r="CD33" s="455"/>
      <c r="CE33" s="491">
        <f>CE32+CE30+CE23+CE18+CE25+CE26</f>
        <v>9567.7669002666662</v>
      </c>
      <c r="CF33" s="484">
        <f>CE33/$CE$68</f>
        <v>0.22912760738184298</v>
      </c>
      <c r="CG33" s="395" t="s">
        <v>64</v>
      </c>
      <c r="CH33" s="341"/>
      <c r="CI33" s="490"/>
      <c r="CJ33" s="490"/>
      <c r="CK33" s="455"/>
      <c r="CL33" s="491">
        <f>CL32+CL30+CL23+CL18+CL25+CL26</f>
        <v>9567.7669002666662</v>
      </c>
      <c r="CM33" s="484">
        <f>CL33/$CL$68</f>
        <v>0.22924612259782828</v>
      </c>
      <c r="CN33" s="395" t="s">
        <v>64</v>
      </c>
      <c r="CO33" s="341"/>
      <c r="CP33" s="490"/>
      <c r="CQ33" s="490"/>
      <c r="CR33" s="455"/>
      <c r="CS33" s="491">
        <f>CS32+CS30+CS23+CS18+CS25+CS26</f>
        <v>9567.7669002666662</v>
      </c>
      <c r="CT33" s="484">
        <f>CS33/$CS$68</f>
        <v>0.22936582877866526</v>
      </c>
      <c r="CU33" s="395" t="s">
        <v>64</v>
      </c>
      <c r="CV33" s="341"/>
      <c r="CW33" s="490"/>
      <c r="CX33" s="490"/>
      <c r="CY33" s="455"/>
      <c r="CZ33" s="491">
        <f>CZ32+CZ30+CZ23+CZ18+CZ25+CZ26</f>
        <v>9567.7669002666662</v>
      </c>
      <c r="DA33" s="484">
        <f>CZ33/$CZ$68</f>
        <v>0.22948673908940387</v>
      </c>
      <c r="DB33" s="395" t="s">
        <v>64</v>
      </c>
      <c r="DC33" s="341"/>
      <c r="DD33" s="490"/>
      <c r="DE33" s="490"/>
      <c r="DF33" s="455"/>
      <c r="DG33" s="491">
        <f>DG32+DG30+DG23+DG18+DG25+DG26</f>
        <v>9567.7669002666662</v>
      </c>
      <c r="DH33" s="484">
        <f>DG33/$DG$68</f>
        <v>0.20070898111028071</v>
      </c>
      <c r="DI33" s="80"/>
    </row>
    <row r="34" spans="1:119" s="73" customFormat="1" ht="18.75" customHeight="1" x14ac:dyDescent="0.2">
      <c r="A34" s="80" t="s">
        <v>219</v>
      </c>
      <c r="C34" s="379" t="s">
        <v>65</v>
      </c>
      <c r="D34" s="493">
        <f>'Var Vorgaben'!$C$157</f>
        <v>25</v>
      </c>
      <c r="E34" s="169">
        <f>'Var Vorgaben'!$D$157</f>
        <v>17.82</v>
      </c>
      <c r="F34" s="162">
        <f>D34*E34</f>
        <v>445.5</v>
      </c>
      <c r="G34" s="660">
        <f>F34/$F$68</f>
        <v>4.7086989036931606E-2</v>
      </c>
      <c r="H34" s="80" t="s">
        <v>219</v>
      </c>
      <c r="J34" s="379" t="s">
        <v>65</v>
      </c>
      <c r="K34" s="493">
        <f>'Var Vorgaben'!$C$157</f>
        <v>25</v>
      </c>
      <c r="L34" s="169">
        <f>'Var Vorgaben'!$D$157</f>
        <v>17.82</v>
      </c>
      <c r="M34" s="162">
        <f>K34*L34*0.5</f>
        <v>222.75</v>
      </c>
      <c r="N34" s="660">
        <f>M34/$M$68</f>
        <v>1.619951317341289E-2</v>
      </c>
      <c r="O34" s="80" t="s">
        <v>219</v>
      </c>
      <c r="Q34" s="379" t="s">
        <v>65</v>
      </c>
      <c r="R34" s="493">
        <f>'Var Vorgaben'!$C$157</f>
        <v>25</v>
      </c>
      <c r="S34" s="169">
        <f>'Var Vorgaben'!$D$157</f>
        <v>17.82</v>
      </c>
      <c r="T34" s="162">
        <f>R34*S34</f>
        <v>445.5</v>
      </c>
      <c r="U34" s="660">
        <f>T34/$T$68</f>
        <v>2.1925290592323111E-2</v>
      </c>
      <c r="V34" s="80" t="s">
        <v>219</v>
      </c>
      <c r="X34" s="379" t="s">
        <v>65</v>
      </c>
      <c r="Y34" s="493">
        <f>'Var Vorgaben'!$C$157</f>
        <v>25</v>
      </c>
      <c r="Z34" s="169">
        <f>'Var Vorgaben'!$D$157</f>
        <v>17.82</v>
      </c>
      <c r="AA34" s="162">
        <f>Y34*Z34</f>
        <v>445.5</v>
      </c>
      <c r="AB34" s="660">
        <f>AA34/$AA$68</f>
        <v>1.842847283355261E-2</v>
      </c>
      <c r="AC34" s="80" t="s">
        <v>219</v>
      </c>
      <c r="AE34" s="379" t="s">
        <v>65</v>
      </c>
      <c r="AF34" s="493">
        <f>'Var Vorgaben'!$C$157</f>
        <v>25</v>
      </c>
      <c r="AG34" s="169">
        <f>'Var Vorgaben'!$D$157</f>
        <v>17.82</v>
      </c>
      <c r="AH34" s="162">
        <f>AF34*AG34</f>
        <v>445.5</v>
      </c>
      <c r="AI34" s="660">
        <f>AH34/$AH$68</f>
        <v>1.2766934654532316E-2</v>
      </c>
      <c r="AJ34" s="80" t="s">
        <v>219</v>
      </c>
      <c r="AL34" s="379" t="s">
        <v>65</v>
      </c>
      <c r="AM34" s="493">
        <f>'Var Vorgaben'!$C$157</f>
        <v>25</v>
      </c>
      <c r="AN34" s="169">
        <f>'Var Vorgaben'!$D$157</f>
        <v>17.82</v>
      </c>
      <c r="AO34" s="162">
        <f>AM34*AN34</f>
        <v>445.5</v>
      </c>
      <c r="AP34" s="660">
        <f>AO34/$AO$68</f>
        <v>1.1603765301799794E-2</v>
      </c>
      <c r="AQ34" s="80" t="s">
        <v>219</v>
      </c>
      <c r="AS34" s="379" t="s">
        <v>65</v>
      </c>
      <c r="AT34" s="493">
        <f>'Var Vorgaben'!$C$157</f>
        <v>25</v>
      </c>
      <c r="AU34" s="169">
        <f>'Var Vorgaben'!$D$157</f>
        <v>17.82</v>
      </c>
      <c r="AV34" s="162">
        <f>AT34*AU34</f>
        <v>445.5</v>
      </c>
      <c r="AW34" s="660">
        <f>AV34/$AV$68</f>
        <v>1.0641993682304571E-2</v>
      </c>
      <c r="AX34" s="80" t="s">
        <v>219</v>
      </c>
      <c r="AZ34" s="379" t="s">
        <v>65</v>
      </c>
      <c r="BA34" s="493">
        <f>'Var Vorgaben'!$C$157</f>
        <v>25</v>
      </c>
      <c r="BB34" s="169">
        <f>'Var Vorgaben'!$D$157</f>
        <v>17.82</v>
      </c>
      <c r="BC34" s="162">
        <f>BA34*BB34</f>
        <v>445.5</v>
      </c>
      <c r="BD34" s="660">
        <f>BC34/$BC$68</f>
        <v>1.0647243714077397E-2</v>
      </c>
      <c r="BE34" s="80" t="s">
        <v>219</v>
      </c>
      <c r="BG34" s="379" t="s">
        <v>65</v>
      </c>
      <c r="BH34" s="493">
        <f>'Var Vorgaben'!$C$157</f>
        <v>25</v>
      </c>
      <c r="BI34" s="169">
        <f>'Var Vorgaben'!$D$157</f>
        <v>17.82</v>
      </c>
      <c r="BJ34" s="162">
        <f>BH34*BI34</f>
        <v>445.5</v>
      </c>
      <c r="BK34" s="660">
        <f>BJ34/$BJ$68</f>
        <v>1.0652546248903976E-2</v>
      </c>
      <c r="BL34" s="80" t="s">
        <v>219</v>
      </c>
      <c r="BN34" s="379" t="s">
        <v>65</v>
      </c>
      <c r="BO34" s="493">
        <f>'Var Vorgaben'!$C$157</f>
        <v>25</v>
      </c>
      <c r="BP34" s="169">
        <f>'Var Vorgaben'!$D$157</f>
        <v>17.82</v>
      </c>
      <c r="BQ34" s="162">
        <f>BO34*BP34</f>
        <v>445.5</v>
      </c>
      <c r="BR34" s="660">
        <f>BQ34/$BQ$68</f>
        <v>1.0657901862281157E-2</v>
      </c>
      <c r="BS34" s="80" t="s">
        <v>219</v>
      </c>
      <c r="BU34" s="379" t="s">
        <v>65</v>
      </c>
      <c r="BV34" s="493">
        <f>'Var Vorgaben'!$C$157</f>
        <v>25</v>
      </c>
      <c r="BW34" s="169">
        <f>'Var Vorgaben'!$D$157</f>
        <v>17.82</v>
      </c>
      <c r="BX34" s="162">
        <f>BV34*BW34</f>
        <v>445.5</v>
      </c>
      <c r="BY34" s="660">
        <f>BX34/$BX$68</f>
        <v>1.0663311136981293E-2</v>
      </c>
      <c r="BZ34" s="80" t="s">
        <v>219</v>
      </c>
      <c r="CB34" s="379" t="s">
        <v>65</v>
      </c>
      <c r="CC34" s="493">
        <f>'Var Vorgaben'!$C$157</f>
        <v>25</v>
      </c>
      <c r="CD34" s="169">
        <f>'Var Vorgaben'!$D$157</f>
        <v>17.82</v>
      </c>
      <c r="CE34" s="162">
        <f>CC34*CD34</f>
        <v>445.5</v>
      </c>
      <c r="CF34" s="660">
        <f>CE34/$CE$68</f>
        <v>1.0668774663162628E-2</v>
      </c>
      <c r="CG34" s="80" t="s">
        <v>219</v>
      </c>
      <c r="CI34" s="379" t="s">
        <v>65</v>
      </c>
      <c r="CJ34" s="493">
        <f>'Var Vorgaben'!$C$157</f>
        <v>25</v>
      </c>
      <c r="CK34" s="169">
        <f>'Var Vorgaben'!$D$157</f>
        <v>17.82</v>
      </c>
      <c r="CL34" s="162">
        <f>CJ34*CK34</f>
        <v>445.5</v>
      </c>
      <c r="CM34" s="660">
        <f>CL34/$CL$68</f>
        <v>1.0674293038481742E-2</v>
      </c>
      <c r="CN34" s="80" t="s">
        <v>219</v>
      </c>
      <c r="CP34" s="379" t="s">
        <v>65</v>
      </c>
      <c r="CQ34" s="493">
        <f>'Var Vorgaben'!$C$157</f>
        <v>25</v>
      </c>
      <c r="CR34" s="169">
        <f>'Var Vorgaben'!$D$157</f>
        <v>17.82</v>
      </c>
      <c r="CS34" s="162">
        <f>CQ34*CR34</f>
        <v>445.5</v>
      </c>
      <c r="CT34" s="660">
        <f>CS34/$CS$68</f>
        <v>1.0679866868208026E-2</v>
      </c>
      <c r="CU34" s="80" t="s">
        <v>219</v>
      </c>
      <c r="CW34" s="379" t="s">
        <v>65</v>
      </c>
      <c r="CX34" s="493">
        <f>'Var Vorgaben'!$C$157</f>
        <v>25</v>
      </c>
      <c r="CY34" s="169">
        <f>'Var Vorgaben'!$D$157</f>
        <v>17.82</v>
      </c>
      <c r="CZ34" s="162">
        <f>CX34*CY34</f>
        <v>445.5</v>
      </c>
      <c r="DA34" s="660">
        <f>CZ34/$CZ$68</f>
        <v>1.0685496765340297E-2</v>
      </c>
      <c r="DB34" s="80" t="s">
        <v>219</v>
      </c>
      <c r="DD34" s="379" t="s">
        <v>65</v>
      </c>
      <c r="DE34" s="493">
        <f>'Var Vorgaben'!$C$157</f>
        <v>25</v>
      </c>
      <c r="DF34" s="169">
        <f>'Var Vorgaben'!$D$157</f>
        <v>17.82</v>
      </c>
      <c r="DG34" s="162">
        <f>DE34*DF34</f>
        <v>445.5</v>
      </c>
      <c r="DH34" s="660">
        <f>DG34/$DG$68</f>
        <v>9.3455298416747507E-3</v>
      </c>
      <c r="DI34" s="98"/>
    </row>
    <row r="35" spans="1:119" ht="17.850000000000001" customHeight="1" x14ac:dyDescent="0.2">
      <c r="A35" s="64"/>
      <c r="C35" s="468" t="s">
        <v>11</v>
      </c>
      <c r="D35" s="494" t="s">
        <v>20</v>
      </c>
      <c r="E35" s="495" t="s">
        <v>66</v>
      </c>
      <c r="F35" s="496" t="s">
        <v>22</v>
      </c>
      <c r="G35" s="484"/>
      <c r="H35" s="64"/>
      <c r="I35" s="64"/>
      <c r="J35" s="468" t="s">
        <v>11</v>
      </c>
      <c r="K35" s="494" t="s">
        <v>20</v>
      </c>
      <c r="L35" s="495" t="s">
        <v>66</v>
      </c>
      <c r="M35" s="496" t="s">
        <v>22</v>
      </c>
      <c r="N35" s="484"/>
      <c r="Q35" s="468" t="s">
        <v>11</v>
      </c>
      <c r="R35" s="494" t="s">
        <v>20</v>
      </c>
      <c r="S35" s="495" t="s">
        <v>66</v>
      </c>
      <c r="T35" s="496" t="s">
        <v>22</v>
      </c>
      <c r="U35" s="484"/>
      <c r="X35" s="468" t="s">
        <v>11</v>
      </c>
      <c r="Y35" s="494" t="s">
        <v>20</v>
      </c>
      <c r="Z35" s="495" t="s">
        <v>66</v>
      </c>
      <c r="AA35" s="496" t="s">
        <v>22</v>
      </c>
      <c r="AB35" s="484"/>
      <c r="AE35" s="468" t="s">
        <v>11</v>
      </c>
      <c r="AF35" s="494" t="s">
        <v>20</v>
      </c>
      <c r="AG35" s="495" t="s">
        <v>66</v>
      </c>
      <c r="AH35" s="496" t="s">
        <v>22</v>
      </c>
      <c r="AI35" s="484"/>
      <c r="AL35" s="468" t="s">
        <v>11</v>
      </c>
      <c r="AM35" s="494" t="s">
        <v>20</v>
      </c>
      <c r="AN35" s="495" t="s">
        <v>66</v>
      </c>
      <c r="AO35" s="496" t="s">
        <v>22</v>
      </c>
      <c r="AP35" s="484"/>
      <c r="AS35" s="468" t="s">
        <v>11</v>
      </c>
      <c r="AT35" s="494" t="s">
        <v>20</v>
      </c>
      <c r="AU35" s="495" t="s">
        <v>66</v>
      </c>
      <c r="AV35" s="496" t="s">
        <v>22</v>
      </c>
      <c r="AW35" s="484"/>
      <c r="AZ35" s="468" t="s">
        <v>11</v>
      </c>
      <c r="BA35" s="494" t="s">
        <v>20</v>
      </c>
      <c r="BB35" s="495" t="s">
        <v>66</v>
      </c>
      <c r="BC35" s="496" t="s">
        <v>22</v>
      </c>
      <c r="BD35" s="484"/>
      <c r="BG35" s="468" t="s">
        <v>11</v>
      </c>
      <c r="BH35" s="494" t="s">
        <v>20</v>
      </c>
      <c r="BI35" s="495" t="s">
        <v>66</v>
      </c>
      <c r="BJ35" s="496" t="s">
        <v>22</v>
      </c>
      <c r="BK35" s="484"/>
      <c r="BN35" s="468" t="s">
        <v>11</v>
      </c>
      <c r="BO35" s="494" t="s">
        <v>20</v>
      </c>
      <c r="BP35" s="495" t="s">
        <v>66</v>
      </c>
      <c r="BQ35" s="496" t="s">
        <v>22</v>
      </c>
      <c r="BR35" s="484"/>
      <c r="BU35" s="468" t="s">
        <v>11</v>
      </c>
      <c r="BV35" s="494" t="s">
        <v>20</v>
      </c>
      <c r="BW35" s="495" t="s">
        <v>66</v>
      </c>
      <c r="BX35" s="496" t="s">
        <v>22</v>
      </c>
      <c r="BY35" s="484"/>
      <c r="CB35" s="468" t="s">
        <v>11</v>
      </c>
      <c r="CC35" s="494" t="s">
        <v>20</v>
      </c>
      <c r="CD35" s="495" t="s">
        <v>66</v>
      </c>
      <c r="CE35" s="496" t="s">
        <v>22</v>
      </c>
      <c r="CF35" s="484"/>
      <c r="CI35" s="468" t="s">
        <v>11</v>
      </c>
      <c r="CJ35" s="494" t="s">
        <v>20</v>
      </c>
      <c r="CK35" s="495" t="s">
        <v>66</v>
      </c>
      <c r="CL35" s="496" t="s">
        <v>22</v>
      </c>
      <c r="CM35" s="484"/>
      <c r="CP35" s="468" t="s">
        <v>11</v>
      </c>
      <c r="CQ35" s="494" t="s">
        <v>20</v>
      </c>
      <c r="CR35" s="495" t="s">
        <v>66</v>
      </c>
      <c r="CS35" s="496" t="s">
        <v>22</v>
      </c>
      <c r="CT35" s="484"/>
      <c r="CW35" s="468" t="s">
        <v>11</v>
      </c>
      <c r="CX35" s="494" t="s">
        <v>20</v>
      </c>
      <c r="CY35" s="495" t="s">
        <v>66</v>
      </c>
      <c r="CZ35" s="496" t="s">
        <v>22</v>
      </c>
      <c r="DA35" s="484"/>
      <c r="DD35" s="468" t="s">
        <v>11</v>
      </c>
      <c r="DE35" s="494" t="s">
        <v>20</v>
      </c>
      <c r="DF35" s="495" t="s">
        <v>66</v>
      </c>
      <c r="DG35" s="496" t="s">
        <v>22</v>
      </c>
      <c r="DH35" s="484"/>
    </row>
    <row r="36" spans="1:119" x14ac:dyDescent="0.2">
      <c r="A36" s="49" t="s">
        <v>108</v>
      </c>
      <c r="B36" s="64" t="str">
        <f>'Var Vorgaben'!$B$131</f>
        <v>Anbaugebläsespritze 500 l</v>
      </c>
      <c r="C36" s="326">
        <f>'Var Vorgaben'!B119</f>
        <v>6</v>
      </c>
      <c r="D36" s="363">
        <f>'Var Vorgaben'!$C$131</f>
        <v>1</v>
      </c>
      <c r="E36" s="45">
        <f>'Var Vorgaben'!$D$131*(1+'Varianten eingeben'!$C$25)</f>
        <v>37</v>
      </c>
      <c r="F36" s="93">
        <f>C36*D36*E36</f>
        <v>222</v>
      </c>
      <c r="G36" s="484">
        <f t="shared" ref="G36:G48" si="0">F36/$F$68</f>
        <v>2.3464223493151103E-2</v>
      </c>
      <c r="H36" s="49" t="s">
        <v>108</v>
      </c>
      <c r="I36" s="64" t="str">
        <f>'Var Vorgaben'!$B$131</f>
        <v>Anbaugebläsespritze 500 l</v>
      </c>
      <c r="J36" s="326">
        <f>'Var Vorgaben'!C119</f>
        <v>7</v>
      </c>
      <c r="K36" s="363">
        <f>'Var Vorgaben'!$C$131</f>
        <v>1</v>
      </c>
      <c r="L36" s="45">
        <f>'Var Vorgaben'!$D$131*(1+'Varianten eingeben'!$C$25)</f>
        <v>37</v>
      </c>
      <c r="M36" s="93">
        <f>J36*K36*L36</f>
        <v>259</v>
      </c>
      <c r="N36" s="484">
        <f t="shared" ref="N36:N43" si="1">M36/$M$68</f>
        <v>1.8835797584349896E-2</v>
      </c>
      <c r="O36" s="49" t="s">
        <v>108</v>
      </c>
      <c r="P36" s="64" t="str">
        <f>'Var Vorgaben'!$B$131</f>
        <v>Anbaugebläsespritze 500 l</v>
      </c>
      <c r="Q36" s="326">
        <f>'Var Vorgaben'!D119</f>
        <v>13</v>
      </c>
      <c r="R36" s="363">
        <f>'Var Vorgaben'!$C$131</f>
        <v>1</v>
      </c>
      <c r="S36" s="45">
        <f>'Var Vorgaben'!$D$131*(1+'Varianten eingeben'!$C$25)</f>
        <v>37</v>
      </c>
      <c r="T36" s="93">
        <f>Q36*R36*S36</f>
        <v>481</v>
      </c>
      <c r="U36" s="484">
        <f t="shared" ref="U36:U43" si="2">T36/$T$68</f>
        <v>2.367242373716592E-2</v>
      </c>
      <c r="V36" s="80" t="s">
        <v>108</v>
      </c>
      <c r="W36" s="64" t="str">
        <f>'Var Vorgaben'!$B$131</f>
        <v>Anbaugebläsespritze 500 l</v>
      </c>
      <c r="X36" s="326">
        <f>'Var Vorgaben'!$E$119</f>
        <v>13</v>
      </c>
      <c r="Y36" s="363">
        <f>'Var Vorgaben'!$C$131</f>
        <v>1</v>
      </c>
      <c r="Z36" s="45">
        <f>'Var Vorgaben'!$D$131*(1+'Varianten eingeben'!$C$25)</f>
        <v>37</v>
      </c>
      <c r="AA36" s="93">
        <f>X36*Y36*Z36</f>
        <v>481</v>
      </c>
      <c r="AB36" s="484">
        <f t="shared" ref="AB36:AB43" si="3">AA36/$AA$68</f>
        <v>1.9896959445429418E-2</v>
      </c>
      <c r="AC36" s="80" t="s">
        <v>108</v>
      </c>
      <c r="AD36" s="64" t="str">
        <f>'Var Vorgaben'!$B$131</f>
        <v>Anbaugebläsespritze 500 l</v>
      </c>
      <c r="AE36" s="326">
        <f>'Var Vorgaben'!$E$119</f>
        <v>13</v>
      </c>
      <c r="AF36" s="363">
        <f>'Var Vorgaben'!$C$131</f>
        <v>1</v>
      </c>
      <c r="AG36" s="45">
        <f>'Var Vorgaben'!$D$131*(1+'Varianten eingeben'!$C$25)</f>
        <v>37</v>
      </c>
      <c r="AH36" s="93">
        <f>AE36*AF36*AG36</f>
        <v>481</v>
      </c>
      <c r="AI36" s="484">
        <f t="shared" ref="AI36:AI43" si="4">AH36/$AH$68</f>
        <v>1.3784277371111211E-2</v>
      </c>
      <c r="AJ36" s="80" t="s">
        <v>108</v>
      </c>
      <c r="AK36" s="64" t="str">
        <f>'Var Vorgaben'!$B$131</f>
        <v>Anbaugebläsespritze 500 l</v>
      </c>
      <c r="AL36" s="326">
        <f>'Var Vorgaben'!$E$119</f>
        <v>13</v>
      </c>
      <c r="AM36" s="363">
        <f>'Var Vorgaben'!$C$131</f>
        <v>1</v>
      </c>
      <c r="AN36" s="45">
        <f>'Var Vorgaben'!$D$131*(1+'Varianten eingeben'!$C$25)</f>
        <v>37</v>
      </c>
      <c r="AO36" s="93">
        <f>AL36*AM36*AN36</f>
        <v>481</v>
      </c>
      <c r="AP36" s="484">
        <f t="shared" ref="AP36:AP43" si="5">AO36/$AO$68</f>
        <v>1.2528420000371942E-2</v>
      </c>
      <c r="AQ36" s="80" t="s">
        <v>108</v>
      </c>
      <c r="AR36" s="64" t="str">
        <f>'Var Vorgaben'!$B$131</f>
        <v>Anbaugebläsespritze 500 l</v>
      </c>
      <c r="AS36" s="326">
        <f>'Var Vorgaben'!$E$119</f>
        <v>13</v>
      </c>
      <c r="AT36" s="363">
        <f>'Var Vorgaben'!$C$131</f>
        <v>1</v>
      </c>
      <c r="AU36" s="45">
        <f>'Var Vorgaben'!$D$131*(1+'Varianten eingeben'!$C$25)</f>
        <v>37</v>
      </c>
      <c r="AV36" s="93">
        <f>AS36*AT36*AU36</f>
        <v>481</v>
      </c>
      <c r="AW36" s="484">
        <f t="shared" ref="AW36:AW43" si="6">AV36/$AV$68</f>
        <v>1.1490008891556675E-2</v>
      </c>
      <c r="AX36" s="80" t="s">
        <v>108</v>
      </c>
      <c r="AY36" s="64" t="str">
        <f>'Var Vorgaben'!$B$131</f>
        <v>Anbaugebläsespritze 500 l</v>
      </c>
      <c r="AZ36" s="326">
        <f>'Var Vorgaben'!$E$119</f>
        <v>13</v>
      </c>
      <c r="BA36" s="363">
        <f>'Var Vorgaben'!$C$131</f>
        <v>1</v>
      </c>
      <c r="BB36" s="45">
        <f>'Var Vorgaben'!$D$131*(1+'Varianten eingeben'!$C$25)</f>
        <v>37</v>
      </c>
      <c r="BC36" s="93">
        <f>AZ36*BA36*BB36</f>
        <v>481</v>
      </c>
      <c r="BD36" s="484">
        <f t="shared" ref="BD36:BD43" si="7">BC36/$BC$68</f>
        <v>1.1495677276029691E-2</v>
      </c>
      <c r="BE36" s="80" t="s">
        <v>108</v>
      </c>
      <c r="BF36" s="64" t="str">
        <f>'Var Vorgaben'!$B$131</f>
        <v>Anbaugebläsespritze 500 l</v>
      </c>
      <c r="BG36" s="326">
        <f>'Var Vorgaben'!$E$119</f>
        <v>13</v>
      </c>
      <c r="BH36" s="363">
        <f>'Var Vorgaben'!$C$131</f>
        <v>1</v>
      </c>
      <c r="BI36" s="45">
        <f>'Var Vorgaben'!$D$131*(1+'Varianten eingeben'!$C$25)</f>
        <v>37</v>
      </c>
      <c r="BJ36" s="93">
        <f>BG36*BH36*BI36</f>
        <v>481</v>
      </c>
      <c r="BK36" s="484">
        <f t="shared" ref="BK36:BK43" si="8">BJ36/$BJ$68</f>
        <v>1.1501402347301489E-2</v>
      </c>
      <c r="BL36" s="80" t="s">
        <v>108</v>
      </c>
      <c r="BM36" s="64" t="str">
        <f>'Var Vorgaben'!$B$131</f>
        <v>Anbaugebläsespritze 500 l</v>
      </c>
      <c r="BN36" s="326">
        <f>'Var Vorgaben'!$E$119</f>
        <v>13</v>
      </c>
      <c r="BO36" s="363">
        <f>'Var Vorgaben'!$C$131</f>
        <v>1</v>
      </c>
      <c r="BP36" s="45">
        <f>'Var Vorgaben'!$D$131*(1+'Varianten eingeben'!$C$25)</f>
        <v>37</v>
      </c>
      <c r="BQ36" s="93">
        <f>BN36*BO36*BP36</f>
        <v>481</v>
      </c>
      <c r="BR36" s="484">
        <f t="shared" ref="BR36:BR43" si="9">BQ36/$BQ$68</f>
        <v>1.1507184726727805E-2</v>
      </c>
      <c r="BS36" s="80" t="s">
        <v>108</v>
      </c>
      <c r="BT36" s="64" t="str">
        <f>'Var Vorgaben'!$B$131</f>
        <v>Anbaugebläsespritze 500 l</v>
      </c>
      <c r="BU36" s="326">
        <f>'Var Vorgaben'!$E$119</f>
        <v>13</v>
      </c>
      <c r="BV36" s="363">
        <f>'Var Vorgaben'!$C$131</f>
        <v>1</v>
      </c>
      <c r="BW36" s="45">
        <f>'Var Vorgaben'!$D$131*(1+'Varianten eingeben'!$C$25)</f>
        <v>37</v>
      </c>
      <c r="BX36" s="93">
        <f>BU36*BV36*BW36</f>
        <v>481</v>
      </c>
      <c r="BY36" s="484">
        <f t="shared" ref="BY36:BY43" si="10">BX36/$BX$68</f>
        <v>1.1513025043519644E-2</v>
      </c>
      <c r="BZ36" s="80" t="s">
        <v>108</v>
      </c>
      <c r="CA36" s="64" t="str">
        <f>'Var Vorgaben'!$B$131</f>
        <v>Anbaugebläsespritze 500 l</v>
      </c>
      <c r="CB36" s="326">
        <f>'Var Vorgaben'!$E$119</f>
        <v>13</v>
      </c>
      <c r="CC36" s="363">
        <f>'Var Vorgaben'!$C$131</f>
        <v>1</v>
      </c>
      <c r="CD36" s="45">
        <f>'Var Vorgaben'!$D$131*(1+'Varianten eingeben'!$C$25)</f>
        <v>37</v>
      </c>
      <c r="CE36" s="93">
        <f>CB36*CC36*CD36</f>
        <v>481</v>
      </c>
      <c r="CF36" s="484">
        <f t="shared" ref="CF36:CF43" si="11">CE36/$CE$68</f>
        <v>1.1518923934862457E-2</v>
      </c>
      <c r="CG36" s="80" t="s">
        <v>108</v>
      </c>
      <c r="CH36" s="64" t="str">
        <f>'Var Vorgaben'!$B$131</f>
        <v>Anbaugebläsespritze 500 l</v>
      </c>
      <c r="CI36" s="326">
        <f>'Var Vorgaben'!$E$119</f>
        <v>13</v>
      </c>
      <c r="CJ36" s="363">
        <f>'Var Vorgaben'!$C$131</f>
        <v>1</v>
      </c>
      <c r="CK36" s="45">
        <f>'Var Vorgaben'!$D$131*(1+'Varianten eingeben'!$C$25)</f>
        <v>37</v>
      </c>
      <c r="CL36" s="93">
        <f>CI36*CJ36*CK36</f>
        <v>481</v>
      </c>
      <c r="CM36" s="484">
        <f t="shared" ref="CM36:CM43" si="12">CL36/$CL$68</f>
        <v>1.1524882046037525E-2</v>
      </c>
      <c r="CN36" s="80" t="s">
        <v>108</v>
      </c>
      <c r="CO36" s="64" t="str">
        <f>'Var Vorgaben'!$B$131</f>
        <v>Anbaugebläsespritze 500 l</v>
      </c>
      <c r="CP36" s="326">
        <f>'Var Vorgaben'!$E$119</f>
        <v>13</v>
      </c>
      <c r="CQ36" s="363">
        <f>'Var Vorgaben'!$C$131</f>
        <v>1</v>
      </c>
      <c r="CR36" s="45">
        <f>'Var Vorgaben'!$D$131*(1+'Varianten eingeben'!$C$25)</f>
        <v>37</v>
      </c>
      <c r="CS36" s="93">
        <f>CP36*CQ36*CR36</f>
        <v>481</v>
      </c>
      <c r="CT36" s="484">
        <f t="shared" ref="CT36:CT43" si="13">CS36/$CS$68</f>
        <v>1.1530900030545591E-2</v>
      </c>
      <c r="CU36" s="80" t="s">
        <v>108</v>
      </c>
      <c r="CV36" s="64" t="str">
        <f>'Var Vorgaben'!$B$131</f>
        <v>Anbaugebläsespritze 500 l</v>
      </c>
      <c r="CW36" s="326">
        <f>'Var Vorgaben'!$E$119</f>
        <v>13</v>
      </c>
      <c r="CX36" s="363">
        <f>'Var Vorgaben'!$C$131</f>
        <v>1</v>
      </c>
      <c r="CY36" s="45">
        <f>'Var Vorgaben'!$D$131*(1+'Varianten eingeben'!$C$25)</f>
        <v>37</v>
      </c>
      <c r="CZ36" s="93">
        <f>CW36*CX36*CY36</f>
        <v>481</v>
      </c>
      <c r="DA36" s="484">
        <f t="shared" ref="DA36:DA43" si="14">CZ36/$CZ$68</f>
        <v>1.1536978550232734E-2</v>
      </c>
      <c r="DB36" s="80" t="s">
        <v>108</v>
      </c>
      <c r="DC36" s="64" t="str">
        <f>'Var Vorgaben'!$B$131</f>
        <v>Anbaugebläsespritze 500 l</v>
      </c>
      <c r="DD36" s="326">
        <f>'Var Vorgaben'!$E$119</f>
        <v>13</v>
      </c>
      <c r="DE36" s="363">
        <f>'Var Vorgaben'!$C$131</f>
        <v>1</v>
      </c>
      <c r="DF36" s="45">
        <f>'Var Vorgaben'!$D$131*(1+'Varianten eingeben'!$C$25)</f>
        <v>37</v>
      </c>
      <c r="DG36" s="93">
        <f>DD36*DE36*DF36</f>
        <v>481</v>
      </c>
      <c r="DH36" s="484">
        <f t="shared" ref="DH36:DH43" si="15">DG36/$DG$68</f>
        <v>1.0090235362167351E-2</v>
      </c>
    </row>
    <row r="37" spans="1:119" x14ac:dyDescent="0.2">
      <c r="B37" s="64" t="str">
        <f>'Var Vorgaben'!$B$132</f>
        <v>Anbaufeldspritze, Fass</v>
      </c>
      <c r="C37" s="323">
        <f>'Var Vorgaben'!B120</f>
        <v>2</v>
      </c>
      <c r="D37" s="363">
        <f>'Var Vorgaben'!$C$132</f>
        <v>1</v>
      </c>
      <c r="E37" s="45">
        <f>'Var Vorgaben'!$D$132*(1+'Varianten eingeben'!$C$25)</f>
        <v>69</v>
      </c>
      <c r="F37" s="93">
        <f>C37*D37*E37</f>
        <v>138</v>
      </c>
      <c r="G37" s="484">
        <f t="shared" si="0"/>
        <v>1.4585868657904739E-2</v>
      </c>
      <c r="H37" s="49"/>
      <c r="I37" s="64" t="str">
        <f>'Var Vorgaben'!$B$132</f>
        <v>Anbaufeldspritze, Fass</v>
      </c>
      <c r="J37" s="323">
        <f>'Var Vorgaben'!C120</f>
        <v>2</v>
      </c>
      <c r="K37" s="363">
        <f>'Var Vorgaben'!$C$132</f>
        <v>1</v>
      </c>
      <c r="L37" s="45">
        <f>'Var Vorgaben'!$D$132*(1+'Varianten eingeben'!$C$25)</f>
        <v>69</v>
      </c>
      <c r="M37" s="93">
        <f>J37*K37*L37</f>
        <v>138</v>
      </c>
      <c r="N37" s="484">
        <f t="shared" si="1"/>
        <v>1.0036062033360176E-2</v>
      </c>
      <c r="O37" s="49"/>
      <c r="P37" s="64" t="str">
        <f>'Var Vorgaben'!$B$132</f>
        <v>Anbaufeldspritze, Fass</v>
      </c>
      <c r="Q37" s="323">
        <f>'Var Vorgaben'!D120</f>
        <v>4</v>
      </c>
      <c r="R37" s="363">
        <f>'Var Vorgaben'!$C$132</f>
        <v>1</v>
      </c>
      <c r="S37" s="45">
        <f>'Var Vorgaben'!$D$132*(1+'Varianten eingeben'!$C$25)</f>
        <v>69</v>
      </c>
      <c r="T37" s="93">
        <f>Q37*R37*S37</f>
        <v>276</v>
      </c>
      <c r="U37" s="484">
        <f t="shared" si="2"/>
        <v>1.3583345013425766E-2</v>
      </c>
      <c r="V37" s="80"/>
      <c r="W37" s="64" t="str">
        <f>'Var Vorgaben'!$B$132</f>
        <v>Anbaufeldspritze, Fass</v>
      </c>
      <c r="X37" s="323">
        <f>'Var Vorgaben'!$E$120</f>
        <v>4</v>
      </c>
      <c r="Y37" s="363">
        <f>'Var Vorgaben'!$C$132</f>
        <v>1</v>
      </c>
      <c r="Z37" s="45">
        <f>'Var Vorgaben'!$D$132*(1+'Varianten eingeben'!$C$25)</f>
        <v>69</v>
      </c>
      <c r="AA37" s="93">
        <f>X37*Y37*Z37</f>
        <v>276</v>
      </c>
      <c r="AB37" s="484">
        <f t="shared" si="3"/>
        <v>1.1416966334591517E-2</v>
      </c>
      <c r="AC37" s="80"/>
      <c r="AD37" s="64" t="str">
        <f>'Var Vorgaben'!$B$132</f>
        <v>Anbaufeldspritze, Fass</v>
      </c>
      <c r="AE37" s="323">
        <f>'Var Vorgaben'!$E$120</f>
        <v>4</v>
      </c>
      <c r="AF37" s="363">
        <f>'Var Vorgaben'!$C$132</f>
        <v>1</v>
      </c>
      <c r="AG37" s="45">
        <f>'Var Vorgaben'!$D$132*(1+'Varianten eingeben'!$C$25)</f>
        <v>69</v>
      </c>
      <c r="AH37" s="93">
        <f>AE37*AF37*AG37</f>
        <v>276</v>
      </c>
      <c r="AI37" s="484">
        <f t="shared" si="4"/>
        <v>7.9094814021344988E-3</v>
      </c>
      <c r="AJ37" s="80"/>
      <c r="AK37" s="64" t="str">
        <f>'Var Vorgaben'!$B$132</f>
        <v>Anbaufeldspritze, Fass</v>
      </c>
      <c r="AL37" s="323">
        <f>'Var Vorgaben'!$E$120</f>
        <v>4</v>
      </c>
      <c r="AM37" s="363">
        <f>'Var Vorgaben'!$C$132</f>
        <v>1</v>
      </c>
      <c r="AN37" s="45">
        <f>'Var Vorgaben'!$D$132*(1+'Varianten eingeben'!$C$25)</f>
        <v>69</v>
      </c>
      <c r="AO37" s="93">
        <f>AL37*AM37*AN37</f>
        <v>276</v>
      </c>
      <c r="AP37" s="484">
        <f t="shared" si="5"/>
        <v>7.1888646987581205E-3</v>
      </c>
      <c r="AQ37" s="80"/>
      <c r="AR37" s="64" t="str">
        <f>'Var Vorgaben'!$B$132</f>
        <v>Anbaufeldspritze, Fass</v>
      </c>
      <c r="AS37" s="323">
        <f>'Var Vorgaben'!$E$120</f>
        <v>4</v>
      </c>
      <c r="AT37" s="363">
        <f>'Var Vorgaben'!$C$132</f>
        <v>1</v>
      </c>
      <c r="AU37" s="45">
        <f>'Var Vorgaben'!$D$132*(1+'Varianten eingeben'!$C$25)</f>
        <v>69</v>
      </c>
      <c r="AV37" s="93">
        <f>AS37*AT37*AU37</f>
        <v>276</v>
      </c>
      <c r="AW37" s="484">
        <f t="shared" si="6"/>
        <v>6.5930196550304417E-3</v>
      </c>
      <c r="AX37" s="80"/>
      <c r="AY37" s="64" t="str">
        <f>'Var Vorgaben'!$B$132</f>
        <v>Anbaufeldspritze, Fass</v>
      </c>
      <c r="AZ37" s="323">
        <f>'Var Vorgaben'!$E$120</f>
        <v>4</v>
      </c>
      <c r="BA37" s="363">
        <f>'Var Vorgaben'!$C$132</f>
        <v>1</v>
      </c>
      <c r="BB37" s="45">
        <f>'Var Vorgaben'!$D$132*(1+'Varianten eingeben'!$C$25)</f>
        <v>69</v>
      </c>
      <c r="BC37" s="93">
        <f>AZ37*BA37*BB37</f>
        <v>276</v>
      </c>
      <c r="BD37" s="484">
        <f t="shared" si="7"/>
        <v>6.5962721999671412E-3</v>
      </c>
      <c r="BE37" s="80"/>
      <c r="BF37" s="64" t="str">
        <f>'Var Vorgaben'!$B$132</f>
        <v>Anbaufeldspritze, Fass</v>
      </c>
      <c r="BG37" s="323">
        <f>'Var Vorgaben'!$E$120</f>
        <v>4</v>
      </c>
      <c r="BH37" s="363">
        <f>'Var Vorgaben'!$C$132</f>
        <v>1</v>
      </c>
      <c r="BI37" s="45">
        <f>'Var Vorgaben'!$D$132*(1+'Varianten eingeben'!$C$25)</f>
        <v>69</v>
      </c>
      <c r="BJ37" s="93">
        <f>BG37*BH37*BI37</f>
        <v>276</v>
      </c>
      <c r="BK37" s="484">
        <f t="shared" si="8"/>
        <v>6.5995572720482553E-3</v>
      </c>
      <c r="BL37" s="80"/>
      <c r="BM37" s="64" t="str">
        <f>'Var Vorgaben'!$B$132</f>
        <v>Anbaufeldspritze, Fass</v>
      </c>
      <c r="BN37" s="323">
        <f>'Var Vorgaben'!$E$120</f>
        <v>4</v>
      </c>
      <c r="BO37" s="363">
        <f>'Var Vorgaben'!$C$132</f>
        <v>1</v>
      </c>
      <c r="BP37" s="45">
        <f>'Var Vorgaben'!$D$132*(1+'Varianten eingeben'!$C$25)</f>
        <v>69</v>
      </c>
      <c r="BQ37" s="93">
        <f>BN37*BO37*BP37</f>
        <v>276</v>
      </c>
      <c r="BR37" s="484">
        <f t="shared" si="9"/>
        <v>6.6028752278105484E-3</v>
      </c>
      <c r="BS37" s="80"/>
      <c r="BT37" s="64" t="str">
        <f>'Var Vorgaben'!$B$132</f>
        <v>Anbaufeldspritze, Fass</v>
      </c>
      <c r="BU37" s="323">
        <f>'Var Vorgaben'!$E$120</f>
        <v>4</v>
      </c>
      <c r="BV37" s="363">
        <f>'Var Vorgaben'!$C$132</f>
        <v>1</v>
      </c>
      <c r="BW37" s="45">
        <f>'Var Vorgaben'!$D$132*(1+'Varianten eingeben'!$C$25)</f>
        <v>69</v>
      </c>
      <c r="BX37" s="93">
        <f>BU37*BV37*BW37</f>
        <v>276</v>
      </c>
      <c r="BY37" s="484">
        <f t="shared" si="10"/>
        <v>6.6062264282981745E-3</v>
      </c>
      <c r="BZ37" s="80"/>
      <c r="CA37" s="64" t="str">
        <f>'Var Vorgaben'!$B$132</f>
        <v>Anbaufeldspritze, Fass</v>
      </c>
      <c r="CB37" s="323">
        <f>'Var Vorgaben'!$E$120</f>
        <v>4</v>
      </c>
      <c r="CC37" s="363">
        <f>'Var Vorgaben'!$C$132</f>
        <v>1</v>
      </c>
      <c r="CD37" s="45">
        <f>'Var Vorgaben'!$D$132*(1+'Varianten eingeben'!$C$25)</f>
        <v>69</v>
      </c>
      <c r="CE37" s="93">
        <f>CB37*CC37*CD37</f>
        <v>276</v>
      </c>
      <c r="CF37" s="484">
        <f t="shared" si="11"/>
        <v>6.6096112391310566E-3</v>
      </c>
      <c r="CG37" s="80"/>
      <c r="CH37" s="64" t="str">
        <f>'Var Vorgaben'!$B$132</f>
        <v>Anbaufeldspritze, Fass</v>
      </c>
      <c r="CI37" s="323">
        <f>'Var Vorgaben'!$E$120</f>
        <v>4</v>
      </c>
      <c r="CJ37" s="363">
        <f>'Var Vorgaben'!$C$132</f>
        <v>1</v>
      </c>
      <c r="CK37" s="45">
        <f>'Var Vorgaben'!$D$132*(1+'Varianten eingeben'!$C$25)</f>
        <v>69</v>
      </c>
      <c r="CL37" s="93">
        <f>CI37*CJ37*CK37</f>
        <v>276</v>
      </c>
      <c r="CM37" s="484">
        <f t="shared" si="12"/>
        <v>6.613030030574547E-3</v>
      </c>
      <c r="CN37" s="80"/>
      <c r="CO37" s="64" t="str">
        <f>'Var Vorgaben'!$B$132</f>
        <v>Anbaufeldspritze, Fass</v>
      </c>
      <c r="CP37" s="323">
        <f>'Var Vorgaben'!$E$120</f>
        <v>4</v>
      </c>
      <c r="CQ37" s="363">
        <f>'Var Vorgaben'!$C$132</f>
        <v>1</v>
      </c>
      <c r="CR37" s="45">
        <f>'Var Vorgaben'!$D$132*(1+'Varianten eingeben'!$C$25)</f>
        <v>69</v>
      </c>
      <c r="CS37" s="93">
        <f>CP37*CQ37*CR37</f>
        <v>276</v>
      </c>
      <c r="CT37" s="484">
        <f t="shared" si="13"/>
        <v>6.6164831776103598E-3</v>
      </c>
      <c r="CU37" s="80"/>
      <c r="CV37" s="64" t="str">
        <f>'Var Vorgaben'!$B$132</f>
        <v>Anbaufeldspritze, Fass</v>
      </c>
      <c r="CW37" s="323">
        <f>'Var Vorgaben'!$E$120</f>
        <v>4</v>
      </c>
      <c r="CX37" s="363">
        <f>'Var Vorgaben'!$C$132</f>
        <v>1</v>
      </c>
      <c r="CY37" s="45">
        <f>'Var Vorgaben'!$D$132*(1+'Varianten eingeben'!$C$25)</f>
        <v>69</v>
      </c>
      <c r="CZ37" s="93">
        <f>CW37*CX37*CY37</f>
        <v>276</v>
      </c>
      <c r="DA37" s="484">
        <f t="shared" si="14"/>
        <v>6.619971060008804E-3</v>
      </c>
      <c r="DB37" s="80"/>
      <c r="DC37" s="64" t="str">
        <f>'Var Vorgaben'!$B$132</f>
        <v>Anbaufeldspritze, Fass</v>
      </c>
      <c r="DD37" s="323">
        <f>'Var Vorgaben'!$E$120</f>
        <v>4</v>
      </c>
      <c r="DE37" s="363">
        <f>'Var Vorgaben'!$C$132</f>
        <v>1</v>
      </c>
      <c r="DF37" s="45">
        <f>'Var Vorgaben'!$D$132*(1+'Varianten eingeben'!$C$25)</f>
        <v>69</v>
      </c>
      <c r="DG37" s="93">
        <f>DD37*DE37*DF37</f>
        <v>276</v>
      </c>
      <c r="DH37" s="484">
        <f t="shared" si="15"/>
        <v>5.789823201576276E-3</v>
      </c>
    </row>
    <row r="38" spans="1:119" x14ac:dyDescent="0.2">
      <c r="B38" s="64" t="str">
        <f>'Var Vorgaben'!$B$133</f>
        <v>Düngerstreuer Einkasten 2.5 m</v>
      </c>
      <c r="C38" s="323">
        <f>C16</f>
        <v>2</v>
      </c>
      <c r="D38" s="363">
        <f>'Var Vorgaben'!$C$133</f>
        <v>1</v>
      </c>
      <c r="E38" s="45">
        <f>'Var Vorgaben'!$D$133*(1+'Varianten eingeben'!$C$25)</f>
        <v>18</v>
      </c>
      <c r="F38" s="93">
        <f>C38*D38*E38</f>
        <v>36</v>
      </c>
      <c r="G38" s="484">
        <f t="shared" si="0"/>
        <v>3.8050092151055842E-3</v>
      </c>
      <c r="H38" s="49"/>
      <c r="I38" s="64" t="str">
        <f>'Var Vorgaben'!$B$133</f>
        <v>Düngerstreuer Einkasten 2.5 m</v>
      </c>
      <c r="J38" s="323">
        <f>J16</f>
        <v>2</v>
      </c>
      <c r="K38" s="363">
        <f>'Var Vorgaben'!$C$133</f>
        <v>1</v>
      </c>
      <c r="L38" s="45">
        <f>'Var Vorgaben'!$D$133*(1+'Varianten eingeben'!$C$25)</f>
        <v>18</v>
      </c>
      <c r="M38" s="93">
        <f>J38*K38*L38</f>
        <v>36</v>
      </c>
      <c r="N38" s="484">
        <f t="shared" si="1"/>
        <v>2.6181031391374369E-3</v>
      </c>
      <c r="O38" s="49"/>
      <c r="P38" s="64" t="str">
        <f>'Var Vorgaben'!$B$133</f>
        <v>Düngerstreuer Einkasten 2.5 m</v>
      </c>
      <c r="Q38" s="323">
        <f>Q18</f>
        <v>2</v>
      </c>
      <c r="R38" s="363">
        <f>'Var Vorgaben'!$C$133</f>
        <v>1</v>
      </c>
      <c r="S38" s="45">
        <f>'Var Vorgaben'!$D$133*(1+'Varianten eingeben'!$C$25)</f>
        <v>18</v>
      </c>
      <c r="T38" s="93">
        <f>Q38*R38*S38</f>
        <v>36</v>
      </c>
      <c r="U38" s="484">
        <f t="shared" si="2"/>
        <v>1.7717406539251E-3</v>
      </c>
      <c r="V38" s="80"/>
      <c r="W38" s="64" t="str">
        <f>'Var Vorgaben'!$B$133</f>
        <v>Düngerstreuer Einkasten 2.5 m</v>
      </c>
      <c r="X38" s="323">
        <f>X18</f>
        <v>2</v>
      </c>
      <c r="Y38" s="363">
        <f>'Var Vorgaben'!$C$133</f>
        <v>1</v>
      </c>
      <c r="Z38" s="45">
        <f>'Var Vorgaben'!$D$133*(1+'Varianten eingeben'!$C$25)</f>
        <v>18</v>
      </c>
      <c r="AA38" s="93">
        <f>X38*Y38*Z38</f>
        <v>36</v>
      </c>
      <c r="AB38" s="484">
        <f t="shared" si="3"/>
        <v>1.4891695219032414E-3</v>
      </c>
      <c r="AC38" s="80"/>
      <c r="AD38" s="64" t="str">
        <f>'Var Vorgaben'!$B$133</f>
        <v>Düngerstreuer Einkasten 2.5 m</v>
      </c>
      <c r="AE38" s="323">
        <f>AE18</f>
        <v>4</v>
      </c>
      <c r="AF38" s="363">
        <f>'Var Vorgaben'!$C$133</f>
        <v>1</v>
      </c>
      <c r="AG38" s="45">
        <f>'Var Vorgaben'!$D$133*(1+'Varianten eingeben'!$C$25)</f>
        <v>18</v>
      </c>
      <c r="AH38" s="93">
        <f>AE38*AF38*AG38</f>
        <v>72</v>
      </c>
      <c r="AI38" s="484">
        <f t="shared" si="4"/>
        <v>2.0633429744698695E-3</v>
      </c>
      <c r="AJ38" s="80"/>
      <c r="AK38" s="64" t="str">
        <f>'Var Vorgaben'!$B$133</f>
        <v>Düngerstreuer Einkasten 2.5 m</v>
      </c>
      <c r="AL38" s="323">
        <f>AL18</f>
        <v>4</v>
      </c>
      <c r="AM38" s="363">
        <f>'Var Vorgaben'!$C$133</f>
        <v>1</v>
      </c>
      <c r="AN38" s="45">
        <f>'Var Vorgaben'!$D$133*(1+'Varianten eingeben'!$C$25)</f>
        <v>18</v>
      </c>
      <c r="AO38" s="93">
        <f>AL38*AM38*AN38</f>
        <v>72</v>
      </c>
      <c r="AP38" s="484">
        <f t="shared" si="5"/>
        <v>1.8753560083716837E-3</v>
      </c>
      <c r="AQ38" s="80"/>
      <c r="AR38" s="64" t="str">
        <f>'Var Vorgaben'!$B$133</f>
        <v>Düngerstreuer Einkasten 2.5 m</v>
      </c>
      <c r="AS38" s="323">
        <f>AS18</f>
        <v>4</v>
      </c>
      <c r="AT38" s="363">
        <f>'Var Vorgaben'!$C$133</f>
        <v>1</v>
      </c>
      <c r="AU38" s="45">
        <f>'Var Vorgaben'!$D$133*(1+'Varianten eingeben'!$C$25)</f>
        <v>18</v>
      </c>
      <c r="AV38" s="93">
        <f>AS38*AT38*AU38</f>
        <v>72</v>
      </c>
      <c r="AW38" s="484">
        <f t="shared" si="6"/>
        <v>1.7199181708775066E-3</v>
      </c>
      <c r="AX38" s="80"/>
      <c r="AY38" s="64" t="str">
        <f>'Var Vorgaben'!$B$133</f>
        <v>Düngerstreuer Einkasten 2.5 m</v>
      </c>
      <c r="AZ38" s="323">
        <f>AZ18</f>
        <v>4</v>
      </c>
      <c r="BA38" s="363">
        <f>'Var Vorgaben'!$C$133</f>
        <v>1</v>
      </c>
      <c r="BB38" s="45">
        <f>'Var Vorgaben'!$D$133*(1+'Varianten eingeben'!$C$25)</f>
        <v>18</v>
      </c>
      <c r="BC38" s="93">
        <f>AZ38*BA38*BB38</f>
        <v>72</v>
      </c>
      <c r="BD38" s="484">
        <f t="shared" si="7"/>
        <v>1.7207666608609934E-3</v>
      </c>
      <c r="BE38" s="80"/>
      <c r="BF38" s="64" t="str">
        <f>'Var Vorgaben'!$B$133</f>
        <v>Düngerstreuer Einkasten 2.5 m</v>
      </c>
      <c r="BG38" s="323">
        <f>BG18</f>
        <v>4</v>
      </c>
      <c r="BH38" s="363">
        <f>'Var Vorgaben'!$C$133</f>
        <v>1</v>
      </c>
      <c r="BI38" s="45">
        <f>'Var Vorgaben'!$D$133*(1+'Varianten eingeben'!$C$25)</f>
        <v>18</v>
      </c>
      <c r="BJ38" s="93">
        <f>BG38*BH38*BI38</f>
        <v>72</v>
      </c>
      <c r="BK38" s="484">
        <f t="shared" si="8"/>
        <v>1.7216236361865013E-3</v>
      </c>
      <c r="BL38" s="80"/>
      <c r="BM38" s="64" t="str">
        <f>'Var Vorgaben'!$B$133</f>
        <v>Düngerstreuer Einkasten 2.5 m</v>
      </c>
      <c r="BN38" s="323">
        <f>BN18</f>
        <v>4</v>
      </c>
      <c r="BO38" s="363">
        <f>'Var Vorgaben'!$C$133</f>
        <v>1</v>
      </c>
      <c r="BP38" s="45">
        <f>'Var Vorgaben'!$D$133*(1+'Varianten eingeben'!$C$25)</f>
        <v>18</v>
      </c>
      <c r="BQ38" s="93">
        <f>BN38*BO38*BP38</f>
        <v>72</v>
      </c>
      <c r="BR38" s="484">
        <f t="shared" si="9"/>
        <v>1.7224891898636214E-3</v>
      </c>
      <c r="BS38" s="80"/>
      <c r="BT38" s="64" t="str">
        <f>'Var Vorgaben'!$B$133</f>
        <v>Düngerstreuer Einkasten 2.5 m</v>
      </c>
      <c r="BU38" s="323">
        <f>BU18</f>
        <v>4</v>
      </c>
      <c r="BV38" s="363">
        <f>'Var Vorgaben'!$C$133</f>
        <v>1</v>
      </c>
      <c r="BW38" s="45">
        <f>'Var Vorgaben'!$D$133*(1+'Varianten eingeben'!$C$25)</f>
        <v>18</v>
      </c>
      <c r="BX38" s="93">
        <f>BU38*BV38*BW38</f>
        <v>72</v>
      </c>
      <c r="BY38" s="484">
        <f t="shared" si="10"/>
        <v>1.7233634160777845E-3</v>
      </c>
      <c r="BZ38" s="80"/>
      <c r="CA38" s="64" t="str">
        <f>'Var Vorgaben'!$B$133</f>
        <v>Düngerstreuer Einkasten 2.5 m</v>
      </c>
      <c r="CB38" s="323">
        <f>CB18</f>
        <v>4</v>
      </c>
      <c r="CC38" s="363">
        <f>'Var Vorgaben'!$C$133</f>
        <v>1</v>
      </c>
      <c r="CD38" s="45">
        <f>'Var Vorgaben'!$D$133*(1+'Varianten eingeben'!$C$25)</f>
        <v>18</v>
      </c>
      <c r="CE38" s="93">
        <f>CB38*CC38*CD38</f>
        <v>72</v>
      </c>
      <c r="CF38" s="484">
        <f t="shared" si="11"/>
        <v>1.7242464102081017E-3</v>
      </c>
      <c r="CG38" s="80"/>
      <c r="CH38" s="64" t="str">
        <f>'Var Vorgaben'!$B$133</f>
        <v>Düngerstreuer Einkasten 2.5 m</v>
      </c>
      <c r="CI38" s="323">
        <f>CI18</f>
        <v>4</v>
      </c>
      <c r="CJ38" s="363">
        <f>'Var Vorgaben'!$C$133</f>
        <v>1</v>
      </c>
      <c r="CK38" s="45">
        <f>'Var Vorgaben'!$D$133*(1+'Varianten eingeben'!$C$25)</f>
        <v>18</v>
      </c>
      <c r="CL38" s="93">
        <f>CI38*CJ38*CK38</f>
        <v>72</v>
      </c>
      <c r="CM38" s="484">
        <f t="shared" si="12"/>
        <v>1.7251382688455339E-3</v>
      </c>
      <c r="CN38" s="80"/>
      <c r="CO38" s="64" t="str">
        <f>'Var Vorgaben'!$B$133</f>
        <v>Düngerstreuer Einkasten 2.5 m</v>
      </c>
      <c r="CP38" s="323">
        <f>CP18</f>
        <v>4</v>
      </c>
      <c r="CQ38" s="363">
        <f>'Var Vorgaben'!$C$133</f>
        <v>1</v>
      </c>
      <c r="CR38" s="45">
        <f>'Var Vorgaben'!$D$133*(1+'Varianten eingeben'!$C$25)</f>
        <v>18</v>
      </c>
      <c r="CS38" s="93">
        <f>CP38*CQ38*CR38</f>
        <v>72</v>
      </c>
      <c r="CT38" s="484">
        <f t="shared" si="13"/>
        <v>1.7260390898113981E-3</v>
      </c>
      <c r="CU38" s="80"/>
      <c r="CV38" s="64" t="str">
        <f>'Var Vorgaben'!$B$133</f>
        <v>Düngerstreuer Einkasten 2.5 m</v>
      </c>
      <c r="CW38" s="323">
        <f>CW18</f>
        <v>4</v>
      </c>
      <c r="CX38" s="363">
        <f>'Var Vorgaben'!$C$133</f>
        <v>1</v>
      </c>
      <c r="CY38" s="45">
        <f>'Var Vorgaben'!$D$133*(1+'Varianten eingeben'!$C$25)</f>
        <v>18</v>
      </c>
      <c r="CZ38" s="93">
        <f>CW38*CX38*CY38</f>
        <v>72</v>
      </c>
      <c r="DA38" s="484">
        <f t="shared" si="14"/>
        <v>1.7269489721762096E-3</v>
      </c>
      <c r="DB38" s="80"/>
      <c r="DC38" s="64" t="str">
        <f>'Var Vorgaben'!$B$133</f>
        <v>Düngerstreuer Einkasten 2.5 m</v>
      </c>
      <c r="DD38" s="323">
        <f>DD18</f>
        <v>4</v>
      </c>
      <c r="DE38" s="363">
        <f>'Var Vorgaben'!$C$133</f>
        <v>1</v>
      </c>
      <c r="DF38" s="45">
        <f>'Var Vorgaben'!$D$133*(1+'Varianten eingeben'!$C$25)</f>
        <v>18</v>
      </c>
      <c r="DG38" s="93">
        <f>DD38*DE38*DF38</f>
        <v>72</v>
      </c>
      <c r="DH38" s="484">
        <f t="shared" si="15"/>
        <v>1.5103886612807677E-3</v>
      </c>
    </row>
    <row r="39" spans="1:119" x14ac:dyDescent="0.2">
      <c r="A39" s="64"/>
      <c r="B39" s="64" t="str">
        <f>'Var Vorgaben'!$B$134</f>
        <v>Pneuwagen 2achsig (Ernte)</v>
      </c>
      <c r="C39" s="497">
        <f>'Var Vorgaben'!$C$134</f>
        <v>0.1</v>
      </c>
      <c r="D39" s="363">
        <f>C39*C40</f>
        <v>0</v>
      </c>
      <c r="E39" s="45">
        <f>'Var Vorgaben'!$D$134*(1+'Varianten eingeben'!$C$25)</f>
        <v>25</v>
      </c>
      <c r="F39" s="93">
        <f>D39*E39</f>
        <v>0</v>
      </c>
      <c r="G39" s="484">
        <f t="shared" si="0"/>
        <v>0</v>
      </c>
      <c r="H39" s="64"/>
      <c r="I39" s="64" t="str">
        <f>'Var Vorgaben'!$B$134</f>
        <v>Pneuwagen 2achsig (Ernte)</v>
      </c>
      <c r="J39" s="497">
        <f>'Var Vorgaben'!$C$134</f>
        <v>0.1</v>
      </c>
      <c r="K39" s="363">
        <f>J39*J40</f>
        <v>10</v>
      </c>
      <c r="L39" s="45">
        <f>'Var Vorgaben'!$D$134*(1+'Varianten eingeben'!$C$25)</f>
        <v>25</v>
      </c>
      <c r="M39" s="93">
        <f>K39*L39</f>
        <v>250</v>
      </c>
      <c r="N39" s="484">
        <f t="shared" si="1"/>
        <v>1.8181271799565534E-2</v>
      </c>
      <c r="P39" s="64" t="str">
        <f>'Var Vorgaben'!$B$134</f>
        <v>Pneuwagen 2achsig (Ernte)</v>
      </c>
      <c r="Q39" s="497">
        <f>'Var Vorgaben'!$C$134</f>
        <v>0.1</v>
      </c>
      <c r="R39" s="363">
        <f>Q39*Q40</f>
        <v>15</v>
      </c>
      <c r="S39" s="45">
        <f>'Var Vorgaben'!$D$134*(1+'Varianten eingeben'!$C$25)</f>
        <v>25</v>
      </c>
      <c r="T39" s="93">
        <f>R39*S39</f>
        <v>375</v>
      </c>
      <c r="U39" s="484">
        <f t="shared" si="2"/>
        <v>1.8455631811719792E-2</v>
      </c>
      <c r="V39" s="73"/>
      <c r="W39" s="64" t="str">
        <f>'Var Vorgaben'!$B$134</f>
        <v>Pneuwagen 2achsig (Ernte)</v>
      </c>
      <c r="X39" s="497">
        <f>'Var Vorgaben'!$C$134</f>
        <v>0.1</v>
      </c>
      <c r="Y39" s="363">
        <f>X39*X40</f>
        <v>25</v>
      </c>
      <c r="Z39" s="45">
        <f>'Var Vorgaben'!$D$134*(1+'Varianten eingeben'!$C$25)</f>
        <v>25</v>
      </c>
      <c r="AA39" s="93">
        <f>Y39*Z39</f>
        <v>625</v>
      </c>
      <c r="AB39" s="484">
        <f t="shared" si="3"/>
        <v>2.5853637533042383E-2</v>
      </c>
      <c r="AC39" s="73"/>
      <c r="AD39" s="64" t="str">
        <f>'Var Vorgaben'!$B$134</f>
        <v>Pneuwagen 2achsig (Ernte)</v>
      </c>
      <c r="AE39" s="497">
        <f>'Var Vorgaben'!$C$134</f>
        <v>0.1</v>
      </c>
      <c r="AF39" s="363">
        <f>AE39*AE40</f>
        <v>45</v>
      </c>
      <c r="AG39" s="45">
        <f>'Var Vorgaben'!$D$134*(1+'Varianten eingeben'!$C$25)</f>
        <v>25</v>
      </c>
      <c r="AH39" s="93">
        <f>AF39*AG39</f>
        <v>1125</v>
      </c>
      <c r="AI39" s="484">
        <f t="shared" si="4"/>
        <v>3.2239733976091707E-2</v>
      </c>
      <c r="AJ39" s="73"/>
      <c r="AK39" s="64" t="str">
        <f>'Var Vorgaben'!$B$134</f>
        <v>Pneuwagen 2achsig (Ernte)</v>
      </c>
      <c r="AL39" s="497">
        <f>'Var Vorgaben'!$C$134</f>
        <v>0.1</v>
      </c>
      <c r="AM39" s="363">
        <f>AL39*AL40</f>
        <v>55</v>
      </c>
      <c r="AN39" s="45">
        <f>'Var Vorgaben'!$D$134*(1+'Varianten eingeben'!$C$25)</f>
        <v>25</v>
      </c>
      <c r="AO39" s="93">
        <f>AM39*AN39</f>
        <v>1375</v>
      </c>
      <c r="AP39" s="484">
        <f t="shared" si="5"/>
        <v>3.5814090437653684E-2</v>
      </c>
      <c r="AQ39" s="73"/>
      <c r="AR39" s="64" t="str">
        <f>'Var Vorgaben'!$B$134</f>
        <v>Pneuwagen 2achsig (Ernte)</v>
      </c>
      <c r="AS39" s="497">
        <f>'Var Vorgaben'!$C$134</f>
        <v>0.1</v>
      </c>
      <c r="AT39" s="363">
        <f>AS39*AS40</f>
        <v>65</v>
      </c>
      <c r="AU39" s="45">
        <f>'Var Vorgaben'!$D$134*(1+'Varianten eingeben'!$C$25)</f>
        <v>25</v>
      </c>
      <c r="AV39" s="93">
        <f>AT39*AU39</f>
        <v>1625</v>
      </c>
      <c r="AW39" s="484">
        <f t="shared" si="6"/>
        <v>3.8817597606610389E-2</v>
      </c>
      <c r="AX39" s="73"/>
      <c r="AY39" s="64" t="str">
        <f>'Var Vorgaben'!$B$134</f>
        <v>Pneuwagen 2achsig (Ernte)</v>
      </c>
      <c r="AZ39" s="497">
        <f>'Var Vorgaben'!$C$134</f>
        <v>0.1</v>
      </c>
      <c r="BA39" s="363">
        <f>AZ39*AZ40</f>
        <v>65</v>
      </c>
      <c r="BB39" s="45">
        <f>'Var Vorgaben'!$D$134*(1+'Varianten eingeben'!$C$25)</f>
        <v>25</v>
      </c>
      <c r="BC39" s="93">
        <f>BA39*BB39</f>
        <v>1625</v>
      </c>
      <c r="BD39" s="484">
        <f t="shared" si="7"/>
        <v>3.8836747554154366E-2</v>
      </c>
      <c r="BE39" s="73"/>
      <c r="BF39" s="64" t="str">
        <f>'Var Vorgaben'!$B$134</f>
        <v>Pneuwagen 2achsig (Ernte)</v>
      </c>
      <c r="BG39" s="497">
        <f>'Var Vorgaben'!$C$134</f>
        <v>0.1</v>
      </c>
      <c r="BH39" s="363">
        <f>BG39*BG40</f>
        <v>65</v>
      </c>
      <c r="BI39" s="45">
        <f>'Var Vorgaben'!$D$134*(1+'Varianten eingeben'!$C$25)</f>
        <v>25</v>
      </c>
      <c r="BJ39" s="93">
        <f>BH39*BI39</f>
        <v>1625</v>
      </c>
      <c r="BK39" s="484">
        <f t="shared" si="8"/>
        <v>3.8856089011153679E-2</v>
      </c>
      <c r="BL39" s="73"/>
      <c r="BM39" s="64" t="str">
        <f>'Var Vorgaben'!$B$134</f>
        <v>Pneuwagen 2achsig (Ernte)</v>
      </c>
      <c r="BN39" s="497">
        <f>'Var Vorgaben'!$C$134</f>
        <v>0.1</v>
      </c>
      <c r="BO39" s="363">
        <f>BN39*BN40</f>
        <v>65</v>
      </c>
      <c r="BP39" s="45">
        <f>'Var Vorgaben'!$D$134*(1+'Varianten eingeben'!$C$25)</f>
        <v>25</v>
      </c>
      <c r="BQ39" s="93">
        <f>BO39*BP39</f>
        <v>1625</v>
      </c>
      <c r="BR39" s="484">
        <f t="shared" si="9"/>
        <v>3.8875624076783126E-2</v>
      </c>
      <c r="BS39" s="73"/>
      <c r="BT39" s="64" t="str">
        <f>'Var Vorgaben'!$B$134</f>
        <v>Pneuwagen 2achsig (Ernte)</v>
      </c>
      <c r="BU39" s="497">
        <f>'Var Vorgaben'!$C$134</f>
        <v>0.1</v>
      </c>
      <c r="BV39" s="363">
        <f>BU39*BU40</f>
        <v>65</v>
      </c>
      <c r="BW39" s="45">
        <f>'Var Vorgaben'!$D$134*(1+'Varianten eingeben'!$C$25)</f>
        <v>25</v>
      </c>
      <c r="BX39" s="93">
        <f>BV39*BW39</f>
        <v>1625</v>
      </c>
      <c r="BY39" s="484">
        <f t="shared" si="10"/>
        <v>3.8895354876755557E-2</v>
      </c>
      <c r="BZ39" s="73"/>
      <c r="CA39" s="64" t="str">
        <f>'Var Vorgaben'!$B$134</f>
        <v>Pneuwagen 2achsig (Ernte)</v>
      </c>
      <c r="CB39" s="497">
        <f>'Var Vorgaben'!$C$134</f>
        <v>0.1</v>
      </c>
      <c r="CC39" s="363">
        <f>CB39*CB40</f>
        <v>65</v>
      </c>
      <c r="CD39" s="45">
        <f>'Var Vorgaben'!$D$134*(1+'Varianten eingeben'!$C$25)</f>
        <v>25</v>
      </c>
      <c r="CE39" s="93">
        <f>CC39*CD39</f>
        <v>1625</v>
      </c>
      <c r="CF39" s="484">
        <f t="shared" si="11"/>
        <v>3.8915283563724513E-2</v>
      </c>
      <c r="CG39" s="73"/>
      <c r="CH39" s="64" t="str">
        <f>'Var Vorgaben'!$B$134</f>
        <v>Pneuwagen 2achsig (Ernte)</v>
      </c>
      <c r="CI39" s="497">
        <f>'Var Vorgaben'!$C$134</f>
        <v>0.1</v>
      </c>
      <c r="CJ39" s="363">
        <f>CI39*CI40</f>
        <v>65</v>
      </c>
      <c r="CK39" s="45">
        <f>'Var Vorgaben'!$D$134*(1+'Varianten eingeben'!$C$25)</f>
        <v>25</v>
      </c>
      <c r="CL39" s="93">
        <f>CJ39*CK39</f>
        <v>1625</v>
      </c>
      <c r="CM39" s="484">
        <f t="shared" si="12"/>
        <v>3.8935412317694346E-2</v>
      </c>
      <c r="CN39" s="73"/>
      <c r="CO39" s="64" t="str">
        <f>'Var Vorgaben'!$B$134</f>
        <v>Pneuwagen 2achsig (Ernte)</v>
      </c>
      <c r="CP39" s="497">
        <f>'Var Vorgaben'!$C$134</f>
        <v>0.1</v>
      </c>
      <c r="CQ39" s="363">
        <f>CP39*CP40</f>
        <v>65</v>
      </c>
      <c r="CR39" s="45">
        <f>'Var Vorgaben'!$D$134*(1+'Varianten eingeben'!$C$25)</f>
        <v>25</v>
      </c>
      <c r="CS39" s="93">
        <f>CQ39*CR39</f>
        <v>1625</v>
      </c>
      <c r="CT39" s="484">
        <f t="shared" si="13"/>
        <v>3.8955743346437803E-2</v>
      </c>
      <c r="CU39" s="73"/>
      <c r="CV39" s="64" t="str">
        <f>'Var Vorgaben'!$B$134</f>
        <v>Pneuwagen 2achsig (Ernte)</v>
      </c>
      <c r="CW39" s="497">
        <f>'Var Vorgaben'!$C$134</f>
        <v>0.1</v>
      </c>
      <c r="CX39" s="363">
        <f>CW39*CW40</f>
        <v>65</v>
      </c>
      <c r="CY39" s="45">
        <f>'Var Vorgaben'!$D$134*(1+'Varianten eingeben'!$C$25)</f>
        <v>25</v>
      </c>
      <c r="CZ39" s="93">
        <f>CX39*CY39</f>
        <v>1625</v>
      </c>
      <c r="DA39" s="484">
        <f t="shared" si="14"/>
        <v>3.8976278885921395E-2</v>
      </c>
      <c r="DB39" s="73"/>
      <c r="DC39" s="64" t="str">
        <f>'Var Vorgaben'!$B$134</f>
        <v>Pneuwagen 2achsig (Ernte)</v>
      </c>
      <c r="DD39" s="497">
        <f>'Var Vorgaben'!$C$134</f>
        <v>0.1</v>
      </c>
      <c r="DE39" s="363">
        <f>DD39*DD40</f>
        <v>65</v>
      </c>
      <c r="DF39" s="45">
        <f>'Var Vorgaben'!$D$134*(1+'Varianten eingeben'!$C$25)</f>
        <v>25</v>
      </c>
      <c r="DG39" s="93">
        <f>DE39*DF39</f>
        <v>1625</v>
      </c>
      <c r="DH39" s="484">
        <f t="shared" si="15"/>
        <v>3.4088632980295103E-2</v>
      </c>
    </row>
    <row r="40" spans="1:119" x14ac:dyDescent="0.2">
      <c r="B40" s="498" t="s">
        <v>158</v>
      </c>
      <c r="C40" s="326">
        <f>D61</f>
        <v>0</v>
      </c>
      <c r="D40" s="73"/>
      <c r="E40" s="45"/>
      <c r="F40" s="93"/>
      <c r="G40" s="484"/>
      <c r="H40" s="49"/>
      <c r="I40" s="498" t="s">
        <v>158</v>
      </c>
      <c r="J40" s="326">
        <f>K61</f>
        <v>100</v>
      </c>
      <c r="K40" s="73"/>
      <c r="L40" s="45"/>
      <c r="M40" s="93"/>
      <c r="N40" s="484"/>
      <c r="O40" s="49"/>
      <c r="P40" s="498" t="s">
        <v>158</v>
      </c>
      <c r="Q40" s="326">
        <f>R61</f>
        <v>150</v>
      </c>
      <c r="R40" s="73"/>
      <c r="S40" s="45"/>
      <c r="T40" s="93"/>
      <c r="U40" s="484"/>
      <c r="V40" s="80"/>
      <c r="W40" s="498" t="s">
        <v>158</v>
      </c>
      <c r="X40" s="326">
        <f>Y61</f>
        <v>250</v>
      </c>
      <c r="Y40" s="73"/>
      <c r="Z40" s="45"/>
      <c r="AA40" s="93"/>
      <c r="AB40" s="484"/>
      <c r="AC40" s="80"/>
      <c r="AD40" s="498" t="s">
        <v>158</v>
      </c>
      <c r="AE40" s="326">
        <f>AF61</f>
        <v>450</v>
      </c>
      <c r="AF40" s="73"/>
      <c r="AG40" s="45"/>
      <c r="AH40" s="93"/>
      <c r="AI40" s="484"/>
      <c r="AJ40" s="80"/>
      <c r="AK40" s="498" t="s">
        <v>158</v>
      </c>
      <c r="AL40" s="326">
        <f>AM61</f>
        <v>550</v>
      </c>
      <c r="AM40" s="73"/>
      <c r="AN40" s="45"/>
      <c r="AO40" s="93"/>
      <c r="AP40" s="484"/>
      <c r="AQ40" s="80"/>
      <c r="AR40" s="498" t="s">
        <v>158</v>
      </c>
      <c r="AS40" s="326">
        <f>AT61</f>
        <v>650</v>
      </c>
      <c r="AT40" s="73"/>
      <c r="AU40" s="45"/>
      <c r="AV40" s="93"/>
      <c r="AW40" s="484"/>
      <c r="AX40" s="80"/>
      <c r="AY40" s="498" t="s">
        <v>158</v>
      </c>
      <c r="AZ40" s="326">
        <f>BA61</f>
        <v>650</v>
      </c>
      <c r="BA40" s="73"/>
      <c r="BB40" s="45"/>
      <c r="BC40" s="93"/>
      <c r="BD40" s="484"/>
      <c r="BE40" s="80"/>
      <c r="BF40" s="498" t="s">
        <v>158</v>
      </c>
      <c r="BG40" s="326">
        <f>BH61</f>
        <v>650</v>
      </c>
      <c r="BH40" s="73"/>
      <c r="BI40" s="45"/>
      <c r="BJ40" s="93"/>
      <c r="BK40" s="484"/>
      <c r="BL40" s="80"/>
      <c r="BM40" s="498" t="s">
        <v>158</v>
      </c>
      <c r="BN40" s="326">
        <f>BO61</f>
        <v>650</v>
      </c>
      <c r="BO40" s="73"/>
      <c r="BP40" s="45"/>
      <c r="BQ40" s="93"/>
      <c r="BR40" s="484"/>
      <c r="BS40" s="80"/>
      <c r="BT40" s="498" t="s">
        <v>158</v>
      </c>
      <c r="BU40" s="326">
        <f>BV61</f>
        <v>650</v>
      </c>
      <c r="BV40" s="73"/>
      <c r="BW40" s="45"/>
      <c r="BX40" s="93"/>
      <c r="BY40" s="484"/>
      <c r="BZ40" s="80"/>
      <c r="CA40" s="498" t="s">
        <v>158</v>
      </c>
      <c r="CB40" s="326">
        <f>CC61</f>
        <v>650</v>
      </c>
      <c r="CC40" s="73"/>
      <c r="CD40" s="45"/>
      <c r="CE40" s="93"/>
      <c r="CF40" s="484"/>
      <c r="CG40" s="80"/>
      <c r="CH40" s="498" t="s">
        <v>158</v>
      </c>
      <c r="CI40" s="326">
        <f>CJ61</f>
        <v>650</v>
      </c>
      <c r="CJ40" s="73"/>
      <c r="CK40" s="45"/>
      <c r="CL40" s="93"/>
      <c r="CM40" s="484"/>
      <c r="CN40" s="80"/>
      <c r="CO40" s="498" t="s">
        <v>158</v>
      </c>
      <c r="CP40" s="326">
        <f>CQ61</f>
        <v>650</v>
      </c>
      <c r="CQ40" s="73"/>
      <c r="CR40" s="45"/>
      <c r="CS40" s="93"/>
      <c r="CT40" s="484"/>
      <c r="CU40" s="80"/>
      <c r="CV40" s="498" t="s">
        <v>158</v>
      </c>
      <c r="CW40" s="326">
        <f>CX61</f>
        <v>650</v>
      </c>
      <c r="CX40" s="73"/>
      <c r="CY40" s="45"/>
      <c r="CZ40" s="93"/>
      <c r="DA40" s="484"/>
      <c r="DB40" s="80"/>
      <c r="DC40" s="498" t="s">
        <v>158</v>
      </c>
      <c r="DD40" s="326">
        <f>DE61</f>
        <v>650</v>
      </c>
      <c r="DE40" s="73"/>
      <c r="DF40" s="45"/>
      <c r="DG40" s="93"/>
      <c r="DH40" s="484"/>
    </row>
    <row r="41" spans="1:119" x14ac:dyDescent="0.2">
      <c r="B41" s="64" t="str">
        <f>'Var Vorgaben'!$B$135</f>
        <v>Sichelmulchgerät  ohne Schwenkarm, 2-3 m</v>
      </c>
      <c r="C41" s="323">
        <f>'Var Vorgaben'!$E$135</f>
        <v>0</v>
      </c>
      <c r="D41" s="500">
        <f>'Var Vorgaben'!$C$135</f>
        <v>1</v>
      </c>
      <c r="E41" s="45">
        <f>'Var Vorgaben'!$D$135*(1+'Varianten eingeben'!$C$25)</f>
        <v>42</v>
      </c>
      <c r="F41" s="93">
        <f>C41*D41*E41</f>
        <v>0</v>
      </c>
      <c r="G41" s="484">
        <f t="shared" si="0"/>
        <v>0</v>
      </c>
      <c r="H41" s="49"/>
      <c r="I41" s="64" t="str">
        <f>'Var Vorgaben'!$B$135</f>
        <v>Sichelmulchgerät  ohne Schwenkarm, 2-3 m</v>
      </c>
      <c r="J41" s="323">
        <f>'Var Vorgaben'!$E$135</f>
        <v>0</v>
      </c>
      <c r="K41" s="500">
        <f>'Var Vorgaben'!$C$135</f>
        <v>1</v>
      </c>
      <c r="L41" s="45">
        <f>'Var Vorgaben'!$D$135*(1+'Varianten eingeben'!$C$25)</f>
        <v>42</v>
      </c>
      <c r="M41" s="93">
        <f>J41*K41*L41</f>
        <v>0</v>
      </c>
      <c r="N41" s="484">
        <f t="shared" si="1"/>
        <v>0</v>
      </c>
      <c r="O41" s="49"/>
      <c r="P41" s="64" t="str">
        <f>'Var Vorgaben'!$B$135</f>
        <v>Sichelmulchgerät  ohne Schwenkarm, 2-3 m</v>
      </c>
      <c r="Q41" s="323">
        <f>'Var Vorgaben'!$E$135</f>
        <v>0</v>
      </c>
      <c r="R41" s="500">
        <f>'Var Vorgaben'!$C$135</f>
        <v>1</v>
      </c>
      <c r="S41" s="45">
        <f>'Var Vorgaben'!$D$135*(1+'Varianten eingeben'!$C$25)</f>
        <v>42</v>
      </c>
      <c r="T41" s="93">
        <f>Q41*R41*S41</f>
        <v>0</v>
      </c>
      <c r="U41" s="484">
        <f t="shared" si="2"/>
        <v>0</v>
      </c>
      <c r="V41" s="80"/>
      <c r="W41" s="64" t="str">
        <f>'Var Vorgaben'!$B$135</f>
        <v>Sichelmulchgerät  ohne Schwenkarm, 2-3 m</v>
      </c>
      <c r="X41" s="323">
        <f>'Var Vorgaben'!$E$135</f>
        <v>0</v>
      </c>
      <c r="Y41" s="500">
        <f>'Var Vorgaben'!$C$135</f>
        <v>1</v>
      </c>
      <c r="Z41" s="45">
        <f>'Var Vorgaben'!$D$135*(1+'Varianten eingeben'!$C$25)</f>
        <v>42</v>
      </c>
      <c r="AA41" s="93">
        <f>X41*Y41*Z41</f>
        <v>0</v>
      </c>
      <c r="AB41" s="484">
        <f t="shared" si="3"/>
        <v>0</v>
      </c>
      <c r="AC41" s="80"/>
      <c r="AD41" s="64" t="str">
        <f>'Var Vorgaben'!$B$135</f>
        <v>Sichelmulchgerät  ohne Schwenkarm, 2-3 m</v>
      </c>
      <c r="AE41" s="323">
        <f>'Var Vorgaben'!$E$135</f>
        <v>0</v>
      </c>
      <c r="AF41" s="500">
        <f>'Var Vorgaben'!$C$135</f>
        <v>1</v>
      </c>
      <c r="AG41" s="45">
        <f>'Var Vorgaben'!$D$135*(1+'Varianten eingeben'!$C$25)</f>
        <v>42</v>
      </c>
      <c r="AH41" s="93">
        <f>AE41*AF41*AG41</f>
        <v>0</v>
      </c>
      <c r="AI41" s="484">
        <f t="shared" si="4"/>
        <v>0</v>
      </c>
      <c r="AJ41" s="80"/>
      <c r="AK41" s="64" t="str">
        <f>'Var Vorgaben'!$B$135</f>
        <v>Sichelmulchgerät  ohne Schwenkarm, 2-3 m</v>
      </c>
      <c r="AL41" s="323">
        <f>'Var Vorgaben'!$E$135</f>
        <v>0</v>
      </c>
      <c r="AM41" s="500">
        <f>'Var Vorgaben'!$C$135</f>
        <v>1</v>
      </c>
      <c r="AN41" s="45">
        <f>'Var Vorgaben'!$D$135*(1+'Varianten eingeben'!$C$25)</f>
        <v>42</v>
      </c>
      <c r="AO41" s="93">
        <f>AL41*AM41*AN41</f>
        <v>0</v>
      </c>
      <c r="AP41" s="484">
        <f t="shared" si="5"/>
        <v>0</v>
      </c>
      <c r="AQ41" s="80"/>
      <c r="AR41" s="64" t="str">
        <f>'Var Vorgaben'!$B$135</f>
        <v>Sichelmulchgerät  ohne Schwenkarm, 2-3 m</v>
      </c>
      <c r="AS41" s="323">
        <f>'Var Vorgaben'!$E$135</f>
        <v>0</v>
      </c>
      <c r="AT41" s="500">
        <f>'Var Vorgaben'!$C$135</f>
        <v>1</v>
      </c>
      <c r="AU41" s="45">
        <f>'Var Vorgaben'!$D$135*(1+'Varianten eingeben'!$C$25)</f>
        <v>42</v>
      </c>
      <c r="AV41" s="93">
        <f>AS41*AT41*AU41</f>
        <v>0</v>
      </c>
      <c r="AW41" s="484">
        <f t="shared" si="6"/>
        <v>0</v>
      </c>
      <c r="AX41" s="80"/>
      <c r="AY41" s="64" t="str">
        <f>'Var Vorgaben'!$B$135</f>
        <v>Sichelmulchgerät  ohne Schwenkarm, 2-3 m</v>
      </c>
      <c r="AZ41" s="323">
        <f>'Var Vorgaben'!$E$135</f>
        <v>0</v>
      </c>
      <c r="BA41" s="500">
        <f>'Var Vorgaben'!$C$135</f>
        <v>1</v>
      </c>
      <c r="BB41" s="45">
        <f>'Var Vorgaben'!$D$135*(1+'Varianten eingeben'!$C$25)</f>
        <v>42</v>
      </c>
      <c r="BC41" s="93">
        <f>AZ41*BA41*BB41</f>
        <v>0</v>
      </c>
      <c r="BD41" s="484">
        <f t="shared" si="7"/>
        <v>0</v>
      </c>
      <c r="BE41" s="80"/>
      <c r="BF41" s="64" t="str">
        <f>'Var Vorgaben'!$B$135</f>
        <v>Sichelmulchgerät  ohne Schwenkarm, 2-3 m</v>
      </c>
      <c r="BG41" s="323">
        <f>'Var Vorgaben'!$E$135</f>
        <v>0</v>
      </c>
      <c r="BH41" s="500">
        <f>'Var Vorgaben'!$C$135</f>
        <v>1</v>
      </c>
      <c r="BI41" s="45">
        <f>'Var Vorgaben'!$D$135*(1+'Varianten eingeben'!$C$25)</f>
        <v>42</v>
      </c>
      <c r="BJ41" s="93">
        <f>BG41*BH41*BI41</f>
        <v>0</v>
      </c>
      <c r="BK41" s="484">
        <f t="shared" si="8"/>
        <v>0</v>
      </c>
      <c r="BL41" s="80"/>
      <c r="BM41" s="64" t="str">
        <f>'Var Vorgaben'!$B$135</f>
        <v>Sichelmulchgerät  ohne Schwenkarm, 2-3 m</v>
      </c>
      <c r="BN41" s="323">
        <f>'Var Vorgaben'!$E$135</f>
        <v>0</v>
      </c>
      <c r="BO41" s="500">
        <f>'Var Vorgaben'!$C$135</f>
        <v>1</v>
      </c>
      <c r="BP41" s="45">
        <f>'Var Vorgaben'!$D$135*(1+'Varianten eingeben'!$C$25)</f>
        <v>42</v>
      </c>
      <c r="BQ41" s="93">
        <f>BN41*BO41*BP41</f>
        <v>0</v>
      </c>
      <c r="BR41" s="484">
        <f t="shared" si="9"/>
        <v>0</v>
      </c>
      <c r="BS41" s="80"/>
      <c r="BT41" s="64" t="str">
        <f>'Var Vorgaben'!$B$135</f>
        <v>Sichelmulchgerät  ohne Schwenkarm, 2-3 m</v>
      </c>
      <c r="BU41" s="323">
        <f>'Var Vorgaben'!$E$135</f>
        <v>0</v>
      </c>
      <c r="BV41" s="500">
        <f>'Var Vorgaben'!$C$135</f>
        <v>1</v>
      </c>
      <c r="BW41" s="45">
        <f>'Var Vorgaben'!$D$135*(1+'Varianten eingeben'!$C$25)</f>
        <v>42</v>
      </c>
      <c r="BX41" s="93">
        <f>BU41*BV41*BW41</f>
        <v>0</v>
      </c>
      <c r="BY41" s="484">
        <f t="shared" si="10"/>
        <v>0</v>
      </c>
      <c r="BZ41" s="80"/>
      <c r="CA41" s="64" t="str">
        <f>'Var Vorgaben'!$B$135</f>
        <v>Sichelmulchgerät  ohne Schwenkarm, 2-3 m</v>
      </c>
      <c r="CB41" s="323">
        <f>'Var Vorgaben'!$E$135</f>
        <v>0</v>
      </c>
      <c r="CC41" s="500">
        <f>'Var Vorgaben'!$C$135</f>
        <v>1</v>
      </c>
      <c r="CD41" s="45">
        <f>'Var Vorgaben'!$D$135*(1+'Varianten eingeben'!$C$25)</f>
        <v>42</v>
      </c>
      <c r="CE41" s="93">
        <f>CB41*CC41*CD41</f>
        <v>0</v>
      </c>
      <c r="CF41" s="484">
        <f t="shared" si="11"/>
        <v>0</v>
      </c>
      <c r="CG41" s="80"/>
      <c r="CH41" s="64" t="str">
        <f>'Var Vorgaben'!$B$135</f>
        <v>Sichelmulchgerät  ohne Schwenkarm, 2-3 m</v>
      </c>
      <c r="CI41" s="323">
        <f>'Var Vorgaben'!$E$135</f>
        <v>0</v>
      </c>
      <c r="CJ41" s="500">
        <f>'Var Vorgaben'!$C$135</f>
        <v>1</v>
      </c>
      <c r="CK41" s="45">
        <f>'Var Vorgaben'!$D$135*(1+'Varianten eingeben'!$C$25)</f>
        <v>42</v>
      </c>
      <c r="CL41" s="93">
        <f>CI41*CJ41*CK41</f>
        <v>0</v>
      </c>
      <c r="CM41" s="484">
        <f t="shared" si="12"/>
        <v>0</v>
      </c>
      <c r="CN41" s="80"/>
      <c r="CO41" s="64" t="str">
        <f>'Var Vorgaben'!$B$135</f>
        <v>Sichelmulchgerät  ohne Schwenkarm, 2-3 m</v>
      </c>
      <c r="CP41" s="323">
        <f>'Var Vorgaben'!$E$135</f>
        <v>0</v>
      </c>
      <c r="CQ41" s="500">
        <f>'Var Vorgaben'!$C$135</f>
        <v>1</v>
      </c>
      <c r="CR41" s="45">
        <f>'Var Vorgaben'!$D$135*(1+'Varianten eingeben'!$C$25)</f>
        <v>42</v>
      </c>
      <c r="CS41" s="93">
        <f>CP41*CQ41*CR41</f>
        <v>0</v>
      </c>
      <c r="CT41" s="484">
        <f t="shared" si="13"/>
        <v>0</v>
      </c>
      <c r="CU41" s="80"/>
      <c r="CV41" s="64" t="str">
        <f>'Var Vorgaben'!$B$135</f>
        <v>Sichelmulchgerät  ohne Schwenkarm, 2-3 m</v>
      </c>
      <c r="CW41" s="323">
        <f>'Var Vorgaben'!$E$135</f>
        <v>0</v>
      </c>
      <c r="CX41" s="500">
        <f>'Var Vorgaben'!$C$135</f>
        <v>1</v>
      </c>
      <c r="CY41" s="45">
        <f>'Var Vorgaben'!$D$135*(1+'Varianten eingeben'!$C$25)</f>
        <v>42</v>
      </c>
      <c r="CZ41" s="93">
        <f>CW41*CX41*CY41</f>
        <v>0</v>
      </c>
      <c r="DA41" s="484">
        <f t="shared" si="14"/>
        <v>0</v>
      </c>
      <c r="DB41" s="80"/>
      <c r="DC41" s="64" t="str">
        <f>'Var Vorgaben'!$B$135</f>
        <v>Sichelmulchgerät  ohne Schwenkarm, 2-3 m</v>
      </c>
      <c r="DD41" s="323">
        <f>'Var Vorgaben'!$E$135</f>
        <v>0</v>
      </c>
      <c r="DE41" s="500">
        <f>'Var Vorgaben'!$C$135</f>
        <v>1</v>
      </c>
      <c r="DF41" s="45">
        <f>'Var Vorgaben'!$D$135*(1+'Varianten eingeben'!$C$25)</f>
        <v>42</v>
      </c>
      <c r="DG41" s="93">
        <f>DD41*DE41*DF41</f>
        <v>0</v>
      </c>
      <c r="DH41" s="484">
        <f t="shared" si="15"/>
        <v>0</v>
      </c>
    </row>
    <row r="42" spans="1:119" ht="13.5" thickBot="1" x14ac:dyDescent="0.25">
      <c r="B42" s="64" t="str">
        <f>'Var Vorgaben'!$B$136</f>
        <v>Schnittholzhacker</v>
      </c>
      <c r="C42" s="190">
        <v>0.2</v>
      </c>
      <c r="D42" s="659">
        <f>'Var Vorgaben'!$C$136</f>
        <v>2</v>
      </c>
      <c r="E42" s="45">
        <f>IF('Varianten eingeben'!$C$25&gt;0,'Var Vorgaben'!$D$136,'Var Vorgaben'!$D$136*(1+'Varianten eingeben'!$C$25))</f>
        <v>68.3</v>
      </c>
      <c r="F42" s="658">
        <f>E42*D42*C42</f>
        <v>27.32</v>
      </c>
      <c r="G42" s="484">
        <f t="shared" si="0"/>
        <v>2.8875792154634599E-3</v>
      </c>
      <c r="H42" s="49"/>
      <c r="I42" s="64" t="str">
        <f>'Var Vorgaben'!$B$136</f>
        <v>Schnittholzhacker</v>
      </c>
      <c r="J42" s="190">
        <v>0.2</v>
      </c>
      <c r="K42" s="659">
        <f>'Var Vorgaben'!$C$136</f>
        <v>2</v>
      </c>
      <c r="L42" s="45">
        <f>IF('Varianten eingeben'!$C$25&gt;0,'Var Vorgaben'!$D$136,'Var Vorgaben'!$D$136*(1+'Varianten eingeben'!$C$25))</f>
        <v>68.3</v>
      </c>
      <c r="M42" s="658">
        <f>L42*K42*J42</f>
        <v>27.32</v>
      </c>
      <c r="N42" s="484">
        <f>M42/$M$68</f>
        <v>1.9868493822565217E-3</v>
      </c>
      <c r="O42" s="49"/>
      <c r="P42" s="64" t="str">
        <f>'Var Vorgaben'!$B$136</f>
        <v>Schnittholzhacker</v>
      </c>
      <c r="Q42" s="190">
        <v>0.2</v>
      </c>
      <c r="R42" s="659">
        <f>'Var Vorgaben'!$C$136</f>
        <v>2</v>
      </c>
      <c r="S42" s="45">
        <f>IF('Varianten eingeben'!$C$25&gt;0,'Var Vorgaben'!$D$136,'Var Vorgaben'!$D$136*(1+'Varianten eingeben'!$C$25))</f>
        <v>68.3</v>
      </c>
      <c r="T42" s="658">
        <f>S42*R42*Q42</f>
        <v>27.32</v>
      </c>
      <c r="U42" s="484">
        <f>T42/$T$68</f>
        <v>1.3445542962564926E-3</v>
      </c>
      <c r="V42" s="49"/>
      <c r="W42" s="64" t="str">
        <f>'Var Vorgaben'!$B$136</f>
        <v>Schnittholzhacker</v>
      </c>
      <c r="X42" s="190">
        <v>0.2</v>
      </c>
      <c r="Y42" s="659">
        <f>'Var Vorgaben'!$C$136</f>
        <v>2</v>
      </c>
      <c r="Z42" s="45">
        <f>IF('Varianten eingeben'!$C$25&gt;0,'Var Vorgaben'!$D$136,'Var Vorgaben'!$D$136*(1+'Varianten eingeben'!$C$25))</f>
        <v>68.3</v>
      </c>
      <c r="AA42" s="658">
        <f>Z42*Y42*X42</f>
        <v>27.32</v>
      </c>
      <c r="AB42" s="484">
        <f>AA42/$AA$68</f>
        <v>1.1301142038443487E-3</v>
      </c>
      <c r="AC42" s="49"/>
      <c r="AD42" s="64" t="str">
        <f>'Var Vorgaben'!$B$136</f>
        <v>Schnittholzhacker</v>
      </c>
      <c r="AE42" s="190">
        <v>0.2</v>
      </c>
      <c r="AF42" s="659">
        <f>'Var Vorgaben'!$C$136</f>
        <v>2</v>
      </c>
      <c r="AG42" s="45">
        <f>IF('Varianten eingeben'!$C$25&gt;0,'Var Vorgaben'!$D$136,'Var Vorgaben'!$D$136*(1+'Varianten eingeben'!$C$25))</f>
        <v>68.3</v>
      </c>
      <c r="AH42" s="658">
        <f>AG42*AF42*AE42</f>
        <v>27.32</v>
      </c>
      <c r="AI42" s="484">
        <f>AH42/$AH$68</f>
        <v>7.8292402864606713E-4</v>
      </c>
      <c r="AJ42" s="49"/>
      <c r="AK42" s="64" t="str">
        <f>'Var Vorgaben'!$B$136</f>
        <v>Schnittholzhacker</v>
      </c>
      <c r="AL42" s="190">
        <v>0.2</v>
      </c>
      <c r="AM42" s="659">
        <f>'Var Vorgaben'!$C$136</f>
        <v>2</v>
      </c>
      <c r="AN42" s="45">
        <f>IF('Varianten eingeben'!$C$25&gt;0,'Var Vorgaben'!$D$136,'Var Vorgaben'!$D$136*(1+'Varianten eingeben'!$C$25))</f>
        <v>68.3</v>
      </c>
      <c r="AO42" s="658">
        <f>AN42*AM42*AL42</f>
        <v>27.32</v>
      </c>
      <c r="AP42" s="484">
        <f>AO42/$AO$68</f>
        <v>7.1159341873214439E-4</v>
      </c>
      <c r="AQ42" s="49"/>
      <c r="AR42" s="64" t="str">
        <f>'Var Vorgaben'!$B$136</f>
        <v>Schnittholzhacker</v>
      </c>
      <c r="AS42" s="190">
        <v>0.2</v>
      </c>
      <c r="AT42" s="659">
        <f>'Var Vorgaben'!$C$136</f>
        <v>2</v>
      </c>
      <c r="AU42" s="45">
        <f>IF('Varianten eingeben'!$C$25&gt;0,'Var Vorgaben'!$D$136,'Var Vorgaben'!$D$136*(1+'Varianten eingeben'!$C$25))</f>
        <v>68.3</v>
      </c>
      <c r="AV42" s="658">
        <f>AU42*AT42*AS42</f>
        <v>27.32</v>
      </c>
      <c r="AW42" s="484">
        <f>AV42/$AV$68</f>
        <v>6.5261339483852052E-4</v>
      </c>
      <c r="AX42" s="49"/>
      <c r="AY42" s="64" t="str">
        <f>'Var Vorgaben'!$B$136</f>
        <v>Schnittholzhacker</v>
      </c>
      <c r="AZ42" s="190">
        <v>0.2</v>
      </c>
      <c r="BA42" s="659">
        <f>'Var Vorgaben'!$C$136</f>
        <v>2</v>
      </c>
      <c r="BB42" s="45">
        <f>IF('Varianten eingeben'!$C$25&gt;0,'Var Vorgaben'!$D$136,'Var Vorgaben'!$D$136*(1+'Varianten eingeben'!$C$25))</f>
        <v>68.3</v>
      </c>
      <c r="BC42" s="658">
        <f>BB42*BA42*AZ42</f>
        <v>27.32</v>
      </c>
      <c r="BD42" s="484">
        <f>BC42/$BC$68</f>
        <v>6.5293534964892136E-4</v>
      </c>
      <c r="BE42" s="49"/>
      <c r="BF42" s="64" t="str">
        <f>'Var Vorgaben'!$B$136</f>
        <v>Schnittholzhacker</v>
      </c>
      <c r="BG42" s="190">
        <v>0.2</v>
      </c>
      <c r="BH42" s="659">
        <f>'Var Vorgaben'!$C$136</f>
        <v>2</v>
      </c>
      <c r="BI42" s="45">
        <f>IF('Varianten eingeben'!$C$25&gt;0,'Var Vorgaben'!$D$136,'Var Vorgaben'!$D$136*(1+'Varianten eingeben'!$C$25))</f>
        <v>68.3</v>
      </c>
      <c r="BJ42" s="658">
        <f>BI42*BH42*BG42</f>
        <v>27.32</v>
      </c>
      <c r="BK42" s="484">
        <f>BJ42/$BJ$68</f>
        <v>6.5326052417521139E-4</v>
      </c>
      <c r="BL42" s="49"/>
      <c r="BM42" s="64" t="str">
        <f>'Var Vorgaben'!$B$136</f>
        <v>Schnittholzhacker</v>
      </c>
      <c r="BN42" s="190">
        <v>0.2</v>
      </c>
      <c r="BO42" s="659">
        <f>'Var Vorgaben'!$C$136</f>
        <v>2</v>
      </c>
      <c r="BP42" s="45">
        <f>IF('Varianten eingeben'!$C$25&gt;0,'Var Vorgaben'!$D$136,'Var Vorgaben'!$D$136*(1+'Varianten eingeben'!$C$25))</f>
        <v>68.3</v>
      </c>
      <c r="BQ42" s="658">
        <f>BP42*BO42*BN42</f>
        <v>27.32</v>
      </c>
      <c r="BR42" s="484">
        <f>BQ42/$BQ$68</f>
        <v>6.5358895370936298E-4</v>
      </c>
      <c r="BS42" s="49"/>
      <c r="BT42" s="64" t="str">
        <f>'Var Vorgaben'!$B$136</f>
        <v>Schnittholzhacker</v>
      </c>
      <c r="BU42" s="190">
        <v>0.2</v>
      </c>
      <c r="BV42" s="659">
        <f>'Var Vorgaben'!$C$136</f>
        <v>2</v>
      </c>
      <c r="BW42" s="45">
        <f>IF('Varianten eingeben'!$C$25&gt;0,'Var Vorgaben'!$D$136,'Var Vorgaben'!$D$136*(1+'Varianten eingeben'!$C$25))</f>
        <v>68.3</v>
      </c>
      <c r="BX42" s="658">
        <f>BW42*BV42*BU42</f>
        <v>27.32</v>
      </c>
      <c r="BY42" s="484">
        <f>BX42/$BX$68</f>
        <v>6.5392067398951492E-4</v>
      </c>
      <c r="BZ42" s="49"/>
      <c r="CA42" s="64" t="str">
        <f>'Var Vorgaben'!$B$136</f>
        <v>Schnittholzhacker</v>
      </c>
      <c r="CB42" s="190">
        <v>0.2</v>
      </c>
      <c r="CC42" s="659">
        <f>'Var Vorgaben'!$C$136</f>
        <v>2</v>
      </c>
      <c r="CD42" s="45">
        <f>IF('Varianten eingeben'!$C$25&gt;0,'Var Vorgaben'!$D$136,'Var Vorgaben'!$D$136*(1+'Varianten eingeben'!$C$25))</f>
        <v>68.3</v>
      </c>
      <c r="CE42" s="658">
        <f>CD42*CC42*CB42</f>
        <v>27.32</v>
      </c>
      <c r="CF42" s="484">
        <f>CE42/$CE$68</f>
        <v>6.5425572120674077E-4</v>
      </c>
      <c r="CG42" s="49"/>
      <c r="CH42" s="64" t="str">
        <f>'Var Vorgaben'!$B$136</f>
        <v>Schnittholzhacker</v>
      </c>
      <c r="CI42" s="190">
        <v>0.2</v>
      </c>
      <c r="CJ42" s="659">
        <f>'Var Vorgaben'!$C$136</f>
        <v>2</v>
      </c>
      <c r="CK42" s="45">
        <f>IF('Varianten eingeben'!$C$25&gt;0,'Var Vorgaben'!$D$136,'Var Vorgaben'!$D$136*(1+'Varianten eingeben'!$C$25))</f>
        <v>68.3</v>
      </c>
      <c r="CL42" s="658">
        <f>CK42*CJ42*CI42</f>
        <v>27.32</v>
      </c>
      <c r="CM42" s="484">
        <f>CL42/$CL$68</f>
        <v>6.5459413201194422E-4</v>
      </c>
      <c r="CN42" s="49"/>
      <c r="CO42" s="64" t="str">
        <f>'Var Vorgaben'!$B$136</f>
        <v>Schnittholzhacker</v>
      </c>
      <c r="CP42" s="190">
        <v>0.2</v>
      </c>
      <c r="CQ42" s="659">
        <f>'Var Vorgaben'!$C$136</f>
        <v>2</v>
      </c>
      <c r="CR42" s="45">
        <f>IF('Varianten eingeben'!$C$25&gt;0,'Var Vorgaben'!$D$136,'Var Vorgaben'!$D$136*(1+'Varianten eingeben'!$C$25))</f>
        <v>68.3</v>
      </c>
      <c r="CS42" s="658">
        <f>CR42*CQ42*CP42</f>
        <v>27.32</v>
      </c>
      <c r="CT42" s="484">
        <f>CS42/$CS$68</f>
        <v>6.5493594352288053E-4</v>
      </c>
      <c r="CU42" s="49"/>
      <c r="CV42" s="64" t="str">
        <f>'Var Vorgaben'!$B$136</f>
        <v>Schnittholzhacker</v>
      </c>
      <c r="CW42" s="190">
        <v>0.2</v>
      </c>
      <c r="CX42" s="659">
        <f>'Var Vorgaben'!$C$136</f>
        <v>2</v>
      </c>
      <c r="CY42" s="45">
        <f>IF('Varianten eingeben'!$C$25&gt;0,'Var Vorgaben'!$D$136,'Var Vorgaben'!$D$136*(1+'Varianten eingeben'!$C$25))</f>
        <v>68.3</v>
      </c>
      <c r="CZ42" s="658">
        <f>CY42*CX42*CW42</f>
        <v>27.32</v>
      </c>
      <c r="DA42" s="484">
        <f>CZ42/$CZ$68</f>
        <v>6.5528119333130622E-4</v>
      </c>
      <c r="DB42" s="49"/>
      <c r="DC42" s="64" t="str">
        <f>'Var Vorgaben'!$B$136</f>
        <v>Schnittholzhacker</v>
      </c>
      <c r="DD42" s="190">
        <v>0.2</v>
      </c>
      <c r="DE42" s="659">
        <f>'Var Vorgaben'!$C$136</f>
        <v>2</v>
      </c>
      <c r="DF42" s="45">
        <f>IF('Varianten eingeben'!$C$25&gt;0,'Var Vorgaben'!$D$136,'Var Vorgaben'!$D$136*(1+'Varianten eingeben'!$C$25))</f>
        <v>68.3</v>
      </c>
      <c r="DG42" s="658">
        <f>DF42*DE42*DD42</f>
        <v>27.32</v>
      </c>
      <c r="DH42" s="484">
        <f>DG42/$DG$68</f>
        <v>5.7310858647486912E-4</v>
      </c>
      <c r="DI42" s="73"/>
      <c r="DJ42" s="73"/>
      <c r="DK42" s="73"/>
      <c r="DL42" s="73"/>
      <c r="DM42" s="73"/>
      <c r="DN42" s="73"/>
      <c r="DO42" s="73"/>
    </row>
    <row r="43" spans="1:119" ht="16.5" customHeight="1" x14ac:dyDescent="0.2">
      <c r="B43" s="64" t="s">
        <v>117</v>
      </c>
      <c r="C43" s="323"/>
      <c r="D43" s="362">
        <f>(C36*D36)+(C37*D37)+(C38*D38)+(D39)+(C41*D41)+(C42*D42)</f>
        <v>10.4</v>
      </c>
      <c r="E43" s="45"/>
      <c r="F43" s="93">
        <f>SUM(F36:F42)</f>
        <v>423.32</v>
      </c>
      <c r="G43" s="484">
        <f t="shared" si="0"/>
        <v>4.4742680581624887E-2</v>
      </c>
      <c r="H43" s="49"/>
      <c r="I43" s="64" t="s">
        <v>117</v>
      </c>
      <c r="J43" s="323"/>
      <c r="K43" s="362">
        <f>(J36*K36)+(J37*K37)+(J38*K38)+(K39)+(J41*K41)+(J42*K42)</f>
        <v>21.4</v>
      </c>
      <c r="L43" s="45"/>
      <c r="M43" s="93">
        <f>SUM(M36:M42)</f>
        <v>710.32</v>
      </c>
      <c r="N43" s="484">
        <f t="shared" si="1"/>
        <v>5.1658083938669566E-2</v>
      </c>
      <c r="O43" s="49"/>
      <c r="P43" s="64" t="s">
        <v>117</v>
      </c>
      <c r="Q43" s="323"/>
      <c r="R43" s="362">
        <f>(Q36*R36)+(Q37*R37)+(Q38*R38)+(R39)+(Q41*R41)+(Q42*R42)</f>
        <v>34.4</v>
      </c>
      <c r="S43" s="45"/>
      <c r="T43" s="93">
        <f>SUM(T36:T42)</f>
        <v>1195.32</v>
      </c>
      <c r="U43" s="484">
        <f t="shared" si="2"/>
        <v>5.8827695512493068E-2</v>
      </c>
      <c r="V43" s="49"/>
      <c r="W43" s="64" t="s">
        <v>117</v>
      </c>
      <c r="X43" s="323"/>
      <c r="Y43" s="362">
        <f>(X36*Y36)+(X37*Y37)+(X38*Y38)+(Y39)+(X41*Y41)+(X42*Y42)</f>
        <v>44.4</v>
      </c>
      <c r="Z43" s="45"/>
      <c r="AA43" s="93">
        <f>SUM(AA36:AA42)</f>
        <v>1445.32</v>
      </c>
      <c r="AB43" s="484">
        <f t="shared" si="3"/>
        <v>5.9786847038810903E-2</v>
      </c>
      <c r="AC43" s="49"/>
      <c r="AD43" s="64" t="s">
        <v>117</v>
      </c>
      <c r="AE43" s="323"/>
      <c r="AF43" s="362">
        <f>(AE36*AF36)+(AE37*AF37)+(AE38*AF38)+(AF39)+(AE41*AF41)+(AE42*AF42)</f>
        <v>66.400000000000006</v>
      </c>
      <c r="AG43" s="45"/>
      <c r="AH43" s="93">
        <f>SUM(AH36:AH42)</f>
        <v>1981.32</v>
      </c>
      <c r="AI43" s="484">
        <f t="shared" si="4"/>
        <v>5.6779759752453349E-2</v>
      </c>
      <c r="AJ43" s="49"/>
      <c r="AK43" s="64" t="s">
        <v>117</v>
      </c>
      <c r="AL43" s="323"/>
      <c r="AM43" s="362">
        <f>(AL36*AM36)+(AL37*AM37)+(AL38*AM38)+(AM39)+(AL41*AM41)+(AL42*AM42)</f>
        <v>76.400000000000006</v>
      </c>
      <c r="AN43" s="45"/>
      <c r="AO43" s="93">
        <f>SUM(AO36:AO42)</f>
        <v>2231.3200000000002</v>
      </c>
      <c r="AP43" s="484">
        <f t="shared" si="5"/>
        <v>5.8118324563887575E-2</v>
      </c>
      <c r="AQ43" s="49"/>
      <c r="AR43" s="64" t="s">
        <v>117</v>
      </c>
      <c r="AS43" s="323"/>
      <c r="AT43" s="362">
        <f>(AS36*AT36)+(AS37*AT37)+(AS38*AT38)+(AT39)+(AS41*AT41)+(AS42*AT42)</f>
        <v>86.4</v>
      </c>
      <c r="AU43" s="45"/>
      <c r="AV43" s="93">
        <f>SUM(AV36:AV42)</f>
        <v>2481.3200000000002</v>
      </c>
      <c r="AW43" s="484">
        <f t="shared" si="6"/>
        <v>5.927315771891354E-2</v>
      </c>
      <c r="AX43" s="80"/>
      <c r="AY43" s="64" t="s">
        <v>117</v>
      </c>
      <c r="AZ43" s="323"/>
      <c r="BA43" s="362">
        <f>(AZ36*BA36)+(AZ37*BA37)+(AZ38*BA38)+(BA39)+(AZ41*BA41)+(AZ42*BA42)</f>
        <v>86.4</v>
      </c>
      <c r="BB43" s="45"/>
      <c r="BC43" s="93">
        <f>SUM(BC36:BC42)</f>
        <v>2481.3200000000002</v>
      </c>
      <c r="BD43" s="484">
        <f t="shared" si="7"/>
        <v>5.9302399040661119E-2</v>
      </c>
      <c r="BE43" s="80"/>
      <c r="BF43" s="64" t="s">
        <v>117</v>
      </c>
      <c r="BG43" s="323"/>
      <c r="BH43" s="362">
        <f>(BG36*BH36)+(BG37*BH37)+(BG38*BH38)+(BH39)+(BG41*BH41)+(BG42*BH42)</f>
        <v>86.4</v>
      </c>
      <c r="BI43" s="45"/>
      <c r="BJ43" s="93">
        <f>SUM(BJ36:BJ42)</f>
        <v>2481.3200000000002</v>
      </c>
      <c r="BK43" s="484">
        <f t="shared" si="8"/>
        <v>5.9331932790865134E-2</v>
      </c>
      <c r="BL43" s="80"/>
      <c r="BM43" s="64" t="s">
        <v>117</v>
      </c>
      <c r="BN43" s="323"/>
      <c r="BO43" s="362">
        <f>(BN36*BO36)+(BN37*BO37)+(BN38*BO38)+(BO39)+(BN41*BO41)+(BN42*BO42)</f>
        <v>86.4</v>
      </c>
      <c r="BP43" s="45"/>
      <c r="BQ43" s="93">
        <f>SUM(BQ36:BQ42)</f>
        <v>2481.3200000000002</v>
      </c>
      <c r="BR43" s="484">
        <f t="shared" si="9"/>
        <v>5.9361762174894465E-2</v>
      </c>
      <c r="BS43" s="80"/>
      <c r="BT43" s="64" t="s">
        <v>117</v>
      </c>
      <c r="BU43" s="323"/>
      <c r="BV43" s="362">
        <f>(BU36*BV36)+(BU37*BV37)+(BU38*BV38)+(BV39)+(BU41*BV41)+(BU42*BV42)</f>
        <v>86.4</v>
      </c>
      <c r="BW43" s="45"/>
      <c r="BX43" s="93">
        <f>SUM(BX36:BX42)</f>
        <v>2481.3200000000002</v>
      </c>
      <c r="BY43" s="484">
        <f t="shared" si="10"/>
        <v>5.9391890438640675E-2</v>
      </c>
      <c r="BZ43" s="80"/>
      <c r="CA43" s="64" t="s">
        <v>117</v>
      </c>
      <c r="CB43" s="323"/>
      <c r="CC43" s="362">
        <f>(CB36*CC36)+(CB37*CC37)+(CB38*CC38)+(CC39)+(CB41*CC41)+(CB42*CC42)</f>
        <v>86.4</v>
      </c>
      <c r="CD43" s="45"/>
      <c r="CE43" s="93">
        <f>SUM(CE36:CE42)</f>
        <v>2481.3200000000002</v>
      </c>
      <c r="CF43" s="484">
        <f t="shared" si="11"/>
        <v>5.9422320869132877E-2</v>
      </c>
      <c r="CG43" s="80"/>
      <c r="CH43" s="64" t="s">
        <v>117</v>
      </c>
      <c r="CI43" s="323"/>
      <c r="CJ43" s="362">
        <f>(CI36*CJ36)+(CI37*CJ37)+(CI38*CJ38)+(CJ39)+(CI41*CJ41)+(CI42*CJ42)</f>
        <v>86.4</v>
      </c>
      <c r="CK43" s="45"/>
      <c r="CL43" s="93">
        <f>SUM(CL36:CL42)</f>
        <v>2481.3200000000002</v>
      </c>
      <c r="CM43" s="484">
        <f t="shared" si="12"/>
        <v>5.9453056795163897E-2</v>
      </c>
      <c r="CN43" s="80"/>
      <c r="CO43" s="64" t="s">
        <v>117</v>
      </c>
      <c r="CP43" s="323"/>
      <c r="CQ43" s="362">
        <f>(CP36*CQ36)+(CP37*CQ37)+(CP38*CQ38)+(CQ39)+(CP41*CQ41)+(CP42*CQ42)</f>
        <v>86.4</v>
      </c>
      <c r="CR43" s="45"/>
      <c r="CS43" s="93">
        <f>SUM(CS36:CS42)</f>
        <v>2481.3200000000002</v>
      </c>
      <c r="CT43" s="484">
        <f t="shared" si="13"/>
        <v>5.9484101587928037E-2</v>
      </c>
      <c r="CU43" s="80"/>
      <c r="CV43" s="64" t="s">
        <v>117</v>
      </c>
      <c r="CW43" s="323"/>
      <c r="CX43" s="362">
        <f>(CW36*CX36)+(CW37*CX37)+(CW38*CX38)+(CX39)+(CW41*CX41)+(CW42*CX42)</f>
        <v>86.4</v>
      </c>
      <c r="CY43" s="45"/>
      <c r="CZ43" s="93">
        <f>SUM(CZ36:CZ42)</f>
        <v>2481.3200000000002</v>
      </c>
      <c r="DA43" s="484">
        <f t="shared" si="14"/>
        <v>5.9515458661670455E-2</v>
      </c>
      <c r="DB43" s="80"/>
      <c r="DC43" s="64" t="s">
        <v>117</v>
      </c>
      <c r="DD43" s="323"/>
      <c r="DE43" s="362">
        <f>(DD36*DE36)+(DD37*DE37)+(DD38*DE38)+(DE39)+(DD41*DE41)+(DD42*DE42)</f>
        <v>86.4</v>
      </c>
      <c r="DF43" s="45"/>
      <c r="DG43" s="93">
        <f>SUM(DG36:DG42)</f>
        <v>2481.3200000000002</v>
      </c>
      <c r="DH43" s="484">
        <f t="shared" si="15"/>
        <v>5.2052188791794372E-2</v>
      </c>
      <c r="DI43" s="73"/>
      <c r="DJ43" s="73"/>
      <c r="DK43" s="73"/>
      <c r="DL43" s="73"/>
      <c r="DM43" s="73"/>
      <c r="DN43" s="73"/>
      <c r="DO43" s="73"/>
    </row>
    <row r="44" spans="1:119" x14ac:dyDescent="0.2">
      <c r="A44" s="180"/>
      <c r="B44" s="49" t="str">
        <f>'Var Vorgaben'!$B$129</f>
        <v>Obstbautraktor 4-Rad</v>
      </c>
      <c r="C44" s="323"/>
      <c r="D44" s="362">
        <f>D43</f>
        <v>10.4</v>
      </c>
      <c r="E44" s="45">
        <f>'Var Vorgaben'!$D$129*(1+'Varianten eingeben'!$C$25)</f>
        <v>41</v>
      </c>
      <c r="F44" s="93">
        <f>D44*E44</f>
        <v>426.40000000000003</v>
      </c>
      <c r="G44" s="484">
        <f t="shared" si="0"/>
        <v>4.5068220258917255E-2</v>
      </c>
      <c r="H44" s="180"/>
      <c r="I44" s="49" t="str">
        <f>'Var Vorgaben'!$B$129</f>
        <v>Obstbautraktor 4-Rad</v>
      </c>
      <c r="J44" s="323"/>
      <c r="K44" s="362">
        <f>K43</f>
        <v>21.4</v>
      </c>
      <c r="L44" s="45">
        <f>'Var Vorgaben'!$D$129*(1+'Varianten eingeben'!$C$25)</f>
        <v>41</v>
      </c>
      <c r="M44" s="93">
        <f>K44*L44</f>
        <v>877.4</v>
      </c>
      <c r="N44" s="484">
        <f>M44/$M$68</f>
        <v>6.3808991507755208E-2</v>
      </c>
      <c r="O44" s="180"/>
      <c r="P44" s="49" t="str">
        <f>'Var Vorgaben'!$B$129</f>
        <v>Obstbautraktor 4-Rad</v>
      </c>
      <c r="Q44" s="323"/>
      <c r="R44" s="362">
        <f>R43</f>
        <v>34.4</v>
      </c>
      <c r="S44" s="45">
        <f>'Var Vorgaben'!$D$129*(1+'Varianten eingeben'!$C$25)</f>
        <v>41</v>
      </c>
      <c r="T44" s="93">
        <f>R44*S44</f>
        <v>1410.3999999999999</v>
      </c>
      <c r="U44" s="484">
        <f>T44/$T$68</f>
        <v>6.9412861619332245E-2</v>
      </c>
      <c r="V44" s="180"/>
      <c r="W44" s="49" t="str">
        <f>'Var Vorgaben'!$B$129</f>
        <v>Obstbautraktor 4-Rad</v>
      </c>
      <c r="X44" s="323"/>
      <c r="Y44" s="362">
        <f>Y43</f>
        <v>44.4</v>
      </c>
      <c r="Z44" s="45">
        <f>'Var Vorgaben'!$D$129*(1+'Varianten eingeben'!$C$25)</f>
        <v>41</v>
      </c>
      <c r="AA44" s="93">
        <f>Y44*Z44</f>
        <v>1820.3999999999999</v>
      </c>
      <c r="AB44" s="484">
        <f>AA44/$AA$68</f>
        <v>7.5302338824240561E-2</v>
      </c>
      <c r="AC44" s="180"/>
      <c r="AD44" s="49" t="str">
        <f>'Var Vorgaben'!$B$129</f>
        <v>Obstbautraktor 4-Rad</v>
      </c>
      <c r="AE44" s="323"/>
      <c r="AF44" s="362">
        <f>AF43</f>
        <v>66.400000000000006</v>
      </c>
      <c r="AG44" s="45">
        <f>'Var Vorgaben'!$D$129*(1+'Varianten eingeben'!$C$25)</f>
        <v>41</v>
      </c>
      <c r="AH44" s="93">
        <f>AF44*AG44</f>
        <v>2722.4</v>
      </c>
      <c r="AI44" s="484">
        <f>AH44/$AH$68</f>
        <v>7.801729046801073E-2</v>
      </c>
      <c r="AJ44" s="180"/>
      <c r="AK44" s="49" t="str">
        <f>'Var Vorgaben'!$B$129</f>
        <v>Obstbautraktor 4-Rad</v>
      </c>
      <c r="AL44" s="323"/>
      <c r="AM44" s="362">
        <f>AM43</f>
        <v>76.400000000000006</v>
      </c>
      <c r="AN44" s="45">
        <f>'Var Vorgaben'!$D$129*(1+'Varianten eingeben'!$C$25)</f>
        <v>41</v>
      </c>
      <c r="AO44" s="93">
        <f>AM44*AN44</f>
        <v>3132.4</v>
      </c>
      <c r="AP44" s="484">
        <f>AO44/$AO$68</f>
        <v>8.1588405008659201E-2</v>
      </c>
      <c r="AQ44" s="180"/>
      <c r="AR44" s="49" t="str">
        <f>'Var Vorgaben'!$B$129</f>
        <v>Obstbautraktor 4-Rad</v>
      </c>
      <c r="AS44" s="323"/>
      <c r="AT44" s="362">
        <f>AT43</f>
        <v>86.4</v>
      </c>
      <c r="AU44" s="45">
        <f>'Var Vorgaben'!$D$129*(1+'Varianten eingeben'!$C$25)</f>
        <v>41</v>
      </c>
      <c r="AV44" s="93">
        <f>AT44*AU44</f>
        <v>3542.4</v>
      </c>
      <c r="AW44" s="484">
        <f>AV44/$AV$68</f>
        <v>8.4619974007173318E-2</v>
      </c>
      <c r="AX44" s="180"/>
      <c r="AY44" s="49" t="str">
        <f>'Var Vorgaben'!$B$129</f>
        <v>Obstbautraktor 4-Rad</v>
      </c>
      <c r="AZ44" s="323"/>
      <c r="BA44" s="362">
        <f>BA43</f>
        <v>86.4</v>
      </c>
      <c r="BB44" s="45">
        <f>'Var Vorgaben'!$D$129*(1+'Varianten eingeben'!$C$25)</f>
        <v>41</v>
      </c>
      <c r="BC44" s="93">
        <f>BA44*BB44</f>
        <v>3542.4</v>
      </c>
      <c r="BD44" s="484">
        <f>BC44/$BC$68</f>
        <v>8.4661719714360872E-2</v>
      </c>
      <c r="BE44" s="180"/>
      <c r="BF44" s="49" t="str">
        <f>'Var Vorgaben'!$B$129</f>
        <v>Obstbautraktor 4-Rad</v>
      </c>
      <c r="BG44" s="323"/>
      <c r="BH44" s="362">
        <f>BH43</f>
        <v>86.4</v>
      </c>
      <c r="BI44" s="45">
        <f>'Var Vorgaben'!$D$129*(1+'Varianten eingeben'!$C$25)</f>
        <v>41</v>
      </c>
      <c r="BJ44" s="93">
        <f>BH44*BI44</f>
        <v>3542.4</v>
      </c>
      <c r="BK44" s="484">
        <f>BJ44/$BJ$68</f>
        <v>8.4703882900375865E-2</v>
      </c>
      <c r="BL44" s="180"/>
      <c r="BM44" s="49" t="str">
        <f>'Var Vorgaben'!$B$129</f>
        <v>Obstbautraktor 4-Rad</v>
      </c>
      <c r="BN44" s="323"/>
      <c r="BO44" s="362">
        <f>BO43</f>
        <v>86.4</v>
      </c>
      <c r="BP44" s="45">
        <f>'Var Vorgaben'!$D$129*(1+'Varianten eingeben'!$C$25)</f>
        <v>41</v>
      </c>
      <c r="BQ44" s="93">
        <f>BO44*BP44</f>
        <v>3542.4</v>
      </c>
      <c r="BR44" s="484">
        <f>BQ44/$BQ$68</f>
        <v>8.4746468141290179E-2</v>
      </c>
      <c r="BS44" s="180"/>
      <c r="BT44" s="49" t="str">
        <f>'Var Vorgaben'!$B$129</f>
        <v>Obstbautraktor 4-Rad</v>
      </c>
      <c r="BU44" s="323"/>
      <c r="BV44" s="362">
        <f>BV43</f>
        <v>86.4</v>
      </c>
      <c r="BW44" s="45">
        <f>'Var Vorgaben'!$D$129*(1+'Varianten eingeben'!$C$25)</f>
        <v>41</v>
      </c>
      <c r="BX44" s="93">
        <f>BV44*BW44</f>
        <v>3542.4</v>
      </c>
      <c r="BY44" s="484">
        <f>BX44/$BX$68</f>
        <v>8.4789480071027004E-2</v>
      </c>
      <c r="BZ44" s="180"/>
      <c r="CA44" s="49" t="str">
        <f>'Var Vorgaben'!$B$129</f>
        <v>Obstbautraktor 4-Rad</v>
      </c>
      <c r="CB44" s="323"/>
      <c r="CC44" s="362">
        <f>CC43</f>
        <v>86.4</v>
      </c>
      <c r="CD44" s="45">
        <f>'Var Vorgaben'!$D$129*(1+'Varianten eingeben'!$C$25)</f>
        <v>41</v>
      </c>
      <c r="CE44" s="93">
        <f>CC44*CD44</f>
        <v>3542.4</v>
      </c>
      <c r="CF44" s="484">
        <f>CE44/$CE$68</f>
        <v>8.4832923382238606E-2</v>
      </c>
      <c r="CG44" s="180"/>
      <c r="CH44" s="49" t="str">
        <f>'Var Vorgaben'!$B$129</f>
        <v>Obstbautraktor 4-Rad</v>
      </c>
      <c r="CI44" s="323"/>
      <c r="CJ44" s="362">
        <f>CJ43</f>
        <v>86.4</v>
      </c>
      <c r="CK44" s="45">
        <f>'Var Vorgaben'!$D$129*(1+'Varianten eingeben'!$C$25)</f>
        <v>41</v>
      </c>
      <c r="CL44" s="93">
        <f>CJ44*CK44</f>
        <v>3542.4</v>
      </c>
      <c r="CM44" s="484">
        <f>CL44/$CL$68</f>
        <v>8.4876802827200268E-2</v>
      </c>
      <c r="CN44" s="180"/>
      <c r="CO44" s="49" t="str">
        <f>'Var Vorgaben'!$B$129</f>
        <v>Obstbautraktor 4-Rad</v>
      </c>
      <c r="CP44" s="323"/>
      <c r="CQ44" s="362">
        <f>CQ43</f>
        <v>86.4</v>
      </c>
      <c r="CR44" s="45">
        <f>'Var Vorgaben'!$D$129*(1+'Varianten eingeben'!$C$25)</f>
        <v>41</v>
      </c>
      <c r="CS44" s="93">
        <f>CQ44*CR44</f>
        <v>3542.4</v>
      </c>
      <c r="CT44" s="484">
        <f>CS44/$CS$68</f>
        <v>8.4921123218720793E-2</v>
      </c>
      <c r="CU44" s="180"/>
      <c r="CV44" s="49" t="str">
        <f>'Var Vorgaben'!$B$129</f>
        <v>Obstbautraktor 4-Rad</v>
      </c>
      <c r="CW44" s="323"/>
      <c r="CX44" s="362">
        <f>CX43</f>
        <v>86.4</v>
      </c>
      <c r="CY44" s="45">
        <f>'Var Vorgaben'!$D$129*(1+'Varianten eingeben'!$C$25)</f>
        <v>41</v>
      </c>
      <c r="CZ44" s="93">
        <f>CX44*CY44</f>
        <v>3542.4</v>
      </c>
      <c r="DA44" s="484">
        <f>CZ44/$CZ$68</f>
        <v>8.4965889431069516E-2</v>
      </c>
      <c r="DB44" s="180"/>
      <c r="DC44" s="49" t="str">
        <f>'Var Vorgaben'!$B$129</f>
        <v>Obstbautraktor 4-Rad</v>
      </c>
      <c r="DD44" s="323"/>
      <c r="DE44" s="362">
        <f>DE43</f>
        <v>86.4</v>
      </c>
      <c r="DF44" s="45">
        <f>'Var Vorgaben'!$D$129*(1+'Varianten eingeben'!$C$25)</f>
        <v>41</v>
      </c>
      <c r="DG44" s="93">
        <f>DE44*DF44</f>
        <v>3542.4</v>
      </c>
      <c r="DH44" s="484">
        <f>DG44/$DG$68</f>
        <v>7.4311122135013771E-2</v>
      </c>
      <c r="DI44" s="73"/>
      <c r="DJ44" s="73"/>
      <c r="DK44" s="73"/>
      <c r="DL44" s="73"/>
      <c r="DM44" s="73"/>
      <c r="DN44" s="73"/>
      <c r="DO44" s="73"/>
    </row>
    <row r="45" spans="1:119" s="73" customFormat="1" x14ac:dyDescent="0.2">
      <c r="A45" s="1371" t="s">
        <v>636</v>
      </c>
      <c r="B45" s="64" t="str">
        <f>'Var Vorgaben'!$B$129</f>
        <v>Obstbautraktor 4-Rad</v>
      </c>
      <c r="C45" s="326">
        <f>IF('Var Vorgaben'!$C$181=1,2,'Var Vorgaben'!$C$177)</f>
        <v>0</v>
      </c>
      <c r="D45" s="1189">
        <v>10</v>
      </c>
      <c r="E45" s="45">
        <f>'Var Vorgaben'!$D$129*(1+'Varianten eingeben'!$C$25)</f>
        <v>41</v>
      </c>
      <c r="F45" s="93">
        <f>D45*E45*C45</f>
        <v>0</v>
      </c>
      <c r="G45" s="484">
        <f t="shared" si="0"/>
        <v>0</v>
      </c>
      <c r="H45" s="1371" t="s">
        <v>636</v>
      </c>
      <c r="I45" s="64" t="str">
        <f>'Var Vorgaben'!$B$129</f>
        <v>Obstbautraktor 4-Rad</v>
      </c>
      <c r="J45" s="326">
        <f>IF('Var Vorgaben'!$C$181=1,2,'Var Vorgaben'!$C$177)</f>
        <v>0</v>
      </c>
      <c r="K45" s="1189">
        <v>10</v>
      </c>
      <c r="L45" s="45">
        <f>'Var Vorgaben'!$D$129*(1+'Varianten eingeben'!$C$25)</f>
        <v>41</v>
      </c>
      <c r="M45" s="93">
        <f>K45*L45*J45</f>
        <v>0</v>
      </c>
      <c r="N45" s="671">
        <f>M45/$M$68</f>
        <v>0</v>
      </c>
      <c r="O45" s="1371" t="s">
        <v>636</v>
      </c>
      <c r="P45" s="64" t="str">
        <f>'Var Vorgaben'!$B$129</f>
        <v>Obstbautraktor 4-Rad</v>
      </c>
      <c r="Q45" s="326">
        <f>IF('Var Vorgaben'!$C$181=1,2,'Var Vorgaben'!$C$177)</f>
        <v>0</v>
      </c>
      <c r="R45" s="1189">
        <v>10</v>
      </c>
      <c r="S45" s="45">
        <f>'Var Vorgaben'!$D$129*(1+'Varianten eingeben'!$C$25)</f>
        <v>41</v>
      </c>
      <c r="T45" s="93">
        <f>R45*S45*Q45</f>
        <v>0</v>
      </c>
      <c r="U45" s="484">
        <f>T45/$T$68</f>
        <v>0</v>
      </c>
      <c r="V45" s="1371" t="s">
        <v>636</v>
      </c>
      <c r="W45" s="64" t="str">
        <f>'Var Vorgaben'!$B$129</f>
        <v>Obstbautraktor 4-Rad</v>
      </c>
      <c r="X45" s="326">
        <f>IF('Var Vorgaben'!$C$181=1,2,'Var Vorgaben'!$C$177)</f>
        <v>0</v>
      </c>
      <c r="Y45" s="1189">
        <v>10</v>
      </c>
      <c r="Z45" s="45">
        <f>'Var Vorgaben'!$D$129*(1+'Varianten eingeben'!$C$25)</f>
        <v>41</v>
      </c>
      <c r="AA45" s="93">
        <f>Y45*Z45*X45</f>
        <v>0</v>
      </c>
      <c r="AB45" s="484">
        <f>AA45/$AA$68</f>
        <v>0</v>
      </c>
      <c r="AC45" s="1371" t="s">
        <v>636</v>
      </c>
      <c r="AD45" s="64" t="str">
        <f>'Var Vorgaben'!$B$129</f>
        <v>Obstbautraktor 4-Rad</v>
      </c>
      <c r="AE45" s="326">
        <f>IF('Var Vorgaben'!$C$181=1,2,'Var Vorgaben'!$C$177)</f>
        <v>0</v>
      </c>
      <c r="AF45" s="1189">
        <v>10</v>
      </c>
      <c r="AG45" s="45">
        <f>'Var Vorgaben'!$D$129*(1+'Varianten eingeben'!$C$25)</f>
        <v>41</v>
      </c>
      <c r="AH45" s="93">
        <f>AF45*AG45*AE45</f>
        <v>0</v>
      </c>
      <c r="AI45" s="484">
        <f>AH45/$AH$68</f>
        <v>0</v>
      </c>
      <c r="AJ45" s="1371" t="s">
        <v>636</v>
      </c>
      <c r="AK45" s="64" t="str">
        <f>'Var Vorgaben'!$B$129</f>
        <v>Obstbautraktor 4-Rad</v>
      </c>
      <c r="AL45" s="326">
        <f>IF('Var Vorgaben'!$C$181=1,2,'Var Vorgaben'!$C$177)</f>
        <v>0</v>
      </c>
      <c r="AM45" s="1189">
        <v>10</v>
      </c>
      <c r="AN45" s="45">
        <f>'Var Vorgaben'!$D$129*(1+'Varianten eingeben'!$C$25)</f>
        <v>41</v>
      </c>
      <c r="AO45" s="93">
        <f>AM45*AN45*AL45</f>
        <v>0</v>
      </c>
      <c r="AP45" s="484">
        <f>AO45/$AO$68</f>
        <v>0</v>
      </c>
      <c r="AQ45" s="1371" t="s">
        <v>636</v>
      </c>
      <c r="AR45" s="64" t="str">
        <f>'Var Vorgaben'!$B$129</f>
        <v>Obstbautraktor 4-Rad</v>
      </c>
      <c r="AS45" s="326">
        <f>IF('Var Vorgaben'!$C$181=1,2,'Var Vorgaben'!$C$177)</f>
        <v>0</v>
      </c>
      <c r="AT45" s="1189">
        <v>10</v>
      </c>
      <c r="AU45" s="45">
        <f>'Var Vorgaben'!$D$129*(1+'Varianten eingeben'!$C$25)</f>
        <v>41</v>
      </c>
      <c r="AV45" s="93">
        <f>AT45*AU45*AS45</f>
        <v>0</v>
      </c>
      <c r="AW45" s="484">
        <f>AV45/$AV$68</f>
        <v>0</v>
      </c>
      <c r="AX45" s="1371" t="s">
        <v>636</v>
      </c>
      <c r="AY45" s="64" t="str">
        <f>'Var Vorgaben'!$B$129</f>
        <v>Obstbautraktor 4-Rad</v>
      </c>
      <c r="AZ45" s="326">
        <f>IF('Var Vorgaben'!$C$181=1,2,'Var Vorgaben'!$C$177)</f>
        <v>0</v>
      </c>
      <c r="BA45" s="1189">
        <v>10</v>
      </c>
      <c r="BB45" s="45">
        <f>'Var Vorgaben'!$D$129*(1+'Varianten eingeben'!$C$25)</f>
        <v>41</v>
      </c>
      <c r="BC45" s="93">
        <f>BA45*BB45*AZ45</f>
        <v>0</v>
      </c>
      <c r="BD45" s="484">
        <f>BC45/$BC$68</f>
        <v>0</v>
      </c>
      <c r="BE45" s="1371" t="s">
        <v>636</v>
      </c>
      <c r="BF45" s="64" t="str">
        <f>'Var Vorgaben'!$B$129</f>
        <v>Obstbautraktor 4-Rad</v>
      </c>
      <c r="BG45" s="326">
        <f>IF('Var Vorgaben'!$C$181=1,2,'Var Vorgaben'!$C$177)</f>
        <v>0</v>
      </c>
      <c r="BH45" s="1189">
        <v>10</v>
      </c>
      <c r="BI45" s="45">
        <f>'Var Vorgaben'!$D$129*(1+'Varianten eingeben'!$C$25)</f>
        <v>41</v>
      </c>
      <c r="BJ45" s="93">
        <f>BH45*BI45*BG45</f>
        <v>0</v>
      </c>
      <c r="BK45" s="484">
        <f>BJ45/$BJ$68</f>
        <v>0</v>
      </c>
      <c r="BL45" s="1371" t="s">
        <v>636</v>
      </c>
      <c r="BM45" s="64" t="str">
        <f>'Var Vorgaben'!$B$129</f>
        <v>Obstbautraktor 4-Rad</v>
      </c>
      <c r="BN45" s="326">
        <f>IF('Var Vorgaben'!$C$181=1,2,'Var Vorgaben'!$C$177)</f>
        <v>0</v>
      </c>
      <c r="BO45" s="1189">
        <v>10</v>
      </c>
      <c r="BP45" s="45">
        <f>'Var Vorgaben'!$D$129*(1+'Varianten eingeben'!$C$25)</f>
        <v>41</v>
      </c>
      <c r="BQ45" s="93">
        <f>BO45*BP45*BN45</f>
        <v>0</v>
      </c>
      <c r="BR45" s="484">
        <f>BQ45/$BQ$68</f>
        <v>0</v>
      </c>
      <c r="BS45" s="1371" t="s">
        <v>636</v>
      </c>
      <c r="BT45" s="64" t="str">
        <f>'Var Vorgaben'!$B$129</f>
        <v>Obstbautraktor 4-Rad</v>
      </c>
      <c r="BU45" s="326">
        <f>IF('Var Vorgaben'!$C$181=1,2,'Var Vorgaben'!$C$177)</f>
        <v>0</v>
      </c>
      <c r="BV45" s="1189">
        <v>10</v>
      </c>
      <c r="BW45" s="45">
        <f>'Var Vorgaben'!$D$129*(1+'Varianten eingeben'!$C$25)</f>
        <v>41</v>
      </c>
      <c r="BX45" s="93">
        <f>BV45*BW45*BU45</f>
        <v>0</v>
      </c>
      <c r="BY45" s="484">
        <f>BX45/$BX$68</f>
        <v>0</v>
      </c>
      <c r="BZ45" s="1371" t="s">
        <v>636</v>
      </c>
      <c r="CA45" s="64" t="str">
        <f>'Var Vorgaben'!$B$129</f>
        <v>Obstbautraktor 4-Rad</v>
      </c>
      <c r="CB45" s="326">
        <f>IF('Var Vorgaben'!$C$181=1,2,'Var Vorgaben'!$C$177)</f>
        <v>0</v>
      </c>
      <c r="CC45" s="1189">
        <v>10</v>
      </c>
      <c r="CD45" s="45">
        <f>'Var Vorgaben'!$D$129*(1+'Varianten eingeben'!$C$25)</f>
        <v>41</v>
      </c>
      <c r="CE45" s="93">
        <f>CC45*CD45*CB45</f>
        <v>0</v>
      </c>
      <c r="CF45" s="484">
        <f>CE45/$CE$68</f>
        <v>0</v>
      </c>
      <c r="CG45" s="1371" t="s">
        <v>636</v>
      </c>
      <c r="CH45" s="64" t="str">
        <f>'Var Vorgaben'!$B$129</f>
        <v>Obstbautraktor 4-Rad</v>
      </c>
      <c r="CI45" s="326">
        <f>IF('Var Vorgaben'!$C$181=1,2,'Var Vorgaben'!$C$177)</f>
        <v>0</v>
      </c>
      <c r="CJ45" s="1189">
        <v>10</v>
      </c>
      <c r="CK45" s="45">
        <f>'Var Vorgaben'!$D$129*(1+'Varianten eingeben'!$C$25)</f>
        <v>41</v>
      </c>
      <c r="CL45" s="93">
        <f>CJ45*CK45*CI45</f>
        <v>0</v>
      </c>
      <c r="CM45" s="484">
        <f>CL45/$CL$68</f>
        <v>0</v>
      </c>
      <c r="CN45" s="1371" t="s">
        <v>636</v>
      </c>
      <c r="CO45" s="64" t="str">
        <f>'Var Vorgaben'!$B$129</f>
        <v>Obstbautraktor 4-Rad</v>
      </c>
      <c r="CP45" s="326">
        <f>IF('Var Vorgaben'!$C$181=1,2,'Var Vorgaben'!$C$177)</f>
        <v>0</v>
      </c>
      <c r="CQ45" s="1189">
        <v>10</v>
      </c>
      <c r="CR45" s="45">
        <f>'Var Vorgaben'!$D$129*(1+'Varianten eingeben'!$C$25)</f>
        <v>41</v>
      </c>
      <c r="CS45" s="93">
        <f>CQ45*CR45*CP45</f>
        <v>0</v>
      </c>
      <c r="CT45" s="484">
        <f>CS45/$CS$68</f>
        <v>0</v>
      </c>
      <c r="CU45" s="1371" t="s">
        <v>636</v>
      </c>
      <c r="CV45" s="64" t="str">
        <f>'Var Vorgaben'!$B$129</f>
        <v>Obstbautraktor 4-Rad</v>
      </c>
      <c r="CW45" s="326">
        <f>IF('Var Vorgaben'!$C$181=1,2,'Var Vorgaben'!$C$177)</f>
        <v>0</v>
      </c>
      <c r="CX45" s="1189">
        <v>10</v>
      </c>
      <c r="CY45" s="45">
        <f>'Var Vorgaben'!$D$129*(1+'Varianten eingeben'!$C$25)</f>
        <v>41</v>
      </c>
      <c r="CZ45" s="93">
        <f>CX45*CY45*CW45</f>
        <v>0</v>
      </c>
      <c r="DA45" s="484">
        <f>CZ45/$CZ$68</f>
        <v>0</v>
      </c>
      <c r="DB45" s="1371" t="s">
        <v>636</v>
      </c>
      <c r="DC45" s="64" t="str">
        <f>'Var Vorgaben'!$B$129</f>
        <v>Obstbautraktor 4-Rad</v>
      </c>
      <c r="DD45" s="326">
        <f>IF('Var Vorgaben'!$C$181=1,2,'Var Vorgaben'!$C$177)</f>
        <v>0</v>
      </c>
      <c r="DE45" s="1189">
        <v>10</v>
      </c>
      <c r="DF45" s="45">
        <f>'Var Vorgaben'!$D$129*(1+'Varianten eingeben'!$C$25)</f>
        <v>41</v>
      </c>
      <c r="DG45" s="93">
        <f>DE45*DF45*DD45</f>
        <v>0</v>
      </c>
      <c r="DH45" s="484">
        <f>DG45/$DG$68</f>
        <v>0</v>
      </c>
    </row>
    <row r="46" spans="1:119" s="73" customFormat="1" x14ac:dyDescent="0.2">
      <c r="A46" s="1371"/>
      <c r="B46" s="887" t="str">
        <f>'Var Vorgaben'!$B$151</f>
        <v>Hebebühne</v>
      </c>
      <c r="C46" s="326">
        <f>'Var Vorgaben'!$C$177+'Var Vorgaben'!$C$181</f>
        <v>0</v>
      </c>
      <c r="D46" s="1189">
        <v>10</v>
      </c>
      <c r="E46" s="45">
        <f>'Var Vorgaben'!$D$151*(1+'Varianten eingeben'!$C$25)</f>
        <v>17.5</v>
      </c>
      <c r="F46" s="93">
        <f>D46*E46*C46</f>
        <v>0</v>
      </c>
      <c r="G46" s="484">
        <f t="shared" si="0"/>
        <v>0</v>
      </c>
      <c r="H46" s="1371"/>
      <c r="I46" s="887" t="str">
        <f>'Var Vorgaben'!$B$151</f>
        <v>Hebebühne</v>
      </c>
      <c r="J46" s="326">
        <f>'Var Vorgaben'!$C$177+'Var Vorgaben'!$C$181</f>
        <v>0</v>
      </c>
      <c r="K46" s="1189">
        <v>10</v>
      </c>
      <c r="L46" s="45">
        <f>'Var Vorgaben'!$D$151*(1+'Varianten eingeben'!$C$25)</f>
        <v>17.5</v>
      </c>
      <c r="M46" s="93">
        <f>K46*L46*J46</f>
        <v>0</v>
      </c>
      <c r="N46" s="484">
        <f>M46/$M$68</f>
        <v>0</v>
      </c>
      <c r="O46" s="1371"/>
      <c r="P46" s="887" t="str">
        <f>'Var Vorgaben'!$B$151</f>
        <v>Hebebühne</v>
      </c>
      <c r="Q46" s="326">
        <f>'Var Vorgaben'!$C$177+'Var Vorgaben'!$C$181</f>
        <v>0</v>
      </c>
      <c r="R46" s="1189">
        <v>10</v>
      </c>
      <c r="S46" s="45">
        <f>'Var Vorgaben'!$D$151*(1+'Varianten eingeben'!$C$25)</f>
        <v>17.5</v>
      </c>
      <c r="T46" s="93">
        <f>R46*S46*Q46</f>
        <v>0</v>
      </c>
      <c r="U46" s="484">
        <f>T46/$T$68</f>
        <v>0</v>
      </c>
      <c r="V46" s="1371"/>
      <c r="W46" s="887" t="str">
        <f>'Var Vorgaben'!$B$151</f>
        <v>Hebebühne</v>
      </c>
      <c r="X46" s="326">
        <f>'Var Vorgaben'!$C$177+'Var Vorgaben'!$C$181</f>
        <v>0</v>
      </c>
      <c r="Y46" s="1189">
        <v>10</v>
      </c>
      <c r="Z46" s="45">
        <f>'Var Vorgaben'!$D$151*(1+'Varianten eingeben'!$C$25)</f>
        <v>17.5</v>
      </c>
      <c r="AA46" s="93">
        <f>Y46*Z46*X46</f>
        <v>0</v>
      </c>
      <c r="AB46" s="484">
        <f>AA46/$AA$68</f>
        <v>0</v>
      </c>
      <c r="AC46" s="1371"/>
      <c r="AD46" s="887" t="str">
        <f>'Var Vorgaben'!$B$151</f>
        <v>Hebebühne</v>
      </c>
      <c r="AE46" s="326">
        <f>'Var Vorgaben'!$C$177+'Var Vorgaben'!$C$181</f>
        <v>0</v>
      </c>
      <c r="AF46" s="1189">
        <v>10</v>
      </c>
      <c r="AG46" s="45">
        <f>'Var Vorgaben'!$D$151*(1+'Varianten eingeben'!$C$25)</f>
        <v>17.5</v>
      </c>
      <c r="AH46" s="93">
        <f>AF46*AG46*AE46</f>
        <v>0</v>
      </c>
      <c r="AI46" s="484">
        <f>AH46/$AH$68</f>
        <v>0</v>
      </c>
      <c r="AJ46" s="1371"/>
      <c r="AK46" s="887" t="str">
        <f>'Var Vorgaben'!$B$151</f>
        <v>Hebebühne</v>
      </c>
      <c r="AL46" s="326">
        <f>'Var Vorgaben'!$C$177+'Var Vorgaben'!$C$181</f>
        <v>0</v>
      </c>
      <c r="AM46" s="1189">
        <v>10</v>
      </c>
      <c r="AN46" s="45">
        <f>'Var Vorgaben'!$D$151*(1+'Varianten eingeben'!$C$25)</f>
        <v>17.5</v>
      </c>
      <c r="AO46" s="93">
        <f>AM46*AN46*AL46</f>
        <v>0</v>
      </c>
      <c r="AP46" s="484">
        <f>AO46/$AO$68</f>
        <v>0</v>
      </c>
      <c r="AQ46" s="1371"/>
      <c r="AR46" s="887" t="str">
        <f>'Var Vorgaben'!$B$151</f>
        <v>Hebebühne</v>
      </c>
      <c r="AS46" s="326">
        <f>'Var Vorgaben'!$C$177+'Var Vorgaben'!$C$181</f>
        <v>0</v>
      </c>
      <c r="AT46" s="1189">
        <v>10</v>
      </c>
      <c r="AU46" s="45">
        <f>'Var Vorgaben'!$D$151*(1+'Varianten eingeben'!$C$25)</f>
        <v>17.5</v>
      </c>
      <c r="AV46" s="93">
        <f>AT46*AU46*AS46</f>
        <v>0</v>
      </c>
      <c r="AW46" s="484">
        <f>AV46/$AV$68</f>
        <v>0</v>
      </c>
      <c r="AX46" s="1371"/>
      <c r="AY46" s="887" t="str">
        <f>'Var Vorgaben'!$B$151</f>
        <v>Hebebühne</v>
      </c>
      <c r="AZ46" s="326">
        <f>'Var Vorgaben'!$C$177+'Var Vorgaben'!$C$181</f>
        <v>0</v>
      </c>
      <c r="BA46" s="1189">
        <v>10</v>
      </c>
      <c r="BB46" s="45">
        <f>'Var Vorgaben'!$D$151*(1+'Varianten eingeben'!$C$25)</f>
        <v>17.5</v>
      </c>
      <c r="BC46" s="93">
        <f>BA46*BB46*AZ46</f>
        <v>0</v>
      </c>
      <c r="BD46" s="484">
        <f>BC46/$BC$68</f>
        <v>0</v>
      </c>
      <c r="BE46" s="1371"/>
      <c r="BF46" s="887" t="str">
        <f>'Var Vorgaben'!$B$151</f>
        <v>Hebebühne</v>
      </c>
      <c r="BG46" s="326">
        <f>'Var Vorgaben'!$C$177+'Var Vorgaben'!$C$181</f>
        <v>0</v>
      </c>
      <c r="BH46" s="1189">
        <v>10</v>
      </c>
      <c r="BI46" s="45">
        <f>'Var Vorgaben'!$D$151*(1+'Varianten eingeben'!$C$25)</f>
        <v>17.5</v>
      </c>
      <c r="BJ46" s="93">
        <f>BH46*BI46*BG46</f>
        <v>0</v>
      </c>
      <c r="BK46" s="484">
        <f>BJ46/$BJ$68</f>
        <v>0</v>
      </c>
      <c r="BL46" s="1371"/>
      <c r="BM46" s="887" t="str">
        <f>'Var Vorgaben'!$B$151</f>
        <v>Hebebühne</v>
      </c>
      <c r="BN46" s="326">
        <f>'Var Vorgaben'!$C$177+'Var Vorgaben'!$C$181</f>
        <v>0</v>
      </c>
      <c r="BO46" s="1189">
        <v>10</v>
      </c>
      <c r="BP46" s="45">
        <f>'Var Vorgaben'!$D$151*(1+'Varianten eingeben'!$C$25)</f>
        <v>17.5</v>
      </c>
      <c r="BQ46" s="93">
        <f>BO46*BP46*BN46</f>
        <v>0</v>
      </c>
      <c r="BR46" s="484">
        <f>BQ46/$BQ$68</f>
        <v>0</v>
      </c>
      <c r="BS46" s="1371"/>
      <c r="BT46" s="887" t="str">
        <f>'Var Vorgaben'!$B$151</f>
        <v>Hebebühne</v>
      </c>
      <c r="BU46" s="326">
        <f>'Var Vorgaben'!$C$177+'Var Vorgaben'!$C$181</f>
        <v>0</v>
      </c>
      <c r="BV46" s="1189">
        <v>10</v>
      </c>
      <c r="BW46" s="45">
        <f>'Var Vorgaben'!$D$151*(1+'Varianten eingeben'!$C$25)</f>
        <v>17.5</v>
      </c>
      <c r="BX46" s="93">
        <f>BV46*BW46*BU46</f>
        <v>0</v>
      </c>
      <c r="BY46" s="484">
        <f>BX46/$BX$68</f>
        <v>0</v>
      </c>
      <c r="BZ46" s="1371"/>
      <c r="CA46" s="887" t="str">
        <f>'Var Vorgaben'!$B$151</f>
        <v>Hebebühne</v>
      </c>
      <c r="CB46" s="326">
        <f>'Var Vorgaben'!$C$177+'Var Vorgaben'!$C$181</f>
        <v>0</v>
      </c>
      <c r="CC46" s="1189">
        <v>10</v>
      </c>
      <c r="CD46" s="45">
        <f>'Var Vorgaben'!$D$151*(1+'Varianten eingeben'!$C$25)</f>
        <v>17.5</v>
      </c>
      <c r="CE46" s="93">
        <f>CC46*CD46*CB46</f>
        <v>0</v>
      </c>
      <c r="CF46" s="484">
        <f>CE46/$CE$68</f>
        <v>0</v>
      </c>
      <c r="CG46" s="1371"/>
      <c r="CH46" s="887" t="str">
        <f>'Var Vorgaben'!$B$151</f>
        <v>Hebebühne</v>
      </c>
      <c r="CI46" s="326">
        <f>'Var Vorgaben'!$C$177+'Var Vorgaben'!$C$181</f>
        <v>0</v>
      </c>
      <c r="CJ46" s="1189">
        <v>10</v>
      </c>
      <c r="CK46" s="45">
        <f>'Var Vorgaben'!$D$151*(1+'Varianten eingeben'!$C$25)</f>
        <v>17.5</v>
      </c>
      <c r="CL46" s="93">
        <f>CJ46*CK46*CI46</f>
        <v>0</v>
      </c>
      <c r="CM46" s="484">
        <f>CL46/$CL$68</f>
        <v>0</v>
      </c>
      <c r="CN46" s="1371"/>
      <c r="CO46" s="887" t="str">
        <f>'Var Vorgaben'!$B$151</f>
        <v>Hebebühne</v>
      </c>
      <c r="CP46" s="326">
        <f>'Var Vorgaben'!$C$177+'Var Vorgaben'!$C$181</f>
        <v>0</v>
      </c>
      <c r="CQ46" s="1189">
        <v>10</v>
      </c>
      <c r="CR46" s="45">
        <f>'Var Vorgaben'!$D$151*(1+'Varianten eingeben'!$C$25)</f>
        <v>17.5</v>
      </c>
      <c r="CS46" s="93">
        <f>CQ46*CR46*CP46</f>
        <v>0</v>
      </c>
      <c r="CT46" s="484">
        <f>CS46/$CS$68</f>
        <v>0</v>
      </c>
      <c r="CU46" s="1371"/>
      <c r="CV46" s="887" t="str">
        <f>'Var Vorgaben'!$B$151</f>
        <v>Hebebühne</v>
      </c>
      <c r="CW46" s="326">
        <f>'Var Vorgaben'!$C$177+'Var Vorgaben'!$C$181</f>
        <v>0</v>
      </c>
      <c r="CX46" s="1189">
        <v>10</v>
      </c>
      <c r="CY46" s="45">
        <f>'Var Vorgaben'!$D$151*(1+'Varianten eingeben'!$C$25)</f>
        <v>17.5</v>
      </c>
      <c r="CZ46" s="93">
        <f>CX46*CY46*CW46</f>
        <v>0</v>
      </c>
      <c r="DA46" s="484">
        <f>CZ46/$CZ$68</f>
        <v>0</v>
      </c>
      <c r="DB46" s="1371"/>
      <c r="DC46" s="887" t="str">
        <f>'Var Vorgaben'!$B$151</f>
        <v>Hebebühne</v>
      </c>
      <c r="DD46" s="326">
        <f>'Var Vorgaben'!$C$177+'Var Vorgaben'!$C$181</f>
        <v>0</v>
      </c>
      <c r="DE46" s="1189">
        <v>10</v>
      </c>
      <c r="DF46" s="45">
        <f>'Var Vorgaben'!$D$151*(1+'Varianten eingeben'!$C$25)</f>
        <v>17.5</v>
      </c>
      <c r="DG46" s="93">
        <f>DE46*DF46*DD46</f>
        <v>0</v>
      </c>
      <c r="DH46" s="484">
        <f>DG46/$DG$68</f>
        <v>0</v>
      </c>
    </row>
    <row r="47" spans="1:119" ht="13.5" thickBot="1" x14ac:dyDescent="0.25">
      <c r="A47" s="106"/>
      <c r="B47" s="64" t="str">
        <f>'Var Vorgaben'!$B$137</f>
        <v>Diverse Kleingeräte</v>
      </c>
      <c r="C47" s="323"/>
      <c r="D47" s="323"/>
      <c r="E47" s="45"/>
      <c r="F47" s="658">
        <f>'Var Vorgaben'!$D$137*(1+'Varianten eingeben'!$C$25)</f>
        <v>500</v>
      </c>
      <c r="G47" s="484">
        <f>F47/$F$68</f>
        <v>5.2847350209799783E-2</v>
      </c>
      <c r="H47" s="106"/>
      <c r="I47" s="64" t="str">
        <f>'Var Vorgaben'!$B$137</f>
        <v>Diverse Kleingeräte</v>
      </c>
      <c r="J47" s="323"/>
      <c r="K47" s="323"/>
      <c r="L47" s="45"/>
      <c r="M47" s="658">
        <f>'Var Vorgaben'!$D$137*(1+'Varianten eingeben'!$C$25)</f>
        <v>500</v>
      </c>
      <c r="N47" s="484">
        <f>M47/$M$68</f>
        <v>3.6362543599131068E-2</v>
      </c>
      <c r="O47" s="106"/>
      <c r="P47" s="64" t="str">
        <f>'Var Vorgaben'!$B$137</f>
        <v>Diverse Kleingeräte</v>
      </c>
      <c r="Q47" s="323"/>
      <c r="R47" s="323"/>
      <c r="S47" s="45"/>
      <c r="T47" s="658">
        <f>'Var Vorgaben'!$D$137*(1+'Varianten eingeben'!$C$25)</f>
        <v>500</v>
      </c>
      <c r="U47" s="484">
        <f>T47/$T$68</f>
        <v>2.4607509082293054E-2</v>
      </c>
      <c r="V47" s="106"/>
      <c r="W47" s="64" t="str">
        <f>'Var Vorgaben'!$B$137</f>
        <v>Diverse Kleingeräte</v>
      </c>
      <c r="X47" s="323"/>
      <c r="Y47" s="323"/>
      <c r="Z47" s="45"/>
      <c r="AA47" s="658">
        <f>'Var Vorgaben'!$D$137*(1+'Varianten eingeben'!$C$25)</f>
        <v>500</v>
      </c>
      <c r="AB47" s="484">
        <f>AA47/$AA$68</f>
        <v>2.0682910026433906E-2</v>
      </c>
      <c r="AC47" s="106"/>
      <c r="AD47" s="64" t="str">
        <f>'Var Vorgaben'!$B$137</f>
        <v>Diverse Kleingeräte</v>
      </c>
      <c r="AE47" s="323"/>
      <c r="AF47" s="323"/>
      <c r="AG47" s="45"/>
      <c r="AH47" s="658">
        <f>'Var Vorgaben'!$D$137*(1+'Varianten eingeben'!$C$25)</f>
        <v>500</v>
      </c>
      <c r="AI47" s="484">
        <f>AH47/$AH$68</f>
        <v>1.4328770656040759E-2</v>
      </c>
      <c r="AJ47" s="106"/>
      <c r="AK47" s="64" t="str">
        <f>'Var Vorgaben'!$B$137</f>
        <v>Diverse Kleingeräte</v>
      </c>
      <c r="AL47" s="323"/>
      <c r="AM47" s="323"/>
      <c r="AN47" s="45"/>
      <c r="AO47" s="658">
        <f>'Var Vorgaben'!$D$137*(1+'Varianten eingeben'!$C$25)</f>
        <v>500</v>
      </c>
      <c r="AP47" s="484">
        <f>AO47/$AO$68</f>
        <v>1.3023305613692249E-2</v>
      </c>
      <c r="AQ47" s="106"/>
      <c r="AR47" s="64" t="str">
        <f>'Var Vorgaben'!$B$137</f>
        <v>Diverse Kleingeräte</v>
      </c>
      <c r="AS47" s="323"/>
      <c r="AT47" s="323"/>
      <c r="AU47" s="45"/>
      <c r="AV47" s="658">
        <f>'Var Vorgaben'!$D$137*(1+'Varianten eingeben'!$C$25)</f>
        <v>500</v>
      </c>
      <c r="AW47" s="484">
        <f>AV47/$AV$68</f>
        <v>1.1943876186649351E-2</v>
      </c>
      <c r="AX47" s="106"/>
      <c r="AY47" s="64" t="str">
        <f>'Var Vorgaben'!$B$137</f>
        <v>Diverse Kleingeräte</v>
      </c>
      <c r="AZ47" s="323"/>
      <c r="BA47" s="323"/>
      <c r="BB47" s="45"/>
      <c r="BC47" s="658">
        <f>'Var Vorgaben'!$D$137*(1+'Varianten eingeben'!$C$25)</f>
        <v>500</v>
      </c>
      <c r="BD47" s="484">
        <f>BC47/$BC$68</f>
        <v>1.1949768478201343E-2</v>
      </c>
      <c r="BE47" s="106"/>
      <c r="BF47" s="64" t="str">
        <f>'Var Vorgaben'!$B$137</f>
        <v>Diverse Kleingeräte</v>
      </c>
      <c r="BG47" s="323"/>
      <c r="BH47" s="323"/>
      <c r="BI47" s="45"/>
      <c r="BJ47" s="658">
        <f>'Var Vorgaben'!$D$137*(1+'Varianten eingeben'!$C$25)</f>
        <v>500</v>
      </c>
      <c r="BK47" s="484">
        <f>BJ47/$BJ$68</f>
        <v>1.1955719695739593E-2</v>
      </c>
      <c r="BL47" s="106"/>
      <c r="BM47" s="64" t="str">
        <f>'Var Vorgaben'!$B$137</f>
        <v>Diverse Kleingeräte</v>
      </c>
      <c r="BN47" s="323"/>
      <c r="BO47" s="323"/>
      <c r="BP47" s="45"/>
      <c r="BQ47" s="658">
        <f>'Var Vorgaben'!$D$137*(1+'Varianten eingeben'!$C$25)</f>
        <v>500</v>
      </c>
      <c r="BR47" s="484">
        <f>BQ47/$BQ$68</f>
        <v>1.1961730485164038E-2</v>
      </c>
      <c r="BS47" s="106"/>
      <c r="BT47" s="64" t="str">
        <f>'Var Vorgaben'!$B$137</f>
        <v>Diverse Kleingeräte</v>
      </c>
      <c r="BU47" s="323"/>
      <c r="BV47" s="323"/>
      <c r="BW47" s="45"/>
      <c r="BX47" s="658">
        <f>'Var Vorgaben'!$D$137*(1+'Varianten eingeben'!$C$25)</f>
        <v>500</v>
      </c>
      <c r="BY47" s="484">
        <f>BX47/$BX$68</f>
        <v>1.196780150054017E-2</v>
      </c>
      <c r="BZ47" s="106"/>
      <c r="CA47" s="64" t="str">
        <f>'Var Vorgaben'!$B$137</f>
        <v>Diverse Kleingeräte</v>
      </c>
      <c r="CB47" s="323"/>
      <c r="CC47" s="323"/>
      <c r="CD47" s="45"/>
      <c r="CE47" s="658">
        <f>'Var Vorgaben'!$D$137*(1+'Varianten eingeben'!$C$25)</f>
        <v>500</v>
      </c>
      <c r="CF47" s="484">
        <f>CE47/$CE$68</f>
        <v>1.1973933404222929E-2</v>
      </c>
      <c r="CG47" s="106"/>
      <c r="CH47" s="64" t="str">
        <f>'Var Vorgaben'!$B$137</f>
        <v>Diverse Kleingeräte</v>
      </c>
      <c r="CI47" s="323"/>
      <c r="CJ47" s="323"/>
      <c r="CK47" s="45"/>
      <c r="CL47" s="658">
        <f>'Var Vorgaben'!$D$137*(1+'Varianten eingeben'!$C$25)</f>
        <v>500</v>
      </c>
      <c r="CM47" s="484">
        <f>CL47/$CL$68</f>
        <v>1.1980126866982875E-2</v>
      </c>
      <c r="CN47" s="106"/>
      <c r="CO47" s="64" t="str">
        <f>'Var Vorgaben'!$B$137</f>
        <v>Diverse Kleingeräte</v>
      </c>
      <c r="CP47" s="323"/>
      <c r="CQ47" s="323"/>
      <c r="CR47" s="45"/>
      <c r="CS47" s="658">
        <f>'Var Vorgaben'!$D$137*(1+'Varianten eingeben'!$C$25)</f>
        <v>500</v>
      </c>
      <c r="CT47" s="484">
        <f>CS47/$CS$68</f>
        <v>1.198638256813471E-2</v>
      </c>
      <c r="CU47" s="106"/>
      <c r="CV47" s="64" t="str">
        <f>'Var Vorgaben'!$B$137</f>
        <v>Diverse Kleingeräte</v>
      </c>
      <c r="CW47" s="323"/>
      <c r="CX47" s="323"/>
      <c r="CY47" s="45"/>
      <c r="CZ47" s="658">
        <f>'Var Vorgaben'!$D$137*(1+'Varianten eingeben'!$C$25)</f>
        <v>500</v>
      </c>
      <c r="DA47" s="484">
        <f>CZ47/$CZ$68</f>
        <v>1.1992701195668122E-2</v>
      </c>
      <c r="DB47" s="106"/>
      <c r="DC47" s="64" t="str">
        <f>'Var Vorgaben'!$B$137</f>
        <v>Diverse Kleingeräte</v>
      </c>
      <c r="DD47" s="323"/>
      <c r="DE47" s="323"/>
      <c r="DF47" s="45"/>
      <c r="DG47" s="658">
        <f>'Var Vorgaben'!$D$137*(1+'Varianten eingeben'!$C$25)</f>
        <v>500</v>
      </c>
      <c r="DH47" s="484">
        <f>DG47/$DG$68</f>
        <v>1.048881014778311E-2</v>
      </c>
      <c r="DI47" s="73"/>
      <c r="DJ47" s="73"/>
      <c r="DK47" s="73"/>
      <c r="DL47" s="73"/>
      <c r="DM47" s="73"/>
      <c r="DN47" s="73"/>
      <c r="DO47" s="73"/>
    </row>
    <row r="48" spans="1:119" x14ac:dyDescent="0.2">
      <c r="A48" s="82"/>
      <c r="C48" s="323"/>
      <c r="D48" s="323"/>
      <c r="E48" s="45"/>
      <c r="F48" s="162">
        <f>F47+F46+F44+F43+F45</f>
        <v>1349.72</v>
      </c>
      <c r="G48" s="655">
        <f t="shared" si="0"/>
        <v>0.14265825105034191</v>
      </c>
      <c r="H48" s="82"/>
      <c r="I48" s="64"/>
      <c r="J48" s="323"/>
      <c r="K48" s="323"/>
      <c r="L48" s="45"/>
      <c r="M48" s="162">
        <f>M47+M46+M44+M43+M45</f>
        <v>2087.7200000000003</v>
      </c>
      <c r="N48" s="655">
        <f>M48/$M$68</f>
        <v>0.15182961904555586</v>
      </c>
      <c r="O48" s="82"/>
      <c r="Q48" s="323"/>
      <c r="R48" s="323"/>
      <c r="S48" s="169"/>
      <c r="T48" s="162">
        <f>T47+T46+T44+T43+T45</f>
        <v>3105.72</v>
      </c>
      <c r="U48" s="655">
        <f>T48/$T$68</f>
        <v>0.15284806621411837</v>
      </c>
      <c r="V48" s="82"/>
      <c r="X48" s="323"/>
      <c r="Y48" s="323"/>
      <c r="Z48" s="169"/>
      <c r="AA48" s="162">
        <f>AA47+AA46+AA44+AA43+AA45</f>
        <v>3765.7199999999993</v>
      </c>
      <c r="AB48" s="655">
        <f>AA48/$AA$68</f>
        <v>0.15577209588948535</v>
      </c>
      <c r="AC48" s="82"/>
      <c r="AE48" s="323"/>
      <c r="AF48" s="323"/>
      <c r="AG48" s="169"/>
      <c r="AH48" s="162">
        <f>AH47+AH46+AH44+AH43+AH45</f>
        <v>5203.72</v>
      </c>
      <c r="AI48" s="655">
        <f>AH48/$AH$68</f>
        <v>0.14912582087650483</v>
      </c>
      <c r="AJ48" s="82"/>
      <c r="AL48" s="323"/>
      <c r="AM48" s="323"/>
      <c r="AN48" s="169"/>
      <c r="AO48" s="162">
        <f>AO47+AO46+AO44+AO43+AO45</f>
        <v>5863.72</v>
      </c>
      <c r="AP48" s="655">
        <f>AO48/$AO$68</f>
        <v>0.15273003518623901</v>
      </c>
      <c r="AQ48" s="82"/>
      <c r="AS48" s="323"/>
      <c r="AT48" s="323"/>
      <c r="AU48" s="169"/>
      <c r="AV48" s="162">
        <f>AV47+AV46+AV44+AV43+AV45</f>
        <v>6523.72</v>
      </c>
      <c r="AW48" s="655">
        <f>AV48/$AV$68</f>
        <v>0.15583700791273622</v>
      </c>
      <c r="AX48" s="82"/>
      <c r="AZ48" s="323"/>
      <c r="BA48" s="323"/>
      <c r="BB48" s="169"/>
      <c r="BC48" s="162">
        <f>BC47+BC46+BC44+BC43+BC45</f>
        <v>6523.72</v>
      </c>
      <c r="BD48" s="655">
        <f>BC48/$BC$68</f>
        <v>0.15591388723322333</v>
      </c>
      <c r="BE48" s="82"/>
      <c r="BG48" s="323"/>
      <c r="BH48" s="323"/>
      <c r="BI48" s="169"/>
      <c r="BJ48" s="162">
        <f>BJ47+BJ46+BJ44+BJ43+BJ45</f>
        <v>6523.72</v>
      </c>
      <c r="BK48" s="655">
        <f>BJ48/$BJ$68</f>
        <v>0.1559915353869806</v>
      </c>
      <c r="BL48" s="82"/>
      <c r="BN48" s="323"/>
      <c r="BO48" s="323"/>
      <c r="BP48" s="169"/>
      <c r="BQ48" s="162">
        <f>BQ47+BQ46+BQ44+BQ43+BQ45</f>
        <v>6523.72</v>
      </c>
      <c r="BR48" s="655">
        <f>BQ48/$BQ$68</f>
        <v>0.15606996080134869</v>
      </c>
      <c r="BS48" s="82"/>
      <c r="BU48" s="323"/>
      <c r="BV48" s="323"/>
      <c r="BW48" s="169"/>
      <c r="BX48" s="162">
        <f>BX47+BX46+BX44+BX43+BX45</f>
        <v>6523.72</v>
      </c>
      <c r="BY48" s="655">
        <f>BX48/$BX$68</f>
        <v>0.15614917201020784</v>
      </c>
      <c r="BZ48" s="82"/>
      <c r="CB48" s="323"/>
      <c r="CC48" s="323"/>
      <c r="CD48" s="169"/>
      <c r="CE48" s="162">
        <f>CE47+CE46+CE44+CE43+CE45</f>
        <v>6523.72</v>
      </c>
      <c r="CF48" s="655">
        <f>CE48/$CE$68</f>
        <v>0.15622917765559441</v>
      </c>
      <c r="CG48" s="82"/>
      <c r="CI48" s="323"/>
      <c r="CJ48" s="323"/>
      <c r="CK48" s="169"/>
      <c r="CL48" s="162">
        <f>CL47+CL46+CL44+CL43+CL45</f>
        <v>6523.72</v>
      </c>
      <c r="CM48" s="655">
        <f>CL48/$CL$68</f>
        <v>0.15630998648934705</v>
      </c>
      <c r="CN48" s="82"/>
      <c r="CP48" s="323"/>
      <c r="CQ48" s="323"/>
      <c r="CR48" s="169"/>
      <c r="CS48" s="162">
        <f>CS47+CS46+CS44+CS43+CS45</f>
        <v>6523.72</v>
      </c>
      <c r="CT48" s="655">
        <f>CS48/$CS$68</f>
        <v>0.15639160737478355</v>
      </c>
      <c r="CU48" s="82"/>
      <c r="CW48" s="323"/>
      <c r="CX48" s="323"/>
      <c r="CY48" s="169"/>
      <c r="CZ48" s="162">
        <f>CZ47+CZ46+CZ44+CZ43+CZ45</f>
        <v>6523.72</v>
      </c>
      <c r="DA48" s="655">
        <f>CZ48/$CZ$68</f>
        <v>0.15647404928840811</v>
      </c>
      <c r="DB48" s="82"/>
      <c r="DD48" s="323"/>
      <c r="DE48" s="323"/>
      <c r="DF48" s="169"/>
      <c r="DG48" s="162">
        <f>DG47+DG46+DG44+DG43+DG45</f>
        <v>6523.72</v>
      </c>
      <c r="DH48" s="655">
        <f>DG48/$DG$68</f>
        <v>0.13685212107459124</v>
      </c>
      <c r="DI48" s="73"/>
      <c r="DJ48" s="73"/>
      <c r="DK48" s="73"/>
      <c r="DL48" s="73"/>
      <c r="DM48" s="73"/>
      <c r="DN48" s="73"/>
      <c r="DO48" s="73"/>
    </row>
    <row r="49" spans="1:112" ht="19.5" customHeight="1" x14ac:dyDescent="0.2">
      <c r="A49" s="64"/>
      <c r="C49" s="324"/>
      <c r="D49" s="494" t="s">
        <v>27</v>
      </c>
      <c r="E49" s="501" t="s">
        <v>21</v>
      </c>
      <c r="F49" s="496" t="s">
        <v>22</v>
      </c>
      <c r="G49" s="484"/>
      <c r="H49" s="64"/>
      <c r="J49" s="324"/>
      <c r="K49" s="494" t="s">
        <v>27</v>
      </c>
      <c r="L49" s="501" t="s">
        <v>21</v>
      </c>
      <c r="M49" s="496" t="s">
        <v>22</v>
      </c>
      <c r="N49" s="484"/>
      <c r="Q49" s="324"/>
      <c r="R49" s="494" t="s">
        <v>27</v>
      </c>
      <c r="S49" s="501" t="s">
        <v>21</v>
      </c>
      <c r="T49" s="496" t="s">
        <v>22</v>
      </c>
      <c r="U49" s="484"/>
      <c r="X49" s="324"/>
      <c r="Y49" s="494" t="s">
        <v>27</v>
      </c>
      <c r="Z49" s="501" t="s">
        <v>21</v>
      </c>
      <c r="AA49" s="496" t="s">
        <v>22</v>
      </c>
      <c r="AB49" s="484"/>
      <c r="AE49" s="324"/>
      <c r="AF49" s="494" t="s">
        <v>27</v>
      </c>
      <c r="AG49" s="501" t="s">
        <v>21</v>
      </c>
      <c r="AH49" s="496" t="s">
        <v>22</v>
      </c>
      <c r="AI49" s="484"/>
      <c r="AL49" s="324"/>
      <c r="AM49" s="494" t="s">
        <v>27</v>
      </c>
      <c r="AN49" s="501" t="s">
        <v>21</v>
      </c>
      <c r="AO49" s="496" t="s">
        <v>22</v>
      </c>
      <c r="AP49" s="484"/>
      <c r="AS49" s="324"/>
      <c r="AT49" s="494" t="s">
        <v>27</v>
      </c>
      <c r="AU49" s="501" t="s">
        <v>21</v>
      </c>
      <c r="AV49" s="496" t="s">
        <v>22</v>
      </c>
      <c r="AW49" s="484"/>
      <c r="AZ49" s="324"/>
      <c r="BA49" s="494" t="s">
        <v>27</v>
      </c>
      <c r="BB49" s="501" t="s">
        <v>21</v>
      </c>
      <c r="BC49" s="496" t="s">
        <v>22</v>
      </c>
      <c r="BD49" s="484"/>
      <c r="BG49" s="324"/>
      <c r="BH49" s="494" t="s">
        <v>27</v>
      </c>
      <c r="BI49" s="501" t="s">
        <v>21</v>
      </c>
      <c r="BJ49" s="496" t="s">
        <v>22</v>
      </c>
      <c r="BK49" s="484"/>
      <c r="BN49" s="324"/>
      <c r="BO49" s="494" t="s">
        <v>27</v>
      </c>
      <c r="BP49" s="501" t="s">
        <v>21</v>
      </c>
      <c r="BQ49" s="496" t="s">
        <v>22</v>
      </c>
      <c r="BR49" s="484"/>
      <c r="BU49" s="324"/>
      <c r="BV49" s="494" t="s">
        <v>27</v>
      </c>
      <c r="BW49" s="501" t="s">
        <v>21</v>
      </c>
      <c r="BX49" s="496" t="s">
        <v>22</v>
      </c>
      <c r="BY49" s="484"/>
      <c r="CB49" s="324"/>
      <c r="CC49" s="494" t="s">
        <v>27</v>
      </c>
      <c r="CD49" s="501" t="s">
        <v>21</v>
      </c>
      <c r="CE49" s="496" t="s">
        <v>22</v>
      </c>
      <c r="CF49" s="484"/>
      <c r="CI49" s="324"/>
      <c r="CJ49" s="494" t="s">
        <v>27</v>
      </c>
      <c r="CK49" s="501" t="s">
        <v>21</v>
      </c>
      <c r="CL49" s="496" t="s">
        <v>22</v>
      </c>
      <c r="CM49" s="484"/>
      <c r="CP49" s="324"/>
      <c r="CQ49" s="494" t="s">
        <v>27</v>
      </c>
      <c r="CR49" s="501" t="s">
        <v>21</v>
      </c>
      <c r="CS49" s="496" t="s">
        <v>22</v>
      </c>
      <c r="CT49" s="484"/>
      <c r="CW49" s="324"/>
      <c r="CX49" s="494" t="s">
        <v>27</v>
      </c>
      <c r="CY49" s="501" t="s">
        <v>21</v>
      </c>
      <c r="CZ49" s="496" t="s">
        <v>22</v>
      </c>
      <c r="DA49" s="484"/>
      <c r="DD49" s="324"/>
      <c r="DE49" s="494" t="s">
        <v>27</v>
      </c>
      <c r="DF49" s="501" t="s">
        <v>21</v>
      </c>
      <c r="DG49" s="496" t="s">
        <v>22</v>
      </c>
      <c r="DH49" s="484"/>
    </row>
    <row r="50" spans="1:112" ht="15.75" customHeight="1" x14ac:dyDescent="0.2">
      <c r="A50" s="49" t="s">
        <v>68</v>
      </c>
      <c r="B50" s="73" t="s">
        <v>29</v>
      </c>
      <c r="C50" s="324"/>
      <c r="D50" s="363">
        <f>C38*D38</f>
        <v>2</v>
      </c>
      <c r="E50" s="169">
        <f>'Var Vorgaben'!$C$36</f>
        <v>32.700000000000003</v>
      </c>
      <c r="F50" s="93">
        <f t="shared" ref="F50:F62" si="16">D50*E50</f>
        <v>65.400000000000006</v>
      </c>
      <c r="G50" s="484">
        <f t="shared" ref="G50:G67" si="17">F50/$F$68</f>
        <v>6.912433407441812E-3</v>
      </c>
      <c r="H50" s="49" t="s">
        <v>68</v>
      </c>
      <c r="I50" s="73" t="s">
        <v>29</v>
      </c>
      <c r="J50" s="324"/>
      <c r="K50" s="363">
        <f>J38*K38</f>
        <v>2</v>
      </c>
      <c r="L50" s="169">
        <f>'Var Vorgaben'!$C$36</f>
        <v>32.700000000000003</v>
      </c>
      <c r="M50" s="93">
        <f t="shared" ref="M50:M62" si="18">K50*L50</f>
        <v>65.400000000000006</v>
      </c>
      <c r="N50" s="484">
        <f t="shared" ref="N50:N67" si="19">M50/$M$68</f>
        <v>4.7562207027663445E-3</v>
      </c>
      <c r="O50" s="49" t="s">
        <v>68</v>
      </c>
      <c r="P50" s="73" t="s">
        <v>29</v>
      </c>
      <c r="Q50" s="324"/>
      <c r="R50" s="363">
        <f>Q38*R38</f>
        <v>2</v>
      </c>
      <c r="S50" s="169">
        <f>'Var Vorgaben'!$C$36</f>
        <v>32.700000000000003</v>
      </c>
      <c r="T50" s="93">
        <f t="shared" ref="T50:T62" si="20">R50*S50</f>
        <v>65.400000000000006</v>
      </c>
      <c r="U50" s="484">
        <f t="shared" ref="U50:U68" si="21">T50/$T$68</f>
        <v>3.2186621879639319E-3</v>
      </c>
      <c r="V50" s="49" t="s">
        <v>68</v>
      </c>
      <c r="W50" s="73" t="s">
        <v>29</v>
      </c>
      <c r="X50" s="324"/>
      <c r="Y50" s="363">
        <f>X38*Y38</f>
        <v>2</v>
      </c>
      <c r="Z50" s="169">
        <f>'Var Vorgaben'!$C$36</f>
        <v>32.700000000000003</v>
      </c>
      <c r="AA50" s="93">
        <f>Y50*Z50</f>
        <v>65.400000000000006</v>
      </c>
      <c r="AB50" s="484">
        <f t="shared" ref="AB50:AB68" si="22">AA50/$AA$68</f>
        <v>2.7053246314575554E-3</v>
      </c>
      <c r="AC50" s="49" t="s">
        <v>68</v>
      </c>
      <c r="AD50" s="73" t="s">
        <v>29</v>
      </c>
      <c r="AE50" s="324"/>
      <c r="AF50" s="363">
        <f>AE38*AF38</f>
        <v>4</v>
      </c>
      <c r="AG50" s="169">
        <f>'Var Vorgaben'!$C$36</f>
        <v>32.700000000000003</v>
      </c>
      <c r="AH50" s="93">
        <f>AF50*AG50</f>
        <v>130.80000000000001</v>
      </c>
      <c r="AI50" s="484">
        <f>AH50/$AH$68</f>
        <v>3.7484064036202628E-3</v>
      </c>
      <c r="AJ50" s="49" t="s">
        <v>68</v>
      </c>
      <c r="AK50" s="73" t="s">
        <v>29</v>
      </c>
      <c r="AL50" s="324"/>
      <c r="AM50" s="363">
        <f>AL38*AM38</f>
        <v>4</v>
      </c>
      <c r="AN50" s="169">
        <f>'Var Vorgaben'!$C$36</f>
        <v>32.700000000000003</v>
      </c>
      <c r="AO50" s="93">
        <f>AM50*AN50</f>
        <v>130.80000000000001</v>
      </c>
      <c r="AP50" s="484">
        <f>AO50/$AO$68</f>
        <v>3.4068967485418925E-3</v>
      </c>
      <c r="AQ50" s="49" t="s">
        <v>68</v>
      </c>
      <c r="AR50" s="73" t="s">
        <v>29</v>
      </c>
      <c r="AS50" s="324"/>
      <c r="AT50" s="363">
        <f>AS38*AT38</f>
        <v>4</v>
      </c>
      <c r="AU50" s="169">
        <f>'Var Vorgaben'!$C$36</f>
        <v>32.700000000000003</v>
      </c>
      <c r="AV50" s="93">
        <f>AT50*AU50</f>
        <v>130.80000000000001</v>
      </c>
      <c r="AW50" s="484">
        <f>AV50/$AV$68</f>
        <v>3.1245180104274703E-3</v>
      </c>
      <c r="AX50" s="49" t="s">
        <v>68</v>
      </c>
      <c r="AY50" s="73" t="s">
        <v>29</v>
      </c>
      <c r="AZ50" s="324"/>
      <c r="BA50" s="363">
        <f>AZ38*BA38</f>
        <v>4</v>
      </c>
      <c r="BB50" s="169">
        <f>'Var Vorgaben'!$C$36</f>
        <v>32.700000000000003</v>
      </c>
      <c r="BC50" s="93">
        <f>BA50*BB50</f>
        <v>130.80000000000001</v>
      </c>
      <c r="BD50" s="484">
        <f>BC50/$BC$68</f>
        <v>3.1260594338974718E-3</v>
      </c>
      <c r="BE50" s="49" t="s">
        <v>68</v>
      </c>
      <c r="BF50" s="73" t="s">
        <v>29</v>
      </c>
      <c r="BG50" s="324"/>
      <c r="BH50" s="363">
        <f>BG38*BH38</f>
        <v>4</v>
      </c>
      <c r="BI50" s="169">
        <f>'Var Vorgaben'!$C$36</f>
        <v>32.700000000000003</v>
      </c>
      <c r="BJ50" s="93">
        <f>BH50*BI50</f>
        <v>130.80000000000001</v>
      </c>
      <c r="BK50" s="484">
        <f>BJ50/$BJ$68</f>
        <v>3.1276162724054777E-3</v>
      </c>
      <c r="BL50" s="49" t="s">
        <v>68</v>
      </c>
      <c r="BM50" s="73" t="s">
        <v>29</v>
      </c>
      <c r="BN50" s="324"/>
      <c r="BO50" s="363">
        <f>BN38*BO38</f>
        <v>4</v>
      </c>
      <c r="BP50" s="169">
        <f>'Var Vorgaben'!$C$36</f>
        <v>32.700000000000003</v>
      </c>
      <c r="BQ50" s="93">
        <f>BO50*BP50</f>
        <v>130.80000000000001</v>
      </c>
      <c r="BR50" s="484">
        <f>BQ50/$BQ$68</f>
        <v>3.1291886949189125E-3</v>
      </c>
      <c r="BS50" s="49" t="s">
        <v>68</v>
      </c>
      <c r="BT50" s="73" t="s">
        <v>29</v>
      </c>
      <c r="BU50" s="324"/>
      <c r="BV50" s="363">
        <f>BU38*BV38</f>
        <v>4</v>
      </c>
      <c r="BW50" s="169">
        <f>'Var Vorgaben'!$C$36</f>
        <v>32.700000000000003</v>
      </c>
      <c r="BX50" s="93">
        <f>BV50*BW50</f>
        <v>130.80000000000001</v>
      </c>
      <c r="BY50" s="484">
        <f>BX50/$BX$68</f>
        <v>3.1307768725413088E-3</v>
      </c>
      <c r="BZ50" s="49" t="s">
        <v>68</v>
      </c>
      <c r="CA50" s="73" t="s">
        <v>29</v>
      </c>
      <c r="CB50" s="324"/>
      <c r="CC50" s="363">
        <f>CB38*CC38</f>
        <v>4</v>
      </c>
      <c r="CD50" s="169">
        <f>'Var Vorgaben'!$C$36</f>
        <v>32.700000000000003</v>
      </c>
      <c r="CE50" s="93">
        <f>CC50*CD50</f>
        <v>130.80000000000001</v>
      </c>
      <c r="CF50" s="484">
        <f>CE50/$CE$68</f>
        <v>3.1323809785447181E-3</v>
      </c>
      <c r="CG50" s="49" t="s">
        <v>68</v>
      </c>
      <c r="CH50" s="73" t="s">
        <v>29</v>
      </c>
      <c r="CI50" s="324"/>
      <c r="CJ50" s="363">
        <f>CI38*CJ38</f>
        <v>4</v>
      </c>
      <c r="CK50" s="169">
        <f>'Var Vorgaben'!$C$36</f>
        <v>32.700000000000003</v>
      </c>
      <c r="CL50" s="93">
        <f>CJ50*CK50</f>
        <v>130.80000000000001</v>
      </c>
      <c r="CM50" s="484">
        <f>CL50/$CL$68</f>
        <v>3.13400118840272E-3</v>
      </c>
      <c r="CN50" s="49" t="s">
        <v>68</v>
      </c>
      <c r="CO50" s="73" t="s">
        <v>29</v>
      </c>
      <c r="CP50" s="324"/>
      <c r="CQ50" s="363">
        <f>CP38*CQ38</f>
        <v>4</v>
      </c>
      <c r="CR50" s="169">
        <f>'Var Vorgaben'!$C$36</f>
        <v>32.700000000000003</v>
      </c>
      <c r="CS50" s="93">
        <f>CQ50*CR50</f>
        <v>130.80000000000001</v>
      </c>
      <c r="CT50" s="484">
        <f>CS50/$CS$68</f>
        <v>3.1356376798240401E-3</v>
      </c>
      <c r="CU50" s="49" t="s">
        <v>68</v>
      </c>
      <c r="CV50" s="73" t="s">
        <v>29</v>
      </c>
      <c r="CW50" s="324"/>
      <c r="CX50" s="363">
        <f>CW38*CX38</f>
        <v>4</v>
      </c>
      <c r="CY50" s="169">
        <f>'Var Vorgaben'!$C$36</f>
        <v>32.700000000000003</v>
      </c>
      <c r="CZ50" s="93">
        <f>CX50*CY50</f>
        <v>130.80000000000001</v>
      </c>
      <c r="DA50" s="484">
        <f>CZ50/$CZ$68</f>
        <v>3.1372906327867809E-3</v>
      </c>
      <c r="DB50" s="49" t="s">
        <v>68</v>
      </c>
      <c r="DC50" s="73" t="s">
        <v>29</v>
      </c>
      <c r="DD50" s="324"/>
      <c r="DE50" s="363">
        <f>DD38*DE38</f>
        <v>4</v>
      </c>
      <c r="DF50" s="169">
        <f>'Var Vorgaben'!$C$36</f>
        <v>32.700000000000003</v>
      </c>
      <c r="DG50" s="93">
        <f>DE50*DF50</f>
        <v>130.80000000000001</v>
      </c>
      <c r="DH50" s="484">
        <f>DG50/$DG$68</f>
        <v>2.7438727346600616E-3</v>
      </c>
    </row>
    <row r="51" spans="1:112" x14ac:dyDescent="0.2">
      <c r="B51" s="73" t="s">
        <v>167</v>
      </c>
      <c r="C51" s="73"/>
      <c r="D51" s="363">
        <f>((C36*D36)+(C37*D37))+'Var Vorgaben'!$B$91+'Var Vorgaben'!$C$91</f>
        <v>23</v>
      </c>
      <c r="E51" s="169">
        <f>'Var Vorgaben'!$C$36</f>
        <v>32.700000000000003</v>
      </c>
      <c r="F51" s="93">
        <f t="shared" si="16"/>
        <v>752.1</v>
      </c>
      <c r="G51" s="484">
        <f t="shared" si="17"/>
        <v>7.9492984185580831E-2</v>
      </c>
      <c r="H51" s="49"/>
      <c r="I51" s="73" t="s">
        <v>167</v>
      </c>
      <c r="J51" s="73"/>
      <c r="K51" s="363">
        <f>((J36*K36)+(J37*K37))+'Var Vorgaben'!$B$91+'Var Vorgaben'!$C$91</f>
        <v>24</v>
      </c>
      <c r="L51" s="169">
        <f>'Var Vorgaben'!$C$36</f>
        <v>32.700000000000003</v>
      </c>
      <c r="M51" s="93">
        <f t="shared" si="18"/>
        <v>784.80000000000007</v>
      </c>
      <c r="N51" s="484">
        <f t="shared" si="19"/>
        <v>5.707464843319613E-2</v>
      </c>
      <c r="O51" s="49"/>
      <c r="P51" s="73" t="s">
        <v>167</v>
      </c>
      <c r="Q51" s="73"/>
      <c r="R51" s="363">
        <f>((Q36*R36)+(Q37*R37))+'Var Vorgaben'!$B$91+'Var Vorgaben'!$C$91</f>
        <v>32</v>
      </c>
      <c r="S51" s="169">
        <f>'Var Vorgaben'!$C$36</f>
        <v>32.700000000000003</v>
      </c>
      <c r="T51" s="93">
        <f t="shared" si="20"/>
        <v>1046.4000000000001</v>
      </c>
      <c r="U51" s="484">
        <f t="shared" si="21"/>
        <v>5.1498595007422911E-2</v>
      </c>
      <c r="V51" s="49"/>
      <c r="W51" s="73" t="s">
        <v>167</v>
      </c>
      <c r="X51" s="73"/>
      <c r="Y51" s="363">
        <f>((X36*Y36)+(X37*Y37))+'Var Vorgaben'!$B$91+'Var Vorgaben'!$C$91</f>
        <v>32</v>
      </c>
      <c r="Z51" s="169">
        <f>'Var Vorgaben'!$C$36</f>
        <v>32.700000000000003</v>
      </c>
      <c r="AA51" s="93">
        <f t="shared" ref="AA51:AA62" si="23">Y51*Z51</f>
        <v>1046.4000000000001</v>
      </c>
      <c r="AB51" s="484">
        <f t="shared" si="22"/>
        <v>4.3285194103320886E-2</v>
      </c>
      <c r="AC51" s="49"/>
      <c r="AD51" s="73" t="s">
        <v>167</v>
      </c>
      <c r="AE51" s="73"/>
      <c r="AF51" s="363">
        <f>((AE36*AF36)+(AE37*AF37))+'Var Vorgaben'!$B$91+'Var Vorgaben'!$C$91</f>
        <v>32</v>
      </c>
      <c r="AG51" s="169">
        <f>'Var Vorgaben'!$C$36</f>
        <v>32.700000000000003</v>
      </c>
      <c r="AH51" s="93">
        <f t="shared" ref="AH51:AH62" si="24">AF51*AG51</f>
        <v>1046.4000000000001</v>
      </c>
      <c r="AI51" s="484">
        <f t="shared" ref="AI51:AI68" si="25">AH51/$AH$68</f>
        <v>2.9987251228962102E-2</v>
      </c>
      <c r="AJ51" s="80"/>
      <c r="AK51" s="73" t="s">
        <v>167</v>
      </c>
      <c r="AL51" s="73"/>
      <c r="AM51" s="363">
        <f>((AL36*AM36)+(AL37*AM37))+'Var Vorgaben'!$B$91+'Var Vorgaben'!$C$91</f>
        <v>32</v>
      </c>
      <c r="AN51" s="169">
        <f>'Var Vorgaben'!$C$36</f>
        <v>32.700000000000003</v>
      </c>
      <c r="AO51" s="93">
        <f t="shared" ref="AO51:AO62" si="26">AM51*AN51</f>
        <v>1046.4000000000001</v>
      </c>
      <c r="AP51" s="484">
        <f t="shared" ref="AP51:AP68" si="27">AO51/$AO$68</f>
        <v>2.725517398833514E-2</v>
      </c>
      <c r="AQ51" s="80"/>
      <c r="AR51" s="73" t="s">
        <v>167</v>
      </c>
      <c r="AS51" s="73"/>
      <c r="AT51" s="363">
        <f>((AS36*AT36)+(AS37*AT37))+'Var Vorgaben'!$B$91+'Var Vorgaben'!$C$91</f>
        <v>32</v>
      </c>
      <c r="AU51" s="169">
        <f>'Var Vorgaben'!$C$36</f>
        <v>32.700000000000003</v>
      </c>
      <c r="AV51" s="93">
        <f t="shared" ref="AV51:AV62" si="28">AT51*AU51</f>
        <v>1046.4000000000001</v>
      </c>
      <c r="AW51" s="484">
        <f t="shared" ref="AW51:AW68" si="29">AV51/$AV$68</f>
        <v>2.4996144083419762E-2</v>
      </c>
      <c r="AX51" s="80"/>
      <c r="AY51" s="73" t="s">
        <v>167</v>
      </c>
      <c r="AZ51" s="73"/>
      <c r="BA51" s="363">
        <f>((AZ36*BA36)+(AZ37*BA37))+'Var Vorgaben'!$B$91+'Var Vorgaben'!$C$91</f>
        <v>32</v>
      </c>
      <c r="BB51" s="169">
        <f>'Var Vorgaben'!$C$36</f>
        <v>32.700000000000003</v>
      </c>
      <c r="BC51" s="93">
        <f t="shared" ref="BC51:BC62" si="30">BA51*BB51</f>
        <v>1046.4000000000001</v>
      </c>
      <c r="BD51" s="484">
        <f t="shared" ref="BD51:BD68" si="31">BC51/$BC$68</f>
        <v>2.5008475471179775E-2</v>
      </c>
      <c r="BE51" s="80"/>
      <c r="BF51" s="73" t="s">
        <v>167</v>
      </c>
      <c r="BG51" s="73"/>
      <c r="BH51" s="363">
        <f>((BG36*BH36)+(BG37*BH37))+'Var Vorgaben'!$B$91+'Var Vorgaben'!$C$91</f>
        <v>32</v>
      </c>
      <c r="BI51" s="169">
        <f>'Var Vorgaben'!$C$36</f>
        <v>32.700000000000003</v>
      </c>
      <c r="BJ51" s="93">
        <f t="shared" ref="BJ51:BJ62" si="32">BH51*BI51</f>
        <v>1046.4000000000001</v>
      </c>
      <c r="BK51" s="484">
        <f t="shared" ref="BK51:BK68" si="33">BJ51/$BJ$68</f>
        <v>2.5020930179243821E-2</v>
      </c>
      <c r="BL51" s="80"/>
      <c r="BM51" s="73" t="s">
        <v>167</v>
      </c>
      <c r="BN51" s="73"/>
      <c r="BO51" s="363">
        <f>((BN36*BO36)+(BN37*BO37))+'Var Vorgaben'!$B$91+'Var Vorgaben'!$C$91</f>
        <v>32</v>
      </c>
      <c r="BP51" s="169">
        <f>'Var Vorgaben'!$C$36</f>
        <v>32.700000000000003</v>
      </c>
      <c r="BQ51" s="93">
        <f t="shared" ref="BQ51:BQ62" si="34">BO51*BP51</f>
        <v>1046.4000000000001</v>
      </c>
      <c r="BR51" s="484">
        <f t="shared" ref="BR51:BR68" si="35">BQ51/$BQ$68</f>
        <v>2.50335095593513E-2</v>
      </c>
      <c r="BS51" s="80"/>
      <c r="BT51" s="73" t="s">
        <v>167</v>
      </c>
      <c r="BU51" s="73"/>
      <c r="BV51" s="363">
        <f>((BU36*BV36)+(BU37*BV37))+'Var Vorgaben'!$B$91+'Var Vorgaben'!$C$91</f>
        <v>32</v>
      </c>
      <c r="BW51" s="169">
        <f>'Var Vorgaben'!$C$36</f>
        <v>32.700000000000003</v>
      </c>
      <c r="BX51" s="93">
        <f t="shared" ref="BX51:BX62" si="36">BV51*BW51</f>
        <v>1046.4000000000001</v>
      </c>
      <c r="BY51" s="484">
        <f t="shared" ref="BY51:BY68" si="37">BX51/$BX$68</f>
        <v>2.504621498033047E-2</v>
      </c>
      <c r="BZ51" s="80"/>
      <c r="CA51" s="73" t="s">
        <v>167</v>
      </c>
      <c r="CB51" s="73"/>
      <c r="CC51" s="363">
        <f>((CB36*CC36)+(CB37*CC37))+'Var Vorgaben'!$B$91+'Var Vorgaben'!$C$91</f>
        <v>32</v>
      </c>
      <c r="CD51" s="169">
        <f>'Var Vorgaben'!$C$36</f>
        <v>32.700000000000003</v>
      </c>
      <c r="CE51" s="93">
        <f t="shared" ref="CE51:CE62" si="38">CC51*CD51</f>
        <v>1046.4000000000001</v>
      </c>
      <c r="CF51" s="484">
        <f t="shared" ref="CF51:CF68" si="39">CE51/$CE$68</f>
        <v>2.5059047828357744E-2</v>
      </c>
      <c r="CG51" s="80"/>
      <c r="CH51" s="73" t="s">
        <v>167</v>
      </c>
      <c r="CI51" s="73"/>
      <c r="CJ51" s="363">
        <f>((CI36*CJ36)+(CI37*CJ37))+'Var Vorgaben'!$B$91+'Var Vorgaben'!$C$91</f>
        <v>32</v>
      </c>
      <c r="CK51" s="169">
        <f>'Var Vorgaben'!$C$36</f>
        <v>32.700000000000003</v>
      </c>
      <c r="CL51" s="93">
        <f t="shared" ref="CL51:CL62" si="40">CJ51*CK51</f>
        <v>1046.4000000000001</v>
      </c>
      <c r="CM51" s="484">
        <f t="shared" ref="CM51:CM68" si="41">CL51/$CL$68</f>
        <v>2.507200950722176E-2</v>
      </c>
      <c r="CN51" s="80"/>
      <c r="CO51" s="73" t="s">
        <v>167</v>
      </c>
      <c r="CP51" s="73"/>
      <c r="CQ51" s="363">
        <f>((CP36*CQ36)+(CP37*CQ37))+'Var Vorgaben'!$B$91+'Var Vorgaben'!$C$91</f>
        <v>32</v>
      </c>
      <c r="CR51" s="169">
        <f>'Var Vorgaben'!$C$36</f>
        <v>32.700000000000003</v>
      </c>
      <c r="CS51" s="93">
        <f t="shared" ref="CS51:CS62" si="42">CQ51*CR51</f>
        <v>1046.4000000000001</v>
      </c>
      <c r="CT51" s="484">
        <f t="shared" ref="CT51:CT68" si="43">CS51/$CS$68</f>
        <v>2.5085101438592321E-2</v>
      </c>
      <c r="CU51" s="80"/>
      <c r="CV51" s="73" t="s">
        <v>167</v>
      </c>
      <c r="CW51" s="73"/>
      <c r="CX51" s="363">
        <f>((CW36*CX36)+(CW37*CX37))+'Var Vorgaben'!$B$91+'Var Vorgaben'!$C$91</f>
        <v>32</v>
      </c>
      <c r="CY51" s="169">
        <f>'Var Vorgaben'!$C$36</f>
        <v>32.700000000000003</v>
      </c>
      <c r="CZ51" s="93">
        <f t="shared" ref="CZ51:CZ62" si="44">CX51*CY51</f>
        <v>1046.4000000000001</v>
      </c>
      <c r="DA51" s="484">
        <f t="shared" ref="DA51:DA68" si="45">CZ51/$CZ$68</f>
        <v>2.5098325062294247E-2</v>
      </c>
      <c r="DB51" s="80"/>
      <c r="DC51" s="73" t="s">
        <v>167</v>
      </c>
      <c r="DD51" s="73"/>
      <c r="DE51" s="363">
        <f>((DD36*DE36)+(DD37*DE37))+'Var Vorgaben'!$B$91+'Var Vorgaben'!$C$91</f>
        <v>32</v>
      </c>
      <c r="DF51" s="169">
        <f>'Var Vorgaben'!$C$36</f>
        <v>32.700000000000003</v>
      </c>
      <c r="DG51" s="93">
        <f t="shared" ref="DG51:DG62" si="46">DE51*DF51</f>
        <v>1046.4000000000001</v>
      </c>
      <c r="DH51" s="484">
        <f t="shared" ref="DH51:DH68" si="47">DG51/$DG$68</f>
        <v>2.1950981877280493E-2</v>
      </c>
    </row>
    <row r="52" spans="1:112" x14ac:dyDescent="0.2">
      <c r="B52" s="73" t="str">
        <f>'Var Vorgaben'!$D$89</f>
        <v>Baumerziehung (Sommer+Winter)</v>
      </c>
      <c r="C52" s="323"/>
      <c r="D52" s="363">
        <f>'Var Vorgaben'!D92</f>
        <v>20</v>
      </c>
      <c r="E52" s="169">
        <f>'Var Vorgaben'!$C$36</f>
        <v>32.700000000000003</v>
      </c>
      <c r="F52" s="93">
        <f t="shared" si="16"/>
        <v>654</v>
      </c>
      <c r="G52" s="484">
        <f t="shared" si="17"/>
        <v>6.912433407441812E-2</v>
      </c>
      <c r="H52" s="49"/>
      <c r="I52" s="73" t="str">
        <f>'Var Vorgaben'!$D$89</f>
        <v>Baumerziehung (Sommer+Winter)</v>
      </c>
      <c r="J52" s="323"/>
      <c r="K52" s="363">
        <f>'Var Vorgaben'!D93</f>
        <v>40</v>
      </c>
      <c r="L52" s="169">
        <f>'Var Vorgaben'!$C$36</f>
        <v>32.700000000000003</v>
      </c>
      <c r="M52" s="93">
        <f t="shared" si="18"/>
        <v>1308</v>
      </c>
      <c r="N52" s="484">
        <f t="shared" si="19"/>
        <v>9.5124414055326886E-2</v>
      </c>
      <c r="O52" s="49"/>
      <c r="P52" s="73" t="str">
        <f>'Var Vorgaben'!$D$89</f>
        <v>Baumerziehung (Sommer+Winter)</v>
      </c>
      <c r="Q52" s="323"/>
      <c r="R52" s="363">
        <f>'Var Vorgaben'!D94</f>
        <v>60</v>
      </c>
      <c r="S52" s="169">
        <f>'Var Vorgaben'!$C$36</f>
        <v>32.700000000000003</v>
      </c>
      <c r="T52" s="93">
        <f t="shared" si="20"/>
        <v>1962.0000000000002</v>
      </c>
      <c r="U52" s="484">
        <f t="shared" si="21"/>
        <v>9.6559865638917955E-2</v>
      </c>
      <c r="V52" s="49"/>
      <c r="W52" s="73" t="str">
        <f>'Var Vorgaben'!$D$89</f>
        <v>Baumerziehung (Sommer+Winter)</v>
      </c>
      <c r="X52" s="323"/>
      <c r="Y52" s="363">
        <f>'Var Vorgaben'!$D$94</f>
        <v>60</v>
      </c>
      <c r="Z52" s="169">
        <f>'Var Vorgaben'!$C$36</f>
        <v>32.700000000000003</v>
      </c>
      <c r="AA52" s="93">
        <f t="shared" si="23"/>
        <v>1962.0000000000002</v>
      </c>
      <c r="AB52" s="484">
        <f t="shared" si="22"/>
        <v>8.1159738943726661E-2</v>
      </c>
      <c r="AC52" s="49"/>
      <c r="AD52" s="73" t="str">
        <f>'Var Vorgaben'!$D$89</f>
        <v>Baumerziehung (Sommer+Winter)</v>
      </c>
      <c r="AE52" s="323"/>
      <c r="AF52" s="363">
        <f>'Var Vorgaben'!$D$91</f>
        <v>100</v>
      </c>
      <c r="AG52" s="169">
        <f>'Var Vorgaben'!$C$36</f>
        <v>32.700000000000003</v>
      </c>
      <c r="AH52" s="93">
        <f t="shared" si="24"/>
        <v>3270.0000000000005</v>
      </c>
      <c r="AI52" s="484">
        <f t="shared" si="25"/>
        <v>9.3710160090506575E-2</v>
      </c>
      <c r="AJ52" s="80"/>
      <c r="AK52" s="73" t="str">
        <f>'Var Vorgaben'!$D$89</f>
        <v>Baumerziehung (Sommer+Winter)</v>
      </c>
      <c r="AL52" s="323"/>
      <c r="AM52" s="363">
        <f>'Var Vorgaben'!$D$91</f>
        <v>100</v>
      </c>
      <c r="AN52" s="169">
        <f>'Var Vorgaben'!$C$36</f>
        <v>32.700000000000003</v>
      </c>
      <c r="AO52" s="93">
        <f t="shared" si="26"/>
        <v>3270.0000000000005</v>
      </c>
      <c r="AP52" s="484">
        <f t="shared" si="27"/>
        <v>8.5172418713547318E-2</v>
      </c>
      <c r="AQ52" s="80"/>
      <c r="AR52" s="73" t="str">
        <f>'Var Vorgaben'!$D$89</f>
        <v>Baumerziehung (Sommer+Winter)</v>
      </c>
      <c r="AS52" s="323"/>
      <c r="AT52" s="363">
        <f>'Var Vorgaben'!$D$91</f>
        <v>100</v>
      </c>
      <c r="AU52" s="169">
        <f>'Var Vorgaben'!$C$36</f>
        <v>32.700000000000003</v>
      </c>
      <c r="AV52" s="93">
        <f t="shared" si="28"/>
        <v>3270.0000000000005</v>
      </c>
      <c r="AW52" s="484">
        <f t="shared" si="29"/>
        <v>7.8112950260686764E-2</v>
      </c>
      <c r="AX52" s="80"/>
      <c r="AY52" s="73" t="str">
        <f>'Var Vorgaben'!$D$89</f>
        <v>Baumerziehung (Sommer+Winter)</v>
      </c>
      <c r="AZ52" s="323"/>
      <c r="BA52" s="363">
        <f>'Var Vorgaben'!$D$91</f>
        <v>100</v>
      </c>
      <c r="BB52" s="169">
        <f>'Var Vorgaben'!$C$36</f>
        <v>32.700000000000003</v>
      </c>
      <c r="BC52" s="93">
        <f t="shared" si="30"/>
        <v>3270.0000000000005</v>
      </c>
      <c r="BD52" s="484">
        <f t="shared" si="31"/>
        <v>7.8151485847436794E-2</v>
      </c>
      <c r="BE52" s="80"/>
      <c r="BF52" s="73" t="str">
        <f>'Var Vorgaben'!$D$89</f>
        <v>Baumerziehung (Sommer+Winter)</v>
      </c>
      <c r="BG52" s="323"/>
      <c r="BH52" s="363">
        <f>'Var Vorgaben'!$D$91</f>
        <v>100</v>
      </c>
      <c r="BI52" s="169">
        <f>'Var Vorgaben'!$C$36</f>
        <v>32.700000000000003</v>
      </c>
      <c r="BJ52" s="93">
        <f t="shared" si="32"/>
        <v>3270.0000000000005</v>
      </c>
      <c r="BK52" s="484">
        <f t="shared" si="33"/>
        <v>7.8190406810136948E-2</v>
      </c>
      <c r="BL52" s="80"/>
      <c r="BM52" s="73" t="str">
        <f>'Var Vorgaben'!$D$89</f>
        <v>Baumerziehung (Sommer+Winter)</v>
      </c>
      <c r="BN52" s="323"/>
      <c r="BO52" s="363">
        <f>'Var Vorgaben'!$D$91</f>
        <v>100</v>
      </c>
      <c r="BP52" s="169">
        <f>'Var Vorgaben'!$C$36</f>
        <v>32.700000000000003</v>
      </c>
      <c r="BQ52" s="93">
        <f t="shared" si="34"/>
        <v>3270.0000000000005</v>
      </c>
      <c r="BR52" s="484">
        <f t="shared" si="35"/>
        <v>7.8229717372972823E-2</v>
      </c>
      <c r="BS52" s="80"/>
      <c r="BT52" s="73" t="str">
        <f>'Var Vorgaben'!$D$89</f>
        <v>Baumerziehung (Sommer+Winter)</v>
      </c>
      <c r="BU52" s="323"/>
      <c r="BV52" s="363">
        <f>'Var Vorgaben'!$D$91</f>
        <v>100</v>
      </c>
      <c r="BW52" s="169">
        <f>'Var Vorgaben'!$C$36</f>
        <v>32.700000000000003</v>
      </c>
      <c r="BX52" s="93">
        <f t="shared" si="36"/>
        <v>3270.0000000000005</v>
      </c>
      <c r="BY52" s="484">
        <f t="shared" si="37"/>
        <v>7.8269421813532733E-2</v>
      </c>
      <c r="BZ52" s="80"/>
      <c r="CA52" s="73" t="str">
        <f>'Var Vorgaben'!$D$89</f>
        <v>Baumerziehung (Sommer+Winter)</v>
      </c>
      <c r="CB52" s="323"/>
      <c r="CC52" s="363">
        <f>'Var Vorgaben'!$D$91</f>
        <v>100</v>
      </c>
      <c r="CD52" s="169">
        <f>'Var Vorgaben'!$C$36</f>
        <v>32.700000000000003</v>
      </c>
      <c r="CE52" s="93">
        <f t="shared" si="38"/>
        <v>3270.0000000000005</v>
      </c>
      <c r="CF52" s="484">
        <f t="shared" si="39"/>
        <v>7.8309524463617955E-2</v>
      </c>
      <c r="CG52" s="80"/>
      <c r="CH52" s="73" t="str">
        <f>'Var Vorgaben'!$D$89</f>
        <v>Baumerziehung (Sommer+Winter)</v>
      </c>
      <c r="CI52" s="323"/>
      <c r="CJ52" s="363">
        <f>'Var Vorgaben'!$D$91</f>
        <v>100</v>
      </c>
      <c r="CK52" s="169">
        <f>'Var Vorgaben'!$C$36</f>
        <v>32.700000000000003</v>
      </c>
      <c r="CL52" s="93">
        <f t="shared" si="40"/>
        <v>3270.0000000000005</v>
      </c>
      <c r="CM52" s="484">
        <f t="shared" si="41"/>
        <v>7.8350029710068006E-2</v>
      </c>
      <c r="CN52" s="80"/>
      <c r="CO52" s="73" t="str">
        <f>'Var Vorgaben'!$D$89</f>
        <v>Baumerziehung (Sommer+Winter)</v>
      </c>
      <c r="CP52" s="323"/>
      <c r="CQ52" s="363">
        <f>'Var Vorgaben'!$D$91</f>
        <v>100</v>
      </c>
      <c r="CR52" s="169">
        <f>'Var Vorgaben'!$C$36</f>
        <v>32.700000000000003</v>
      </c>
      <c r="CS52" s="93">
        <f t="shared" si="42"/>
        <v>3270.0000000000005</v>
      </c>
      <c r="CT52" s="484">
        <f t="shared" si="43"/>
        <v>7.839094199560101E-2</v>
      </c>
      <c r="CU52" s="80"/>
      <c r="CV52" s="73" t="str">
        <f>'Var Vorgaben'!$D$89</f>
        <v>Baumerziehung (Sommer+Winter)</v>
      </c>
      <c r="CW52" s="323"/>
      <c r="CX52" s="363">
        <f>'Var Vorgaben'!$D$91</f>
        <v>100</v>
      </c>
      <c r="CY52" s="169">
        <f>'Var Vorgaben'!$C$36</f>
        <v>32.700000000000003</v>
      </c>
      <c r="CZ52" s="93">
        <f t="shared" si="44"/>
        <v>3270.0000000000005</v>
      </c>
      <c r="DA52" s="484">
        <f t="shared" si="45"/>
        <v>7.8432265819669528E-2</v>
      </c>
      <c r="DB52" s="80"/>
      <c r="DC52" s="73" t="str">
        <f>'Var Vorgaben'!$D$89</f>
        <v>Baumerziehung (Sommer+Winter)</v>
      </c>
      <c r="DD52" s="323"/>
      <c r="DE52" s="363">
        <f>'Var Vorgaben'!$D$91</f>
        <v>100</v>
      </c>
      <c r="DF52" s="169">
        <f>'Var Vorgaben'!$C$36</f>
        <v>32.700000000000003</v>
      </c>
      <c r="DG52" s="93">
        <f t="shared" si="46"/>
        <v>3270.0000000000005</v>
      </c>
      <c r="DH52" s="484">
        <f t="shared" si="47"/>
        <v>6.8596818366501541E-2</v>
      </c>
    </row>
    <row r="53" spans="1:112" x14ac:dyDescent="0.2">
      <c r="B53" s="73" t="s">
        <v>105</v>
      </c>
      <c r="C53" s="323"/>
      <c r="D53" s="363">
        <f>(C41*D41)+(C42*D42)</f>
        <v>0.4</v>
      </c>
      <c r="E53" s="169">
        <f>'Var Vorgaben'!$C$36</f>
        <v>32.700000000000003</v>
      </c>
      <c r="F53" s="93">
        <f t="shared" si="16"/>
        <v>13.080000000000002</v>
      </c>
      <c r="G53" s="484">
        <f t="shared" si="17"/>
        <v>1.3824866814883625E-3</v>
      </c>
      <c r="I53" s="73" t="s">
        <v>105</v>
      </c>
      <c r="J53" s="323"/>
      <c r="K53" s="363">
        <f>(J41*K41)+(J42*K42)</f>
        <v>0.4</v>
      </c>
      <c r="L53" s="169">
        <f>'Var Vorgaben'!$C$36</f>
        <v>32.700000000000003</v>
      </c>
      <c r="M53" s="93">
        <f t="shared" si="18"/>
        <v>13.080000000000002</v>
      </c>
      <c r="N53" s="484">
        <f t="shared" si="19"/>
        <v>9.5124414055326896E-4</v>
      </c>
      <c r="O53" s="49"/>
      <c r="P53" s="73" t="s">
        <v>105</v>
      </c>
      <c r="Q53" s="323"/>
      <c r="R53" s="363">
        <f>(Q41*R41)+(Q42*R42)</f>
        <v>0.4</v>
      </c>
      <c r="S53" s="169">
        <f>'Var Vorgaben'!$C$36</f>
        <v>32.700000000000003</v>
      </c>
      <c r="T53" s="93">
        <f t="shared" si="20"/>
        <v>13.080000000000002</v>
      </c>
      <c r="U53" s="484">
        <f t="shared" si="21"/>
        <v>6.4373243759278638E-4</v>
      </c>
      <c r="V53" s="49"/>
      <c r="W53" s="73" t="s">
        <v>105</v>
      </c>
      <c r="X53" s="323"/>
      <c r="Y53" s="363">
        <f>(X41*Y41)+(X42*Y42)</f>
        <v>0.4</v>
      </c>
      <c r="Z53" s="169">
        <f>'Var Vorgaben'!$C$36</f>
        <v>32.700000000000003</v>
      </c>
      <c r="AA53" s="93">
        <f t="shared" si="23"/>
        <v>13.080000000000002</v>
      </c>
      <c r="AB53" s="484">
        <f t="shared" si="22"/>
        <v>5.4106492629151111E-4</v>
      </c>
      <c r="AC53" s="49"/>
      <c r="AD53" s="73" t="s">
        <v>105</v>
      </c>
      <c r="AE53" s="323"/>
      <c r="AF53" s="363">
        <f>(AE41*AF41)+(AE42*AF42)</f>
        <v>0.4</v>
      </c>
      <c r="AG53" s="169">
        <f>'Var Vorgaben'!$C$36</f>
        <v>32.700000000000003</v>
      </c>
      <c r="AH53" s="93">
        <f t="shared" si="24"/>
        <v>13.080000000000002</v>
      </c>
      <c r="AI53" s="484">
        <f t="shared" si="25"/>
        <v>3.748406403620263E-4</v>
      </c>
      <c r="AJ53" s="80"/>
      <c r="AK53" s="73" t="s">
        <v>105</v>
      </c>
      <c r="AL53" s="323"/>
      <c r="AM53" s="363">
        <f>(AL41*AM41)+(AL42*AM42)</f>
        <v>0.4</v>
      </c>
      <c r="AN53" s="169">
        <f>'Var Vorgaben'!$C$36</f>
        <v>32.700000000000003</v>
      </c>
      <c r="AO53" s="93">
        <f t="shared" si="26"/>
        <v>13.080000000000002</v>
      </c>
      <c r="AP53" s="484">
        <f t="shared" si="27"/>
        <v>3.4068967485418927E-4</v>
      </c>
      <c r="AQ53" s="80"/>
      <c r="AR53" s="73" t="s">
        <v>105</v>
      </c>
      <c r="AS53" s="323"/>
      <c r="AT53" s="363">
        <f>(AS41*AT41)+(AS42*AT42)</f>
        <v>0.4</v>
      </c>
      <c r="AU53" s="169">
        <f>'Var Vorgaben'!$C$36</f>
        <v>32.700000000000003</v>
      </c>
      <c r="AV53" s="93">
        <f t="shared" si="28"/>
        <v>13.080000000000002</v>
      </c>
      <c r="AW53" s="484">
        <f t="shared" si="29"/>
        <v>3.1245180104274705E-4</v>
      </c>
      <c r="AX53" s="80"/>
      <c r="AY53" s="73" t="s">
        <v>105</v>
      </c>
      <c r="AZ53" s="323"/>
      <c r="BA53" s="363">
        <f>(AZ41*BA41)+(AZ42*BA42)</f>
        <v>0.4</v>
      </c>
      <c r="BB53" s="169">
        <f>'Var Vorgaben'!$C$36</f>
        <v>32.700000000000003</v>
      </c>
      <c r="BC53" s="93">
        <f t="shared" si="30"/>
        <v>13.080000000000002</v>
      </c>
      <c r="BD53" s="484">
        <f t="shared" si="31"/>
        <v>3.1260594338974716E-4</v>
      </c>
      <c r="BE53" s="80"/>
      <c r="BF53" s="73" t="s">
        <v>105</v>
      </c>
      <c r="BG53" s="323"/>
      <c r="BH53" s="363">
        <f>(BG41*BH41)+(BG42*BH42)</f>
        <v>0.4</v>
      </c>
      <c r="BI53" s="169">
        <f>'Var Vorgaben'!$C$36</f>
        <v>32.700000000000003</v>
      </c>
      <c r="BJ53" s="93">
        <f t="shared" si="32"/>
        <v>13.080000000000002</v>
      </c>
      <c r="BK53" s="484">
        <f t="shared" si="33"/>
        <v>3.127616272405478E-4</v>
      </c>
      <c r="BL53" s="80"/>
      <c r="BM53" s="73" t="s">
        <v>105</v>
      </c>
      <c r="BN53" s="323"/>
      <c r="BO53" s="363">
        <f>(BN41*BO41)+(BN42*BO42)</f>
        <v>0.4</v>
      </c>
      <c r="BP53" s="169">
        <f>'Var Vorgaben'!$C$36</f>
        <v>32.700000000000003</v>
      </c>
      <c r="BQ53" s="93">
        <f t="shared" si="34"/>
        <v>13.080000000000002</v>
      </c>
      <c r="BR53" s="484">
        <f t="shared" si="35"/>
        <v>3.1291886949189128E-4</v>
      </c>
      <c r="BS53" s="80"/>
      <c r="BT53" s="73" t="s">
        <v>105</v>
      </c>
      <c r="BU53" s="323"/>
      <c r="BV53" s="363">
        <f>(BU41*BV41)+(BU42*BV42)</f>
        <v>0.4</v>
      </c>
      <c r="BW53" s="169">
        <f>'Var Vorgaben'!$C$36</f>
        <v>32.700000000000003</v>
      </c>
      <c r="BX53" s="93">
        <f t="shared" si="36"/>
        <v>13.080000000000002</v>
      </c>
      <c r="BY53" s="484">
        <f t="shared" si="37"/>
        <v>3.1307768725413092E-4</v>
      </c>
      <c r="BZ53" s="80"/>
      <c r="CA53" s="73" t="s">
        <v>105</v>
      </c>
      <c r="CB53" s="323"/>
      <c r="CC53" s="363">
        <f>(CB41*CC41)+(CB42*CC42)</f>
        <v>0.4</v>
      </c>
      <c r="CD53" s="169">
        <f>'Var Vorgaben'!$C$36</f>
        <v>32.700000000000003</v>
      </c>
      <c r="CE53" s="93">
        <f t="shared" si="38"/>
        <v>13.080000000000002</v>
      </c>
      <c r="CF53" s="484">
        <f t="shared" si="39"/>
        <v>3.1323809785447184E-4</v>
      </c>
      <c r="CG53" s="80"/>
      <c r="CH53" s="73" t="s">
        <v>105</v>
      </c>
      <c r="CI53" s="323"/>
      <c r="CJ53" s="363">
        <f>(CI41*CJ41)+(CI42*CJ42)</f>
        <v>0.4</v>
      </c>
      <c r="CK53" s="169">
        <f>'Var Vorgaben'!$C$36</f>
        <v>32.700000000000003</v>
      </c>
      <c r="CL53" s="93">
        <f t="shared" si="40"/>
        <v>13.080000000000002</v>
      </c>
      <c r="CM53" s="484">
        <f t="shared" si="41"/>
        <v>3.1340011884027202E-4</v>
      </c>
      <c r="CN53" s="80"/>
      <c r="CO53" s="73" t="s">
        <v>105</v>
      </c>
      <c r="CP53" s="323"/>
      <c r="CQ53" s="363">
        <f>(CP41*CQ41)+(CP42*CQ42)</f>
        <v>0.4</v>
      </c>
      <c r="CR53" s="169">
        <f>'Var Vorgaben'!$C$36</f>
        <v>32.700000000000003</v>
      </c>
      <c r="CS53" s="93">
        <f t="shared" si="42"/>
        <v>13.080000000000002</v>
      </c>
      <c r="CT53" s="484">
        <f t="shared" si="43"/>
        <v>3.1356376798240406E-4</v>
      </c>
      <c r="CU53" s="80"/>
      <c r="CV53" s="73" t="s">
        <v>105</v>
      </c>
      <c r="CW53" s="323"/>
      <c r="CX53" s="363">
        <f>(CW41*CX41)+(CW42*CX42)</f>
        <v>0.4</v>
      </c>
      <c r="CY53" s="169">
        <f>'Var Vorgaben'!$C$36</f>
        <v>32.700000000000003</v>
      </c>
      <c r="CZ53" s="93">
        <f t="shared" si="44"/>
        <v>13.080000000000002</v>
      </c>
      <c r="DA53" s="484">
        <f t="shared" si="45"/>
        <v>3.1372906327867815E-4</v>
      </c>
      <c r="DB53" s="80"/>
      <c r="DC53" s="73" t="s">
        <v>105</v>
      </c>
      <c r="DD53" s="323"/>
      <c r="DE53" s="363">
        <f>(DD41*DE41)+(DD42*DE42)</f>
        <v>0.4</v>
      </c>
      <c r="DF53" s="169">
        <f>'Var Vorgaben'!$C$36</f>
        <v>32.700000000000003</v>
      </c>
      <c r="DG53" s="93">
        <f t="shared" si="46"/>
        <v>13.080000000000002</v>
      </c>
      <c r="DH53" s="484">
        <f t="shared" si="47"/>
        <v>2.743872734660062E-4</v>
      </c>
    </row>
    <row r="54" spans="1:112" x14ac:dyDescent="0.2">
      <c r="B54" s="502" t="str">
        <f>'Var Vorgaben'!E89</f>
        <v>Behangsregulierung (von Hand)</v>
      </c>
      <c r="C54" s="73"/>
      <c r="D54" s="363">
        <f>'Var Vorgaben'!E92</f>
        <v>0</v>
      </c>
      <c r="E54" s="169">
        <f>'Var Vorgaben'!$C$37</f>
        <v>22.75</v>
      </c>
      <c r="F54" s="93">
        <f t="shared" si="16"/>
        <v>0</v>
      </c>
      <c r="G54" s="484">
        <f t="shared" si="17"/>
        <v>0</v>
      </c>
      <c r="H54" s="49"/>
      <c r="I54" s="503" t="str">
        <f>'Var Vorgaben'!$E$89</f>
        <v>Behangsregulierung (von Hand)</v>
      </c>
      <c r="J54" s="73"/>
      <c r="K54" s="363">
        <f>'Var Vorgaben'!E93</f>
        <v>0</v>
      </c>
      <c r="L54" s="169">
        <f>'Var Vorgaben'!$C$37</f>
        <v>22.75</v>
      </c>
      <c r="M54" s="93">
        <f t="shared" si="18"/>
        <v>0</v>
      </c>
      <c r="N54" s="484">
        <f t="shared" si="19"/>
        <v>0</v>
      </c>
      <c r="O54" s="49"/>
      <c r="P54" s="503" t="str">
        <f>'Var Vorgaben'!$E$89</f>
        <v>Behangsregulierung (von Hand)</v>
      </c>
      <c r="Q54" s="73"/>
      <c r="R54" s="363">
        <f>'Var Vorgaben'!$E$94</f>
        <v>60</v>
      </c>
      <c r="S54" s="169">
        <f>'Var Vorgaben'!$C$37</f>
        <v>22.75</v>
      </c>
      <c r="T54" s="93">
        <f t="shared" si="20"/>
        <v>1365</v>
      </c>
      <c r="U54" s="484">
        <f t="shared" si="21"/>
        <v>6.7178499794660035E-2</v>
      </c>
      <c r="V54" s="49"/>
      <c r="W54" s="503" t="str">
        <f>'Var Vorgaben'!$E$89</f>
        <v>Behangsregulierung (von Hand)</v>
      </c>
      <c r="X54" s="73"/>
      <c r="Y54" s="363">
        <f>'Var Vorgaben'!$E$94</f>
        <v>60</v>
      </c>
      <c r="Z54" s="169">
        <f>'Var Vorgaben'!$C$37</f>
        <v>22.75</v>
      </c>
      <c r="AA54" s="93">
        <f t="shared" si="23"/>
        <v>1365</v>
      </c>
      <c r="AB54" s="484">
        <f t="shared" si="22"/>
        <v>5.6464344372164563E-2</v>
      </c>
      <c r="AC54" s="49"/>
      <c r="AD54" s="503" t="str">
        <f>'Var Vorgaben'!$E$89</f>
        <v>Behangsregulierung (von Hand)</v>
      </c>
      <c r="AE54" s="73"/>
      <c r="AF54" s="363">
        <f>'Var Vorgaben'!$E$91</f>
        <v>100</v>
      </c>
      <c r="AG54" s="169">
        <f>'Var Vorgaben'!$C$37</f>
        <v>22.75</v>
      </c>
      <c r="AH54" s="93">
        <f t="shared" si="24"/>
        <v>2275</v>
      </c>
      <c r="AI54" s="484">
        <f t="shared" si="25"/>
        <v>6.5195906484985452E-2</v>
      </c>
      <c r="AJ54" s="80"/>
      <c r="AK54" s="503" t="str">
        <f>'Var Vorgaben'!$E$89</f>
        <v>Behangsregulierung (von Hand)</v>
      </c>
      <c r="AL54" s="73"/>
      <c r="AM54" s="363">
        <f>'Var Vorgaben'!$E$91</f>
        <v>100</v>
      </c>
      <c r="AN54" s="169">
        <f>'Var Vorgaben'!$C$37</f>
        <v>22.75</v>
      </c>
      <c r="AO54" s="93">
        <f t="shared" si="26"/>
        <v>2275</v>
      </c>
      <c r="AP54" s="484">
        <f t="shared" si="27"/>
        <v>5.9256040542299729E-2</v>
      </c>
      <c r="AQ54" s="80"/>
      <c r="AR54" s="503" t="str">
        <f>'Var Vorgaben'!$E$89</f>
        <v>Behangsregulierung (von Hand)</v>
      </c>
      <c r="AS54" s="73"/>
      <c r="AT54" s="363">
        <f>'Var Vorgaben'!$E$91</f>
        <v>100</v>
      </c>
      <c r="AU54" s="169">
        <f>'Var Vorgaben'!$C$37</f>
        <v>22.75</v>
      </c>
      <c r="AV54" s="93">
        <f t="shared" si="28"/>
        <v>2275</v>
      </c>
      <c r="AW54" s="484">
        <f t="shared" si="29"/>
        <v>5.4344636649254548E-2</v>
      </c>
      <c r="AX54" s="80"/>
      <c r="AY54" s="503" t="str">
        <f>'Var Vorgaben'!$E$89</f>
        <v>Behangsregulierung (von Hand)</v>
      </c>
      <c r="AZ54" s="73"/>
      <c r="BA54" s="363">
        <f>'Var Vorgaben'!$E$91</f>
        <v>100</v>
      </c>
      <c r="BB54" s="169">
        <f>'Var Vorgaben'!$C$37</f>
        <v>22.75</v>
      </c>
      <c r="BC54" s="93">
        <f t="shared" si="30"/>
        <v>2275</v>
      </c>
      <c r="BD54" s="484">
        <f t="shared" si="31"/>
        <v>5.4371446575816114E-2</v>
      </c>
      <c r="BE54" s="80"/>
      <c r="BF54" s="503" t="str">
        <f>'Var Vorgaben'!$E$89</f>
        <v>Behangsregulierung (von Hand)</v>
      </c>
      <c r="BG54" s="73"/>
      <c r="BH54" s="363">
        <f>'Var Vorgaben'!$E$91</f>
        <v>100</v>
      </c>
      <c r="BI54" s="169">
        <f>'Var Vorgaben'!$C$37</f>
        <v>22.75</v>
      </c>
      <c r="BJ54" s="93">
        <f t="shared" si="32"/>
        <v>2275</v>
      </c>
      <c r="BK54" s="484">
        <f t="shared" si="33"/>
        <v>5.4398524615615146E-2</v>
      </c>
      <c r="BL54" s="80"/>
      <c r="BM54" s="503" t="str">
        <f>'Var Vorgaben'!$E$89</f>
        <v>Behangsregulierung (von Hand)</v>
      </c>
      <c r="BN54" s="73"/>
      <c r="BO54" s="363">
        <f>'Var Vorgaben'!$E$91</f>
        <v>100</v>
      </c>
      <c r="BP54" s="169">
        <f>'Var Vorgaben'!$C$37</f>
        <v>22.75</v>
      </c>
      <c r="BQ54" s="93">
        <f t="shared" si="34"/>
        <v>2275</v>
      </c>
      <c r="BR54" s="484">
        <f t="shared" si="35"/>
        <v>5.4425873707496374E-2</v>
      </c>
      <c r="BS54" s="80"/>
      <c r="BT54" s="503" t="str">
        <f>'Var Vorgaben'!$E$89</f>
        <v>Behangsregulierung (von Hand)</v>
      </c>
      <c r="BU54" s="73"/>
      <c r="BV54" s="363">
        <f>'Var Vorgaben'!$E$91</f>
        <v>100</v>
      </c>
      <c r="BW54" s="169">
        <f>'Var Vorgaben'!$C$37</f>
        <v>22.75</v>
      </c>
      <c r="BX54" s="93">
        <f t="shared" si="36"/>
        <v>2275</v>
      </c>
      <c r="BY54" s="484">
        <f t="shared" si="37"/>
        <v>5.445349682745778E-2</v>
      </c>
      <c r="BZ54" s="80"/>
      <c r="CA54" s="503" t="str">
        <f>'Var Vorgaben'!$E$89</f>
        <v>Behangsregulierung (von Hand)</v>
      </c>
      <c r="CB54" s="73"/>
      <c r="CC54" s="363">
        <f>'Var Vorgaben'!$E$91</f>
        <v>100</v>
      </c>
      <c r="CD54" s="169">
        <f>'Var Vorgaben'!$C$37</f>
        <v>22.75</v>
      </c>
      <c r="CE54" s="93">
        <f t="shared" si="38"/>
        <v>2275</v>
      </c>
      <c r="CF54" s="484">
        <f t="shared" si="39"/>
        <v>5.4481396989214323E-2</v>
      </c>
      <c r="CG54" s="80"/>
      <c r="CH54" s="503" t="str">
        <f>'Var Vorgaben'!$E$89</f>
        <v>Behangsregulierung (von Hand)</v>
      </c>
      <c r="CI54" s="73"/>
      <c r="CJ54" s="363">
        <f>'Var Vorgaben'!$E$91</f>
        <v>100</v>
      </c>
      <c r="CK54" s="169">
        <f>'Var Vorgaben'!$C$37</f>
        <v>22.75</v>
      </c>
      <c r="CL54" s="93">
        <f t="shared" si="40"/>
        <v>2275</v>
      </c>
      <c r="CM54" s="484">
        <f t="shared" si="41"/>
        <v>5.4509577244772081E-2</v>
      </c>
      <c r="CN54" s="80"/>
      <c r="CO54" s="503" t="str">
        <f>'Var Vorgaben'!$E$89</f>
        <v>Behangsregulierung (von Hand)</v>
      </c>
      <c r="CP54" s="73"/>
      <c r="CQ54" s="363">
        <f>'Var Vorgaben'!$E$91</f>
        <v>100</v>
      </c>
      <c r="CR54" s="169">
        <f>'Var Vorgaben'!$C$37</f>
        <v>22.75</v>
      </c>
      <c r="CS54" s="93">
        <f t="shared" si="42"/>
        <v>2275</v>
      </c>
      <c r="CT54" s="484">
        <f t="shared" si="43"/>
        <v>5.4538040685012931E-2</v>
      </c>
      <c r="CU54" s="80"/>
      <c r="CV54" s="503" t="str">
        <f>'Var Vorgaben'!$E$89</f>
        <v>Behangsregulierung (von Hand)</v>
      </c>
      <c r="CW54" s="73"/>
      <c r="CX54" s="363">
        <f>'Var Vorgaben'!$E$91</f>
        <v>100</v>
      </c>
      <c r="CY54" s="169">
        <f>'Var Vorgaben'!$C$37</f>
        <v>22.75</v>
      </c>
      <c r="CZ54" s="93">
        <f t="shared" si="44"/>
        <v>2275</v>
      </c>
      <c r="DA54" s="484">
        <f t="shared" si="45"/>
        <v>5.4566790440289954E-2</v>
      </c>
      <c r="DB54" s="80"/>
      <c r="DC54" s="503" t="str">
        <f>'Var Vorgaben'!$E$89</f>
        <v>Behangsregulierung (von Hand)</v>
      </c>
      <c r="DD54" s="73"/>
      <c r="DE54" s="363">
        <f>'Var Vorgaben'!$E$91</f>
        <v>100</v>
      </c>
      <c r="DF54" s="169">
        <f>'Var Vorgaben'!$C$37</f>
        <v>22.75</v>
      </c>
      <c r="DG54" s="93">
        <f t="shared" si="46"/>
        <v>2275</v>
      </c>
      <c r="DH54" s="484">
        <f t="shared" si="47"/>
        <v>4.7724086172413145E-2</v>
      </c>
    </row>
    <row r="55" spans="1:112" x14ac:dyDescent="0.2">
      <c r="B55" s="670" t="s">
        <v>399</v>
      </c>
      <c r="C55" s="326">
        <f>'Var Vorgaben'!$C$177</f>
        <v>0</v>
      </c>
      <c r="D55" s="672">
        <v>15</v>
      </c>
      <c r="E55" s="169">
        <f>'Var Vorgaben'!$C$37</f>
        <v>22.75</v>
      </c>
      <c r="F55" s="93">
        <f t="shared" ref="F55:F60" si="48">D55*E55*C55</f>
        <v>0</v>
      </c>
      <c r="G55" s="484">
        <f t="shared" si="17"/>
        <v>0</v>
      </c>
      <c r="H55" s="49"/>
      <c r="I55" s="670" t="s">
        <v>399</v>
      </c>
      <c r="J55" s="326">
        <f>'Var Vorgaben'!$C$177</f>
        <v>0</v>
      </c>
      <c r="K55" s="672">
        <v>15</v>
      </c>
      <c r="L55" s="169">
        <f>'Var Vorgaben'!$C$37</f>
        <v>22.75</v>
      </c>
      <c r="M55" s="93">
        <f t="shared" ref="M55:M60" si="49">K55*L55*J55</f>
        <v>0</v>
      </c>
      <c r="N55" s="484">
        <f t="shared" si="19"/>
        <v>0</v>
      </c>
      <c r="O55" s="49"/>
      <c r="P55" s="670" t="s">
        <v>399</v>
      </c>
      <c r="Q55" s="326">
        <f>'Var Vorgaben'!$C$177</f>
        <v>0</v>
      </c>
      <c r="R55" s="672">
        <v>15</v>
      </c>
      <c r="S55" s="169">
        <f>'Var Vorgaben'!$C$37</f>
        <v>22.75</v>
      </c>
      <c r="T55" s="93">
        <f t="shared" ref="T55:T60" si="50">R55*S55*Q55</f>
        <v>0</v>
      </c>
      <c r="U55" s="484">
        <f t="shared" si="21"/>
        <v>0</v>
      </c>
      <c r="V55" s="49"/>
      <c r="W55" s="670" t="s">
        <v>399</v>
      </c>
      <c r="X55" s="326">
        <f>'Var Vorgaben'!$C$177</f>
        <v>0</v>
      </c>
      <c r="Y55" s="672">
        <v>15</v>
      </c>
      <c r="Z55" s="169">
        <f>'Var Vorgaben'!$C$37</f>
        <v>22.75</v>
      </c>
      <c r="AA55" s="93">
        <f t="shared" ref="AA55:AA60" si="51">Y55*Z55*X55</f>
        <v>0</v>
      </c>
      <c r="AB55" s="484">
        <f t="shared" si="22"/>
        <v>0</v>
      </c>
      <c r="AC55" s="49"/>
      <c r="AD55" s="670" t="s">
        <v>399</v>
      </c>
      <c r="AE55" s="326">
        <f>'Var Vorgaben'!$C$177</f>
        <v>0</v>
      </c>
      <c r="AF55" s="672">
        <v>15</v>
      </c>
      <c r="AG55" s="169">
        <f>'Var Vorgaben'!$C$37</f>
        <v>22.75</v>
      </c>
      <c r="AH55" s="93">
        <f t="shared" ref="AH55:AH60" si="52">AF55*AG55*AE55</f>
        <v>0</v>
      </c>
      <c r="AI55" s="484">
        <f t="shared" si="25"/>
        <v>0</v>
      </c>
      <c r="AJ55" s="49"/>
      <c r="AK55" s="670" t="s">
        <v>399</v>
      </c>
      <c r="AL55" s="326">
        <f>'Var Vorgaben'!$C$177</f>
        <v>0</v>
      </c>
      <c r="AM55" s="672">
        <v>15</v>
      </c>
      <c r="AN55" s="169">
        <f>'Var Vorgaben'!$C$37</f>
        <v>22.75</v>
      </c>
      <c r="AO55" s="93">
        <f t="shared" ref="AO55:AO60" si="53">AM55*AN55*AL55</f>
        <v>0</v>
      </c>
      <c r="AP55" s="484">
        <f t="shared" si="27"/>
        <v>0</v>
      </c>
      <c r="AQ55" s="49"/>
      <c r="AR55" s="670" t="s">
        <v>399</v>
      </c>
      <c r="AS55" s="326">
        <f>'Var Vorgaben'!$C$177</f>
        <v>0</v>
      </c>
      <c r="AT55" s="672">
        <v>15</v>
      </c>
      <c r="AU55" s="169">
        <f>'Var Vorgaben'!$C$37</f>
        <v>22.75</v>
      </c>
      <c r="AV55" s="93">
        <f t="shared" ref="AV55:AV60" si="54">AT55*AU55*AS55</f>
        <v>0</v>
      </c>
      <c r="AW55" s="484">
        <f t="shared" si="29"/>
        <v>0</v>
      </c>
      <c r="AX55" s="49"/>
      <c r="AY55" s="670" t="s">
        <v>399</v>
      </c>
      <c r="AZ55" s="326">
        <f>'Var Vorgaben'!$C$177</f>
        <v>0</v>
      </c>
      <c r="BA55" s="672">
        <v>15</v>
      </c>
      <c r="BB55" s="169">
        <f>'Var Vorgaben'!$C$37</f>
        <v>22.75</v>
      </c>
      <c r="BC55" s="93">
        <f t="shared" ref="BC55:BC60" si="55">BA55*BB55*AZ55</f>
        <v>0</v>
      </c>
      <c r="BD55" s="484">
        <f t="shared" si="31"/>
        <v>0</v>
      </c>
      <c r="BE55" s="49"/>
      <c r="BF55" s="670" t="s">
        <v>399</v>
      </c>
      <c r="BG55" s="326">
        <f>'Var Vorgaben'!$C$177</f>
        <v>0</v>
      </c>
      <c r="BH55" s="672">
        <v>15</v>
      </c>
      <c r="BI55" s="169">
        <f>'Var Vorgaben'!$C$37</f>
        <v>22.75</v>
      </c>
      <c r="BJ55" s="93">
        <f t="shared" ref="BJ55:BJ60" si="56">BH55*BI55*BG55</f>
        <v>0</v>
      </c>
      <c r="BK55" s="484">
        <f t="shared" si="33"/>
        <v>0</v>
      </c>
      <c r="BL55" s="49"/>
      <c r="BM55" s="670" t="s">
        <v>399</v>
      </c>
      <c r="BN55" s="326">
        <f>'Var Vorgaben'!$C$177</f>
        <v>0</v>
      </c>
      <c r="BO55" s="672">
        <v>15</v>
      </c>
      <c r="BP55" s="169">
        <f>'Var Vorgaben'!$C$37</f>
        <v>22.75</v>
      </c>
      <c r="BQ55" s="93">
        <f t="shared" ref="BQ55:BQ60" si="57">BO55*BP55*BN55</f>
        <v>0</v>
      </c>
      <c r="BR55" s="484">
        <f t="shared" si="35"/>
        <v>0</v>
      </c>
      <c r="BS55" s="49"/>
      <c r="BT55" s="670" t="s">
        <v>399</v>
      </c>
      <c r="BU55" s="326">
        <f>'Var Vorgaben'!$C$177</f>
        <v>0</v>
      </c>
      <c r="BV55" s="672">
        <v>15</v>
      </c>
      <c r="BW55" s="169">
        <f>'Var Vorgaben'!$C$37</f>
        <v>22.75</v>
      </c>
      <c r="BX55" s="93">
        <f t="shared" ref="BX55:BX60" si="58">BV55*BW55*BU55</f>
        <v>0</v>
      </c>
      <c r="BY55" s="484">
        <f t="shared" si="37"/>
        <v>0</v>
      </c>
      <c r="BZ55" s="49"/>
      <c r="CA55" s="670" t="s">
        <v>399</v>
      </c>
      <c r="CB55" s="326">
        <f>'Var Vorgaben'!$C$177</f>
        <v>0</v>
      </c>
      <c r="CC55" s="672">
        <v>15</v>
      </c>
      <c r="CD55" s="169">
        <f>'Var Vorgaben'!$C$37</f>
        <v>22.75</v>
      </c>
      <c r="CE55" s="93">
        <f t="shared" ref="CE55:CE60" si="59">CC55*CD55*CB55</f>
        <v>0</v>
      </c>
      <c r="CF55" s="484">
        <f t="shared" si="39"/>
        <v>0</v>
      </c>
      <c r="CG55" s="49"/>
      <c r="CH55" s="670" t="s">
        <v>399</v>
      </c>
      <c r="CI55" s="326">
        <f>'Var Vorgaben'!$C$177</f>
        <v>0</v>
      </c>
      <c r="CJ55" s="672">
        <v>15</v>
      </c>
      <c r="CK55" s="169">
        <f>'Var Vorgaben'!$C$37</f>
        <v>22.75</v>
      </c>
      <c r="CL55" s="93">
        <f t="shared" ref="CL55:CL60" si="60">CJ55*CK55*CI55</f>
        <v>0</v>
      </c>
      <c r="CM55" s="484">
        <f t="shared" si="41"/>
        <v>0</v>
      </c>
      <c r="CN55" s="49"/>
      <c r="CO55" s="670" t="s">
        <v>399</v>
      </c>
      <c r="CP55" s="326">
        <f>'Var Vorgaben'!$C$177</f>
        <v>0</v>
      </c>
      <c r="CQ55" s="672">
        <v>15</v>
      </c>
      <c r="CR55" s="169">
        <f>'Var Vorgaben'!$C$37</f>
        <v>22.75</v>
      </c>
      <c r="CS55" s="93">
        <f t="shared" ref="CS55:CS60" si="61">CQ55*CR55*CP55</f>
        <v>0</v>
      </c>
      <c r="CT55" s="484">
        <f t="shared" si="43"/>
        <v>0</v>
      </c>
      <c r="CU55" s="49"/>
      <c r="CV55" s="670" t="s">
        <v>399</v>
      </c>
      <c r="CW55" s="326">
        <f>'Var Vorgaben'!$C$177</f>
        <v>0</v>
      </c>
      <c r="CX55" s="672">
        <v>15</v>
      </c>
      <c r="CY55" s="169">
        <f>'Var Vorgaben'!$C$37</f>
        <v>22.75</v>
      </c>
      <c r="CZ55" s="93">
        <f t="shared" ref="CZ55:CZ60" si="62">CX55*CY55*CW55</f>
        <v>0</v>
      </c>
      <c r="DA55" s="484">
        <f t="shared" si="45"/>
        <v>0</v>
      </c>
      <c r="DB55" s="49"/>
      <c r="DC55" s="670" t="s">
        <v>399</v>
      </c>
      <c r="DD55" s="326">
        <f>'Var Vorgaben'!$C$177</f>
        <v>0</v>
      </c>
      <c r="DE55" s="672">
        <v>15</v>
      </c>
      <c r="DF55" s="169">
        <f>'Var Vorgaben'!$C$37</f>
        <v>22.75</v>
      </c>
      <c r="DG55" s="93">
        <f t="shared" ref="DG55:DG60" si="63">DE55*DF55*DD55</f>
        <v>0</v>
      </c>
      <c r="DH55" s="484">
        <f t="shared" si="47"/>
        <v>0</v>
      </c>
    </row>
    <row r="56" spans="1:112" x14ac:dyDescent="0.2">
      <c r="B56" s="670" t="s">
        <v>400</v>
      </c>
      <c r="C56" s="326">
        <f>'Var Vorgaben'!$C$177</f>
        <v>0</v>
      </c>
      <c r="D56" s="672">
        <v>10</v>
      </c>
      <c r="E56" s="169">
        <f>'Var Vorgaben'!$C$37</f>
        <v>22.75</v>
      </c>
      <c r="F56" s="93">
        <f t="shared" si="48"/>
        <v>0</v>
      </c>
      <c r="G56" s="484">
        <f>F56/$F$68</f>
        <v>0</v>
      </c>
      <c r="H56" s="49"/>
      <c r="I56" s="670" t="s">
        <v>400</v>
      </c>
      <c r="J56" s="326">
        <f>'Var Vorgaben'!$C$177</f>
        <v>0</v>
      </c>
      <c r="K56" s="672">
        <v>10</v>
      </c>
      <c r="L56" s="169">
        <f>'Var Vorgaben'!$C$37</f>
        <v>22.75</v>
      </c>
      <c r="M56" s="93">
        <f t="shared" si="49"/>
        <v>0</v>
      </c>
      <c r="N56" s="484">
        <f t="shared" si="19"/>
        <v>0</v>
      </c>
      <c r="O56" s="49"/>
      <c r="P56" s="670" t="s">
        <v>400</v>
      </c>
      <c r="Q56" s="326">
        <f>'Var Vorgaben'!$C$177</f>
        <v>0</v>
      </c>
      <c r="R56" s="672">
        <v>10</v>
      </c>
      <c r="S56" s="169">
        <f>'Var Vorgaben'!$C$37</f>
        <v>22.75</v>
      </c>
      <c r="T56" s="93">
        <f t="shared" si="50"/>
        <v>0</v>
      </c>
      <c r="U56" s="484">
        <f>T56/$T$68</f>
        <v>0</v>
      </c>
      <c r="V56" s="49"/>
      <c r="W56" s="670" t="s">
        <v>400</v>
      </c>
      <c r="X56" s="326">
        <f>'Var Vorgaben'!$C$177</f>
        <v>0</v>
      </c>
      <c r="Y56" s="672">
        <v>10</v>
      </c>
      <c r="Z56" s="169">
        <f>'Var Vorgaben'!$C$37</f>
        <v>22.75</v>
      </c>
      <c r="AA56" s="93">
        <f t="shared" si="51"/>
        <v>0</v>
      </c>
      <c r="AB56" s="484">
        <f t="shared" si="22"/>
        <v>0</v>
      </c>
      <c r="AC56" s="49"/>
      <c r="AD56" s="670" t="s">
        <v>400</v>
      </c>
      <c r="AE56" s="326">
        <f>'Var Vorgaben'!$C$177</f>
        <v>0</v>
      </c>
      <c r="AF56" s="672">
        <v>10</v>
      </c>
      <c r="AG56" s="169">
        <f>'Var Vorgaben'!$C$37</f>
        <v>22.75</v>
      </c>
      <c r="AH56" s="93">
        <f t="shared" si="52"/>
        <v>0</v>
      </c>
      <c r="AI56" s="484">
        <f t="shared" si="25"/>
        <v>0</v>
      </c>
      <c r="AJ56" s="49"/>
      <c r="AK56" s="670" t="s">
        <v>400</v>
      </c>
      <c r="AL56" s="326">
        <f>'Var Vorgaben'!$C$177</f>
        <v>0</v>
      </c>
      <c r="AM56" s="672">
        <v>10</v>
      </c>
      <c r="AN56" s="169">
        <f>'Var Vorgaben'!$C$37</f>
        <v>22.75</v>
      </c>
      <c r="AO56" s="93">
        <f t="shared" si="53"/>
        <v>0</v>
      </c>
      <c r="AP56" s="484">
        <f t="shared" si="27"/>
        <v>0</v>
      </c>
      <c r="AQ56" s="49"/>
      <c r="AR56" s="670" t="s">
        <v>400</v>
      </c>
      <c r="AS56" s="326">
        <f>'Var Vorgaben'!$C$177</f>
        <v>0</v>
      </c>
      <c r="AT56" s="672">
        <v>10</v>
      </c>
      <c r="AU56" s="169">
        <f>'Var Vorgaben'!$C$37</f>
        <v>22.75</v>
      </c>
      <c r="AV56" s="93">
        <f t="shared" si="54"/>
        <v>0</v>
      </c>
      <c r="AW56" s="484">
        <f t="shared" si="29"/>
        <v>0</v>
      </c>
      <c r="AX56" s="49"/>
      <c r="AY56" s="670" t="s">
        <v>400</v>
      </c>
      <c r="AZ56" s="326">
        <f>'Var Vorgaben'!$C$177</f>
        <v>0</v>
      </c>
      <c r="BA56" s="672">
        <v>10</v>
      </c>
      <c r="BB56" s="169">
        <f>'Var Vorgaben'!$C$37</f>
        <v>22.75</v>
      </c>
      <c r="BC56" s="93">
        <f t="shared" si="55"/>
        <v>0</v>
      </c>
      <c r="BD56" s="484">
        <f t="shared" si="31"/>
        <v>0</v>
      </c>
      <c r="BE56" s="49"/>
      <c r="BF56" s="670" t="s">
        <v>400</v>
      </c>
      <c r="BG56" s="326">
        <f>'Var Vorgaben'!$C$177</f>
        <v>0</v>
      </c>
      <c r="BH56" s="672">
        <v>10</v>
      </c>
      <c r="BI56" s="169">
        <f>'Var Vorgaben'!$C$37</f>
        <v>22.75</v>
      </c>
      <c r="BJ56" s="93">
        <f t="shared" si="56"/>
        <v>0</v>
      </c>
      <c r="BK56" s="484">
        <f t="shared" si="33"/>
        <v>0</v>
      </c>
      <c r="BL56" s="49"/>
      <c r="BM56" s="670" t="s">
        <v>400</v>
      </c>
      <c r="BN56" s="326">
        <f>'Var Vorgaben'!$C$177</f>
        <v>0</v>
      </c>
      <c r="BO56" s="672">
        <v>10</v>
      </c>
      <c r="BP56" s="169">
        <f>'Var Vorgaben'!$C$37</f>
        <v>22.75</v>
      </c>
      <c r="BQ56" s="93">
        <f t="shared" si="57"/>
        <v>0</v>
      </c>
      <c r="BR56" s="484">
        <f t="shared" si="35"/>
        <v>0</v>
      </c>
      <c r="BS56" s="49"/>
      <c r="BT56" s="670" t="s">
        <v>400</v>
      </c>
      <c r="BU56" s="326">
        <f>'Var Vorgaben'!$C$177</f>
        <v>0</v>
      </c>
      <c r="BV56" s="672">
        <v>10</v>
      </c>
      <c r="BW56" s="169">
        <f>'Var Vorgaben'!$C$37</f>
        <v>22.75</v>
      </c>
      <c r="BX56" s="93">
        <f t="shared" si="58"/>
        <v>0</v>
      </c>
      <c r="BY56" s="484">
        <f t="shared" si="37"/>
        <v>0</v>
      </c>
      <c r="BZ56" s="49"/>
      <c r="CA56" s="670" t="s">
        <v>400</v>
      </c>
      <c r="CB56" s="326">
        <f>'Var Vorgaben'!$C$177</f>
        <v>0</v>
      </c>
      <c r="CC56" s="672">
        <v>10</v>
      </c>
      <c r="CD56" s="169">
        <f>'Var Vorgaben'!$C$37</f>
        <v>22.75</v>
      </c>
      <c r="CE56" s="93">
        <f t="shared" si="59"/>
        <v>0</v>
      </c>
      <c r="CF56" s="484">
        <f t="shared" si="39"/>
        <v>0</v>
      </c>
      <c r="CG56" s="49"/>
      <c r="CH56" s="670" t="s">
        <v>400</v>
      </c>
      <c r="CI56" s="326">
        <f>'Var Vorgaben'!$C$177</f>
        <v>0</v>
      </c>
      <c r="CJ56" s="672">
        <v>10</v>
      </c>
      <c r="CK56" s="169">
        <f>'Var Vorgaben'!$C$37</f>
        <v>22.75</v>
      </c>
      <c r="CL56" s="93">
        <f t="shared" si="60"/>
        <v>0</v>
      </c>
      <c r="CM56" s="484">
        <f t="shared" si="41"/>
        <v>0</v>
      </c>
      <c r="CN56" s="49"/>
      <c r="CO56" s="670" t="s">
        <v>400</v>
      </c>
      <c r="CP56" s="326">
        <f>'Var Vorgaben'!$C$177</f>
        <v>0</v>
      </c>
      <c r="CQ56" s="672">
        <v>10</v>
      </c>
      <c r="CR56" s="169">
        <f>'Var Vorgaben'!$C$37</f>
        <v>22.75</v>
      </c>
      <c r="CS56" s="93">
        <f t="shared" si="61"/>
        <v>0</v>
      </c>
      <c r="CT56" s="484">
        <f t="shared" si="43"/>
        <v>0</v>
      </c>
      <c r="CU56" s="49"/>
      <c r="CV56" s="670" t="s">
        <v>400</v>
      </c>
      <c r="CW56" s="326">
        <f>'Var Vorgaben'!$C$177</f>
        <v>0</v>
      </c>
      <c r="CX56" s="672">
        <v>10</v>
      </c>
      <c r="CY56" s="169">
        <f>'Var Vorgaben'!$C$37</f>
        <v>22.75</v>
      </c>
      <c r="CZ56" s="93">
        <f t="shared" si="62"/>
        <v>0</v>
      </c>
      <c r="DA56" s="484">
        <f t="shared" si="45"/>
        <v>0</v>
      </c>
      <c r="DB56" s="49"/>
      <c r="DC56" s="670" t="s">
        <v>400</v>
      </c>
      <c r="DD56" s="326">
        <f>'Var Vorgaben'!$C$177</f>
        <v>0</v>
      </c>
      <c r="DE56" s="672">
        <v>10</v>
      </c>
      <c r="DF56" s="169">
        <f>'Var Vorgaben'!$C$37</f>
        <v>22.75</v>
      </c>
      <c r="DG56" s="93">
        <f t="shared" si="63"/>
        <v>0</v>
      </c>
      <c r="DH56" s="484">
        <f t="shared" si="47"/>
        <v>0</v>
      </c>
    </row>
    <row r="57" spans="1:112" x14ac:dyDescent="0.2">
      <c r="B57" s="670" t="s">
        <v>632</v>
      </c>
      <c r="C57" s="326">
        <f>'Var Vorgaben'!$C$181</f>
        <v>0</v>
      </c>
      <c r="D57" s="672">
        <v>60</v>
      </c>
      <c r="E57" s="169">
        <f>'Var Vorgaben'!$C$35</f>
        <v>22.62</v>
      </c>
      <c r="F57" s="93">
        <f t="shared" si="48"/>
        <v>0</v>
      </c>
      <c r="G57" s="484">
        <f>F57/$F$68</f>
        <v>0</v>
      </c>
      <c r="H57" s="49"/>
      <c r="I57" s="670" t="s">
        <v>632</v>
      </c>
      <c r="J57" s="326">
        <f>'Var Vorgaben'!$C$181</f>
        <v>0</v>
      </c>
      <c r="K57" s="672">
        <v>60</v>
      </c>
      <c r="L57" s="169">
        <f>'Var Vorgaben'!$C$35</f>
        <v>22.62</v>
      </c>
      <c r="M57" s="93">
        <f t="shared" si="49"/>
        <v>0</v>
      </c>
      <c r="N57" s="484">
        <f t="shared" si="19"/>
        <v>0</v>
      </c>
      <c r="O57" s="49"/>
      <c r="P57" s="670" t="s">
        <v>632</v>
      </c>
      <c r="Q57" s="326">
        <f>'Var Vorgaben'!$C$181</f>
        <v>0</v>
      </c>
      <c r="R57" s="672">
        <v>60</v>
      </c>
      <c r="S57" s="169">
        <f>'Var Vorgaben'!$C$35</f>
        <v>22.62</v>
      </c>
      <c r="T57" s="93">
        <f t="shared" si="50"/>
        <v>0</v>
      </c>
      <c r="U57" s="484">
        <f>T57/$T$68</f>
        <v>0</v>
      </c>
      <c r="V57" s="49"/>
      <c r="W57" s="670" t="s">
        <v>632</v>
      </c>
      <c r="X57" s="326">
        <f>'Var Vorgaben'!$C$181</f>
        <v>0</v>
      </c>
      <c r="Y57" s="672">
        <v>60</v>
      </c>
      <c r="Z57" s="169">
        <f>'Var Vorgaben'!$C$35</f>
        <v>22.62</v>
      </c>
      <c r="AA57" s="93">
        <f t="shared" si="51"/>
        <v>0</v>
      </c>
      <c r="AB57" s="484">
        <f t="shared" si="22"/>
        <v>0</v>
      </c>
      <c r="AC57" s="49"/>
      <c r="AD57" s="670" t="s">
        <v>632</v>
      </c>
      <c r="AE57" s="326">
        <f>'Var Vorgaben'!$C$181</f>
        <v>0</v>
      </c>
      <c r="AF57" s="672">
        <v>60</v>
      </c>
      <c r="AG57" s="169">
        <f>'Var Vorgaben'!$C$35</f>
        <v>22.62</v>
      </c>
      <c r="AH57" s="93">
        <f t="shared" si="52"/>
        <v>0</v>
      </c>
      <c r="AI57" s="484">
        <f t="shared" si="25"/>
        <v>0</v>
      </c>
      <c r="AJ57" s="49"/>
      <c r="AK57" s="670" t="s">
        <v>632</v>
      </c>
      <c r="AL57" s="326">
        <f>'Var Vorgaben'!$C$181</f>
        <v>0</v>
      </c>
      <c r="AM57" s="672">
        <v>60</v>
      </c>
      <c r="AN57" s="169">
        <f>'Var Vorgaben'!$C$35</f>
        <v>22.62</v>
      </c>
      <c r="AO57" s="93">
        <f t="shared" si="53"/>
        <v>0</v>
      </c>
      <c r="AP57" s="484">
        <f t="shared" si="27"/>
        <v>0</v>
      </c>
      <c r="AQ57" s="49"/>
      <c r="AR57" s="670" t="s">
        <v>632</v>
      </c>
      <c r="AS57" s="326">
        <f>'Var Vorgaben'!$C$181</f>
        <v>0</v>
      </c>
      <c r="AT57" s="672">
        <v>60</v>
      </c>
      <c r="AU57" s="169">
        <f>'Var Vorgaben'!$C$35</f>
        <v>22.62</v>
      </c>
      <c r="AV57" s="93">
        <f t="shared" si="54"/>
        <v>0</v>
      </c>
      <c r="AW57" s="484">
        <f t="shared" si="29"/>
        <v>0</v>
      </c>
      <c r="AX57" s="49"/>
      <c r="AY57" s="670" t="s">
        <v>632</v>
      </c>
      <c r="AZ57" s="326">
        <f>'Var Vorgaben'!$C$181</f>
        <v>0</v>
      </c>
      <c r="BA57" s="672">
        <v>60</v>
      </c>
      <c r="BB57" s="169">
        <f>'Var Vorgaben'!$C$35</f>
        <v>22.62</v>
      </c>
      <c r="BC57" s="93">
        <f t="shared" si="55"/>
        <v>0</v>
      </c>
      <c r="BD57" s="484">
        <f t="shared" si="31"/>
        <v>0</v>
      </c>
      <c r="BE57" s="49"/>
      <c r="BF57" s="670" t="s">
        <v>632</v>
      </c>
      <c r="BG57" s="326">
        <f>'Var Vorgaben'!$C$181</f>
        <v>0</v>
      </c>
      <c r="BH57" s="672">
        <v>60</v>
      </c>
      <c r="BI57" s="169">
        <f>'Var Vorgaben'!$C$35</f>
        <v>22.62</v>
      </c>
      <c r="BJ57" s="93">
        <f t="shared" si="56"/>
        <v>0</v>
      </c>
      <c r="BK57" s="484">
        <f t="shared" si="33"/>
        <v>0</v>
      </c>
      <c r="BL57" s="49"/>
      <c r="BM57" s="670" t="s">
        <v>632</v>
      </c>
      <c r="BN57" s="326">
        <f>'Var Vorgaben'!$C$181</f>
        <v>0</v>
      </c>
      <c r="BO57" s="672">
        <v>60</v>
      </c>
      <c r="BP57" s="169">
        <f>'Var Vorgaben'!$C$35</f>
        <v>22.62</v>
      </c>
      <c r="BQ57" s="93">
        <f t="shared" si="57"/>
        <v>0</v>
      </c>
      <c r="BR57" s="484">
        <f t="shared" si="35"/>
        <v>0</v>
      </c>
      <c r="BS57" s="49"/>
      <c r="BT57" s="670" t="s">
        <v>632</v>
      </c>
      <c r="BU57" s="326">
        <f>'Var Vorgaben'!$C$181</f>
        <v>0</v>
      </c>
      <c r="BV57" s="672">
        <v>60</v>
      </c>
      <c r="BW57" s="169">
        <f>'Var Vorgaben'!$C$35</f>
        <v>22.62</v>
      </c>
      <c r="BX57" s="93">
        <f t="shared" si="58"/>
        <v>0</v>
      </c>
      <c r="BY57" s="484">
        <f t="shared" si="37"/>
        <v>0</v>
      </c>
      <c r="BZ57" s="49"/>
      <c r="CA57" s="670" t="s">
        <v>632</v>
      </c>
      <c r="CB57" s="326">
        <f>'Var Vorgaben'!$C$181</f>
        <v>0</v>
      </c>
      <c r="CC57" s="672">
        <v>60</v>
      </c>
      <c r="CD57" s="169">
        <f>'Var Vorgaben'!$C$35</f>
        <v>22.62</v>
      </c>
      <c r="CE57" s="93">
        <f t="shared" si="59"/>
        <v>0</v>
      </c>
      <c r="CF57" s="484">
        <f t="shared" si="39"/>
        <v>0</v>
      </c>
      <c r="CG57" s="49"/>
      <c r="CH57" s="670" t="s">
        <v>632</v>
      </c>
      <c r="CI57" s="326">
        <f>'Var Vorgaben'!$C$181</f>
        <v>0</v>
      </c>
      <c r="CJ57" s="672">
        <v>60</v>
      </c>
      <c r="CK57" s="169">
        <f>'Var Vorgaben'!$C$35</f>
        <v>22.62</v>
      </c>
      <c r="CL57" s="93">
        <f t="shared" si="60"/>
        <v>0</v>
      </c>
      <c r="CM57" s="484">
        <f t="shared" si="41"/>
        <v>0</v>
      </c>
      <c r="CN57" s="49"/>
      <c r="CO57" s="670" t="s">
        <v>632</v>
      </c>
      <c r="CP57" s="326">
        <f>'Var Vorgaben'!$C$181</f>
        <v>0</v>
      </c>
      <c r="CQ57" s="672">
        <v>60</v>
      </c>
      <c r="CR57" s="169">
        <f>'Var Vorgaben'!$C$35</f>
        <v>22.62</v>
      </c>
      <c r="CS57" s="93">
        <f t="shared" si="61"/>
        <v>0</v>
      </c>
      <c r="CT57" s="484">
        <f t="shared" si="43"/>
        <v>0</v>
      </c>
      <c r="CU57" s="49"/>
      <c r="CV57" s="670" t="s">
        <v>632</v>
      </c>
      <c r="CW57" s="326">
        <f>'Var Vorgaben'!$C$181</f>
        <v>0</v>
      </c>
      <c r="CX57" s="672">
        <v>60</v>
      </c>
      <c r="CY57" s="169">
        <f>'Var Vorgaben'!$C$35</f>
        <v>22.62</v>
      </c>
      <c r="CZ57" s="93">
        <f t="shared" si="62"/>
        <v>0</v>
      </c>
      <c r="DA57" s="484">
        <f t="shared" si="45"/>
        <v>0</v>
      </c>
      <c r="DB57" s="49"/>
      <c r="DC57" s="670" t="s">
        <v>632</v>
      </c>
      <c r="DD57" s="326">
        <f>'Var Vorgaben'!$C$181</f>
        <v>0</v>
      </c>
      <c r="DE57" s="672">
        <v>60</v>
      </c>
      <c r="DF57" s="169">
        <f>'Var Vorgaben'!$C$35</f>
        <v>22.62</v>
      </c>
      <c r="DG57" s="93">
        <f t="shared" si="63"/>
        <v>0</v>
      </c>
      <c r="DH57" s="484">
        <f t="shared" si="47"/>
        <v>0</v>
      </c>
    </row>
    <row r="58" spans="1:112" x14ac:dyDescent="0.2">
      <c r="B58" t="s">
        <v>457</v>
      </c>
      <c r="C58" s="47">
        <f>'Var Vorgaben'!$C$187</f>
        <v>1</v>
      </c>
      <c r="D58" s="363">
        <f>'Var Bewässerung'!$E$110</f>
        <v>10</v>
      </c>
      <c r="E58" s="169">
        <f>'Var Vorgaben'!$C$35</f>
        <v>22.62</v>
      </c>
      <c r="F58" s="93">
        <f t="shared" si="48"/>
        <v>226.20000000000002</v>
      </c>
      <c r="G58" s="484">
        <f t="shared" si="17"/>
        <v>2.3908141234913423E-2</v>
      </c>
      <c r="H58" s="49"/>
      <c r="I58" t="s">
        <v>457</v>
      </c>
      <c r="J58" s="47">
        <f>'Var Vorgaben'!$C$187</f>
        <v>1</v>
      </c>
      <c r="K58" s="363">
        <f>'Var Bewässerung'!$E$110</f>
        <v>10</v>
      </c>
      <c r="L58" s="169">
        <f>'Var Vorgaben'!$C$35</f>
        <v>22.62</v>
      </c>
      <c r="M58" s="93">
        <f t="shared" si="49"/>
        <v>226.20000000000002</v>
      </c>
      <c r="N58" s="484"/>
      <c r="O58" s="49"/>
      <c r="P58" t="s">
        <v>457</v>
      </c>
      <c r="Q58" s="47">
        <f>'Var Vorgaben'!$C$187</f>
        <v>1</v>
      </c>
      <c r="R58" s="363">
        <f>'Var Bewässerung'!$E$110</f>
        <v>10</v>
      </c>
      <c r="S58" s="169">
        <f>'Var Vorgaben'!$C$35</f>
        <v>22.62</v>
      </c>
      <c r="T58" s="93">
        <f t="shared" si="50"/>
        <v>226.20000000000002</v>
      </c>
      <c r="U58" s="484"/>
      <c r="V58" s="49"/>
      <c r="W58" t="s">
        <v>457</v>
      </c>
      <c r="X58" s="47">
        <f>'Var Vorgaben'!$C$187</f>
        <v>1</v>
      </c>
      <c r="Y58" s="363">
        <f>'Var Bewässerung'!$E$110</f>
        <v>10</v>
      </c>
      <c r="Z58" s="169">
        <f>'Var Vorgaben'!$C$35</f>
        <v>22.62</v>
      </c>
      <c r="AA58" s="93">
        <f t="shared" si="51"/>
        <v>226.20000000000002</v>
      </c>
      <c r="AB58" s="484"/>
      <c r="AC58" s="49"/>
      <c r="AD58" t="s">
        <v>457</v>
      </c>
      <c r="AE58" s="47">
        <f>'Var Vorgaben'!$C$187</f>
        <v>1</v>
      </c>
      <c r="AF58" s="363">
        <f>'Var Bewässerung'!$E$110</f>
        <v>10</v>
      </c>
      <c r="AG58" s="169">
        <f>'Var Vorgaben'!$C$35</f>
        <v>22.62</v>
      </c>
      <c r="AH58" s="93">
        <f t="shared" si="52"/>
        <v>226.20000000000002</v>
      </c>
      <c r="AI58" s="484"/>
      <c r="AJ58" s="49"/>
      <c r="AK58" t="s">
        <v>457</v>
      </c>
      <c r="AL58" s="47">
        <f>'Var Vorgaben'!$C$187</f>
        <v>1</v>
      </c>
      <c r="AM58" s="363">
        <f>'Var Bewässerung'!$E$110</f>
        <v>10</v>
      </c>
      <c r="AN58" s="169">
        <f>'Var Vorgaben'!$C$35</f>
        <v>22.62</v>
      </c>
      <c r="AO58" s="93">
        <f t="shared" si="53"/>
        <v>226.20000000000002</v>
      </c>
      <c r="AP58" s="484"/>
      <c r="AQ58" s="49"/>
      <c r="AR58" t="s">
        <v>457</v>
      </c>
      <c r="AS58" s="47">
        <f>'Var Vorgaben'!$C$187</f>
        <v>1</v>
      </c>
      <c r="AT58" s="363">
        <f>'Var Bewässerung'!$E$110</f>
        <v>10</v>
      </c>
      <c r="AU58" s="169">
        <f>'Var Vorgaben'!$C$35</f>
        <v>22.62</v>
      </c>
      <c r="AV58" s="93">
        <f t="shared" si="54"/>
        <v>226.20000000000002</v>
      </c>
      <c r="AW58" s="484"/>
      <c r="AX58" s="49"/>
      <c r="AY58" t="s">
        <v>457</v>
      </c>
      <c r="AZ58" s="47">
        <f>'Var Vorgaben'!$C$187</f>
        <v>1</v>
      </c>
      <c r="BA58" s="363">
        <f>'Var Bewässerung'!$E$110</f>
        <v>10</v>
      </c>
      <c r="BB58" s="169">
        <f>'Var Vorgaben'!$C$35</f>
        <v>22.62</v>
      </c>
      <c r="BC58" s="93">
        <f t="shared" si="55"/>
        <v>226.20000000000002</v>
      </c>
      <c r="BD58" s="484"/>
      <c r="BE58" s="49"/>
      <c r="BF58" t="s">
        <v>457</v>
      </c>
      <c r="BG58" s="47">
        <f>'Var Vorgaben'!$C$187</f>
        <v>1</v>
      </c>
      <c r="BH58" s="363">
        <f>'Var Bewässerung'!$E$110</f>
        <v>10</v>
      </c>
      <c r="BI58" s="169">
        <f>'Var Vorgaben'!$C$35</f>
        <v>22.62</v>
      </c>
      <c r="BJ58" s="93">
        <f t="shared" si="56"/>
        <v>226.20000000000002</v>
      </c>
      <c r="BK58" s="484"/>
      <c r="BL58" s="49"/>
      <c r="BM58" t="s">
        <v>457</v>
      </c>
      <c r="BN58" s="47">
        <f>'Var Vorgaben'!$C$187</f>
        <v>1</v>
      </c>
      <c r="BO58" s="363">
        <f>'Var Bewässerung'!$E$110</f>
        <v>10</v>
      </c>
      <c r="BP58" s="169">
        <f>'Var Vorgaben'!$C$35</f>
        <v>22.62</v>
      </c>
      <c r="BQ58" s="93">
        <f t="shared" si="57"/>
        <v>226.20000000000002</v>
      </c>
      <c r="BR58" s="484"/>
      <c r="BS58" s="49"/>
      <c r="BT58" t="s">
        <v>457</v>
      </c>
      <c r="BU58" s="47">
        <f>'Var Vorgaben'!$C$187</f>
        <v>1</v>
      </c>
      <c r="BV58" s="363">
        <f>'Var Bewässerung'!$E$110</f>
        <v>10</v>
      </c>
      <c r="BW58" s="169">
        <f>'Var Vorgaben'!$C$35</f>
        <v>22.62</v>
      </c>
      <c r="BX58" s="93">
        <f t="shared" si="58"/>
        <v>226.20000000000002</v>
      </c>
      <c r="BY58" s="484"/>
      <c r="BZ58" s="49"/>
      <c r="CA58" t="s">
        <v>457</v>
      </c>
      <c r="CB58" s="47">
        <f>'Var Vorgaben'!$C$187</f>
        <v>1</v>
      </c>
      <c r="CC58" s="363">
        <f>'Var Bewässerung'!$E$110</f>
        <v>10</v>
      </c>
      <c r="CD58" s="169">
        <f>'Var Vorgaben'!$C$35</f>
        <v>22.62</v>
      </c>
      <c r="CE58" s="93">
        <f t="shared" si="59"/>
        <v>226.20000000000002</v>
      </c>
      <c r="CF58" s="484"/>
      <c r="CG58" s="49"/>
      <c r="CH58" t="s">
        <v>457</v>
      </c>
      <c r="CI58" s="47">
        <f>'Var Vorgaben'!$C$187</f>
        <v>1</v>
      </c>
      <c r="CJ58" s="363">
        <f>'Var Bewässerung'!$E$110</f>
        <v>10</v>
      </c>
      <c r="CK58" s="169">
        <f>'Var Vorgaben'!$C$35</f>
        <v>22.62</v>
      </c>
      <c r="CL58" s="93">
        <f t="shared" si="60"/>
        <v>226.20000000000002</v>
      </c>
      <c r="CM58" s="484"/>
      <c r="CN58" s="49"/>
      <c r="CO58" t="s">
        <v>457</v>
      </c>
      <c r="CP58" s="47">
        <f>'Var Vorgaben'!$C$187</f>
        <v>1</v>
      </c>
      <c r="CQ58" s="363">
        <f>'Var Bewässerung'!$E$110</f>
        <v>10</v>
      </c>
      <c r="CR58" s="169">
        <f>'Var Vorgaben'!$C$35</f>
        <v>22.62</v>
      </c>
      <c r="CS58" s="93">
        <f t="shared" si="61"/>
        <v>226.20000000000002</v>
      </c>
      <c r="CT58" s="484"/>
      <c r="CU58" s="49"/>
      <c r="CV58" t="s">
        <v>457</v>
      </c>
      <c r="CW58" s="47">
        <f>'Var Vorgaben'!$C$187</f>
        <v>1</v>
      </c>
      <c r="CX58" s="363">
        <f>'Var Bewässerung'!$E$110</f>
        <v>10</v>
      </c>
      <c r="CY58" s="169">
        <f>'Var Vorgaben'!$C$35</f>
        <v>22.62</v>
      </c>
      <c r="CZ58" s="93">
        <f t="shared" si="62"/>
        <v>226.20000000000002</v>
      </c>
      <c r="DA58" s="484"/>
      <c r="DB58" s="49"/>
      <c r="DC58" t="s">
        <v>457</v>
      </c>
      <c r="DD58" s="47">
        <f>'Var Vorgaben'!$C$187</f>
        <v>1</v>
      </c>
      <c r="DE58" s="363">
        <f>'Var Bewässerung'!$E$110</f>
        <v>10</v>
      </c>
      <c r="DF58" s="169">
        <f>'Var Vorgaben'!$C$35</f>
        <v>22.62</v>
      </c>
      <c r="DG58" s="93">
        <f t="shared" si="63"/>
        <v>226.20000000000002</v>
      </c>
      <c r="DH58" s="484"/>
    </row>
    <row r="59" spans="1:112" x14ac:dyDescent="0.2">
      <c r="B59" t="s">
        <v>458</v>
      </c>
      <c r="C59" s="47">
        <f>'Var Vorgaben'!$C$187</f>
        <v>1</v>
      </c>
      <c r="D59" s="363">
        <f>'Var Bewässerung'!$E$109</f>
        <v>4</v>
      </c>
      <c r="E59" s="169">
        <f>'Var Vorgaben'!$C$36</f>
        <v>32.700000000000003</v>
      </c>
      <c r="F59" s="93">
        <f t="shared" si="48"/>
        <v>130.80000000000001</v>
      </c>
      <c r="G59" s="484">
        <f t="shared" si="17"/>
        <v>1.3824866814883624E-2</v>
      </c>
      <c r="H59" s="49"/>
      <c r="I59" t="s">
        <v>458</v>
      </c>
      <c r="J59" s="47">
        <f>'Var Vorgaben'!$C$187</f>
        <v>1</v>
      </c>
      <c r="K59" s="363">
        <f>'Var Bewässerung'!$E$109</f>
        <v>4</v>
      </c>
      <c r="L59" s="169">
        <f>'Var Vorgaben'!$C$36</f>
        <v>32.700000000000003</v>
      </c>
      <c r="M59" s="93">
        <f t="shared" si="49"/>
        <v>130.80000000000001</v>
      </c>
      <c r="N59" s="484"/>
      <c r="O59" s="49"/>
      <c r="P59" t="s">
        <v>458</v>
      </c>
      <c r="Q59" s="47">
        <f>'Var Vorgaben'!$C$187</f>
        <v>1</v>
      </c>
      <c r="R59" s="363">
        <f>'Var Bewässerung'!$E$109</f>
        <v>4</v>
      </c>
      <c r="S59" s="169">
        <f>'Var Vorgaben'!$C$36</f>
        <v>32.700000000000003</v>
      </c>
      <c r="T59" s="93">
        <f t="shared" si="50"/>
        <v>130.80000000000001</v>
      </c>
      <c r="U59" s="484"/>
      <c r="V59" s="49"/>
      <c r="W59" t="s">
        <v>458</v>
      </c>
      <c r="X59" s="47">
        <f>'Var Vorgaben'!$C$187</f>
        <v>1</v>
      </c>
      <c r="Y59" s="363">
        <f>'Var Bewässerung'!$E$109</f>
        <v>4</v>
      </c>
      <c r="Z59" s="169">
        <f>'Var Vorgaben'!$C$36</f>
        <v>32.700000000000003</v>
      </c>
      <c r="AA59" s="93">
        <f t="shared" si="51"/>
        <v>130.80000000000001</v>
      </c>
      <c r="AB59" s="484"/>
      <c r="AC59" s="49"/>
      <c r="AD59" t="s">
        <v>458</v>
      </c>
      <c r="AE59" s="47">
        <f>'Var Vorgaben'!$C$187</f>
        <v>1</v>
      </c>
      <c r="AF59" s="363">
        <f>'Var Bewässerung'!$E$109</f>
        <v>4</v>
      </c>
      <c r="AG59" s="169">
        <f>'Var Vorgaben'!$C$36</f>
        <v>32.700000000000003</v>
      </c>
      <c r="AH59" s="93">
        <f t="shared" si="52"/>
        <v>130.80000000000001</v>
      </c>
      <c r="AI59" s="484"/>
      <c r="AJ59" s="49"/>
      <c r="AK59" t="s">
        <v>458</v>
      </c>
      <c r="AL59" s="47">
        <f>'Var Vorgaben'!$C$187</f>
        <v>1</v>
      </c>
      <c r="AM59" s="363">
        <f>'Var Bewässerung'!$E$109</f>
        <v>4</v>
      </c>
      <c r="AN59" s="169">
        <f>'Var Vorgaben'!$C$36</f>
        <v>32.700000000000003</v>
      </c>
      <c r="AO59" s="93">
        <f t="shared" si="53"/>
        <v>130.80000000000001</v>
      </c>
      <c r="AP59" s="484"/>
      <c r="AQ59" s="49"/>
      <c r="AR59" t="s">
        <v>458</v>
      </c>
      <c r="AS59" s="47">
        <f>'Var Vorgaben'!$C$187</f>
        <v>1</v>
      </c>
      <c r="AT59" s="363">
        <f>'Var Bewässerung'!$E$109</f>
        <v>4</v>
      </c>
      <c r="AU59" s="169">
        <f>'Var Vorgaben'!$C$36</f>
        <v>32.700000000000003</v>
      </c>
      <c r="AV59" s="93">
        <f t="shared" si="54"/>
        <v>130.80000000000001</v>
      </c>
      <c r="AW59" s="484"/>
      <c r="AX59" s="49"/>
      <c r="AY59" t="s">
        <v>458</v>
      </c>
      <c r="AZ59" s="47">
        <f>'Var Vorgaben'!$C$187</f>
        <v>1</v>
      </c>
      <c r="BA59" s="363">
        <f>'Var Bewässerung'!$E$109</f>
        <v>4</v>
      </c>
      <c r="BB59" s="169">
        <f>'Var Vorgaben'!$C$36</f>
        <v>32.700000000000003</v>
      </c>
      <c r="BC59" s="93">
        <f t="shared" si="55"/>
        <v>130.80000000000001</v>
      </c>
      <c r="BD59" s="484"/>
      <c r="BE59" s="49"/>
      <c r="BF59" t="s">
        <v>458</v>
      </c>
      <c r="BG59" s="47">
        <f>'Var Vorgaben'!$C$187</f>
        <v>1</v>
      </c>
      <c r="BH59" s="363">
        <f>'Var Bewässerung'!$E$109</f>
        <v>4</v>
      </c>
      <c r="BI59" s="169">
        <f>'Var Vorgaben'!$C$36</f>
        <v>32.700000000000003</v>
      </c>
      <c r="BJ59" s="93">
        <f t="shared" si="56"/>
        <v>130.80000000000001</v>
      </c>
      <c r="BK59" s="484"/>
      <c r="BL59" s="49"/>
      <c r="BM59" t="s">
        <v>458</v>
      </c>
      <c r="BN59" s="47">
        <f>'Var Vorgaben'!$C$187</f>
        <v>1</v>
      </c>
      <c r="BO59" s="363">
        <f>'Var Bewässerung'!$E$109</f>
        <v>4</v>
      </c>
      <c r="BP59" s="169">
        <f>'Var Vorgaben'!$C$36</f>
        <v>32.700000000000003</v>
      </c>
      <c r="BQ59" s="93">
        <f t="shared" si="57"/>
        <v>130.80000000000001</v>
      </c>
      <c r="BR59" s="484"/>
      <c r="BS59" s="49"/>
      <c r="BT59" t="s">
        <v>458</v>
      </c>
      <c r="BU59" s="47">
        <f>'Var Vorgaben'!$C$187</f>
        <v>1</v>
      </c>
      <c r="BV59" s="363">
        <f>'Var Bewässerung'!$E$109</f>
        <v>4</v>
      </c>
      <c r="BW59" s="169">
        <f>'Var Vorgaben'!$C$36</f>
        <v>32.700000000000003</v>
      </c>
      <c r="BX59" s="93">
        <f t="shared" si="58"/>
        <v>130.80000000000001</v>
      </c>
      <c r="BY59" s="484"/>
      <c r="BZ59" s="49"/>
      <c r="CA59" t="s">
        <v>458</v>
      </c>
      <c r="CB59" s="47">
        <f>'Var Vorgaben'!$C$187</f>
        <v>1</v>
      </c>
      <c r="CC59" s="363">
        <f>'Var Bewässerung'!$E$109</f>
        <v>4</v>
      </c>
      <c r="CD59" s="169">
        <f>'Var Vorgaben'!$C$36</f>
        <v>32.700000000000003</v>
      </c>
      <c r="CE59" s="93">
        <f t="shared" si="59"/>
        <v>130.80000000000001</v>
      </c>
      <c r="CF59" s="484"/>
      <c r="CG59" s="49"/>
      <c r="CH59" t="s">
        <v>458</v>
      </c>
      <c r="CI59" s="47">
        <f>'Var Vorgaben'!$C$187</f>
        <v>1</v>
      </c>
      <c r="CJ59" s="363">
        <f>'Var Bewässerung'!$E$109</f>
        <v>4</v>
      </c>
      <c r="CK59" s="169">
        <f>'Var Vorgaben'!$C$36</f>
        <v>32.700000000000003</v>
      </c>
      <c r="CL59" s="93">
        <f t="shared" si="60"/>
        <v>130.80000000000001</v>
      </c>
      <c r="CM59" s="484"/>
      <c r="CN59" s="49"/>
      <c r="CO59" t="s">
        <v>458</v>
      </c>
      <c r="CP59" s="47">
        <f>'Var Vorgaben'!$C$187</f>
        <v>1</v>
      </c>
      <c r="CQ59" s="363">
        <f>'Var Bewässerung'!$E$109</f>
        <v>4</v>
      </c>
      <c r="CR59" s="169">
        <f>'Var Vorgaben'!$C$36</f>
        <v>32.700000000000003</v>
      </c>
      <c r="CS59" s="93">
        <f t="shared" si="61"/>
        <v>130.80000000000001</v>
      </c>
      <c r="CT59" s="484"/>
      <c r="CU59" s="49"/>
      <c r="CV59" t="s">
        <v>458</v>
      </c>
      <c r="CW59" s="47">
        <f>'Var Vorgaben'!$C$187</f>
        <v>1</v>
      </c>
      <c r="CX59" s="363">
        <f>'Var Bewässerung'!$E$109</f>
        <v>4</v>
      </c>
      <c r="CY59" s="169">
        <f>'Var Vorgaben'!$C$36</f>
        <v>32.700000000000003</v>
      </c>
      <c r="CZ59" s="93">
        <f t="shared" si="62"/>
        <v>130.80000000000001</v>
      </c>
      <c r="DA59" s="484"/>
      <c r="DB59" s="49"/>
      <c r="DC59" t="s">
        <v>458</v>
      </c>
      <c r="DD59" s="47">
        <f>'Var Vorgaben'!$C$187</f>
        <v>1</v>
      </c>
      <c r="DE59" s="363">
        <f>'Var Bewässerung'!$E$109</f>
        <v>4</v>
      </c>
      <c r="DF59" s="169">
        <f>'Var Vorgaben'!$C$36</f>
        <v>32.700000000000003</v>
      </c>
      <c r="DG59" s="93">
        <f t="shared" si="63"/>
        <v>130.80000000000001</v>
      </c>
      <c r="DH59" s="484"/>
    </row>
    <row r="60" spans="1:112" x14ac:dyDescent="0.2">
      <c r="B60" t="s">
        <v>537</v>
      </c>
      <c r="C60" s="47">
        <f>'Var Vorgaben'!$C$187</f>
        <v>1</v>
      </c>
      <c r="D60" s="363">
        <f>'Var Bewässerung'!$E$110</f>
        <v>10</v>
      </c>
      <c r="E60" s="169">
        <f>'Var Vorgaben'!$C$36</f>
        <v>32.700000000000003</v>
      </c>
      <c r="F60" s="93">
        <f t="shared" si="48"/>
        <v>327</v>
      </c>
      <c r="G60" s="484">
        <f t="shared" si="17"/>
        <v>3.456216703720906E-2</v>
      </c>
      <c r="H60" s="49"/>
      <c r="I60" t="s">
        <v>537</v>
      </c>
      <c r="J60" s="47">
        <f>'Var Vorgaben'!$C$187</f>
        <v>1</v>
      </c>
      <c r="K60" s="363">
        <f>'Var Bewässerung'!$E$110</f>
        <v>10</v>
      </c>
      <c r="L60" s="169">
        <f>'Var Vorgaben'!$C$36</f>
        <v>32.700000000000003</v>
      </c>
      <c r="M60" s="93">
        <f t="shared" si="49"/>
        <v>327</v>
      </c>
      <c r="N60" s="484"/>
      <c r="O60" s="49"/>
      <c r="P60" t="s">
        <v>537</v>
      </c>
      <c r="Q60" s="47">
        <f>'Var Vorgaben'!$C$187</f>
        <v>1</v>
      </c>
      <c r="R60" s="363">
        <f>'Var Bewässerung'!$E$110</f>
        <v>10</v>
      </c>
      <c r="S60" s="169">
        <f>'Var Vorgaben'!$C$36</f>
        <v>32.700000000000003</v>
      </c>
      <c r="T60" s="93">
        <f t="shared" si="50"/>
        <v>327</v>
      </c>
      <c r="U60" s="484"/>
      <c r="V60" s="49"/>
      <c r="W60" t="s">
        <v>537</v>
      </c>
      <c r="X60" s="47">
        <f>'Var Vorgaben'!$C$187</f>
        <v>1</v>
      </c>
      <c r="Y60" s="363">
        <f>'Var Bewässerung'!$E$110</f>
        <v>10</v>
      </c>
      <c r="Z60" s="169">
        <f>'Var Vorgaben'!$C$36</f>
        <v>32.700000000000003</v>
      </c>
      <c r="AA60" s="93">
        <f t="shared" si="51"/>
        <v>327</v>
      </c>
      <c r="AB60" s="484"/>
      <c r="AC60" s="49"/>
      <c r="AD60" t="s">
        <v>537</v>
      </c>
      <c r="AE60" s="47">
        <f>'Var Vorgaben'!$C$187</f>
        <v>1</v>
      </c>
      <c r="AF60" s="363">
        <f>'Var Bewässerung'!$E$110</f>
        <v>10</v>
      </c>
      <c r="AG60" s="169">
        <f>'Var Vorgaben'!$C$36</f>
        <v>32.700000000000003</v>
      </c>
      <c r="AH60" s="93">
        <f t="shared" si="52"/>
        <v>327</v>
      </c>
      <c r="AI60" s="484"/>
      <c r="AJ60" s="49"/>
      <c r="AK60" t="s">
        <v>537</v>
      </c>
      <c r="AL60" s="47">
        <f>'Var Vorgaben'!$C$187</f>
        <v>1</v>
      </c>
      <c r="AM60" s="363">
        <f>'Var Bewässerung'!$E$110</f>
        <v>10</v>
      </c>
      <c r="AN60" s="169">
        <f>'Var Vorgaben'!$C$36</f>
        <v>32.700000000000003</v>
      </c>
      <c r="AO60" s="93">
        <f t="shared" si="53"/>
        <v>327</v>
      </c>
      <c r="AP60" s="484"/>
      <c r="AQ60" s="49"/>
      <c r="AR60" t="s">
        <v>537</v>
      </c>
      <c r="AS60" s="47">
        <f>'Var Vorgaben'!$C$187</f>
        <v>1</v>
      </c>
      <c r="AT60" s="363">
        <f>'Var Bewässerung'!$E$110</f>
        <v>10</v>
      </c>
      <c r="AU60" s="169">
        <f>'Var Vorgaben'!$C$36</f>
        <v>32.700000000000003</v>
      </c>
      <c r="AV60" s="93">
        <f t="shared" si="54"/>
        <v>327</v>
      </c>
      <c r="AW60" s="484"/>
      <c r="AX60" s="49"/>
      <c r="AY60" t="s">
        <v>537</v>
      </c>
      <c r="AZ60" s="47">
        <f>'Var Vorgaben'!$C$187</f>
        <v>1</v>
      </c>
      <c r="BA60" s="363">
        <f>'Var Bewässerung'!$E$110</f>
        <v>10</v>
      </c>
      <c r="BB60" s="169">
        <f>'Var Vorgaben'!$C$36</f>
        <v>32.700000000000003</v>
      </c>
      <c r="BC60" s="93">
        <f t="shared" si="55"/>
        <v>327</v>
      </c>
      <c r="BD60" s="484"/>
      <c r="BE60" s="49"/>
      <c r="BF60" t="s">
        <v>537</v>
      </c>
      <c r="BG60" s="47">
        <f>'Var Vorgaben'!$C$187</f>
        <v>1</v>
      </c>
      <c r="BH60" s="363">
        <f>'Var Bewässerung'!$E$110</f>
        <v>10</v>
      </c>
      <c r="BI60" s="169">
        <f>'Var Vorgaben'!$C$36</f>
        <v>32.700000000000003</v>
      </c>
      <c r="BJ60" s="93">
        <f t="shared" si="56"/>
        <v>327</v>
      </c>
      <c r="BK60" s="484"/>
      <c r="BL60" s="49"/>
      <c r="BM60" t="s">
        <v>537</v>
      </c>
      <c r="BN60" s="47">
        <f>'Var Vorgaben'!$C$187</f>
        <v>1</v>
      </c>
      <c r="BO60" s="363">
        <f>'Var Bewässerung'!$E$110</f>
        <v>10</v>
      </c>
      <c r="BP60" s="169">
        <f>'Var Vorgaben'!$C$36</f>
        <v>32.700000000000003</v>
      </c>
      <c r="BQ60" s="93">
        <f t="shared" si="57"/>
        <v>327</v>
      </c>
      <c r="BR60" s="484"/>
      <c r="BS60" s="49"/>
      <c r="BT60" t="s">
        <v>537</v>
      </c>
      <c r="BU60" s="47">
        <f>'Var Vorgaben'!$C$187</f>
        <v>1</v>
      </c>
      <c r="BV60" s="363">
        <f>'Var Bewässerung'!$E$110</f>
        <v>10</v>
      </c>
      <c r="BW60" s="169">
        <f>'Var Vorgaben'!$C$36</f>
        <v>32.700000000000003</v>
      </c>
      <c r="BX60" s="93">
        <f t="shared" si="58"/>
        <v>327</v>
      </c>
      <c r="BY60" s="484"/>
      <c r="BZ60" s="49"/>
      <c r="CA60" t="s">
        <v>537</v>
      </c>
      <c r="CB60" s="47">
        <f>'Var Vorgaben'!$C$187</f>
        <v>1</v>
      </c>
      <c r="CC60" s="363">
        <f>'Var Bewässerung'!$E$110</f>
        <v>10</v>
      </c>
      <c r="CD60" s="169">
        <f>'Var Vorgaben'!$C$36</f>
        <v>32.700000000000003</v>
      </c>
      <c r="CE60" s="93">
        <f t="shared" si="59"/>
        <v>327</v>
      </c>
      <c r="CF60" s="484"/>
      <c r="CG60" s="49"/>
      <c r="CH60" t="s">
        <v>537</v>
      </c>
      <c r="CI60" s="47">
        <f>'Var Vorgaben'!$C$187</f>
        <v>1</v>
      </c>
      <c r="CJ60" s="363">
        <f>'Var Bewässerung'!$E$110</f>
        <v>10</v>
      </c>
      <c r="CK60" s="169">
        <f>'Var Vorgaben'!$C$36</f>
        <v>32.700000000000003</v>
      </c>
      <c r="CL60" s="93">
        <f t="shared" si="60"/>
        <v>327</v>
      </c>
      <c r="CM60" s="484"/>
      <c r="CN60" s="49"/>
      <c r="CO60" t="s">
        <v>537</v>
      </c>
      <c r="CP60" s="47">
        <f>'Var Vorgaben'!$C$187</f>
        <v>1</v>
      </c>
      <c r="CQ60" s="363">
        <f>'Var Bewässerung'!$E$110</f>
        <v>10</v>
      </c>
      <c r="CR60" s="169">
        <f>'Var Vorgaben'!$C$36</f>
        <v>32.700000000000003</v>
      </c>
      <c r="CS60" s="93">
        <f t="shared" si="61"/>
        <v>327</v>
      </c>
      <c r="CT60" s="484"/>
      <c r="CU60" s="49"/>
      <c r="CV60" t="s">
        <v>537</v>
      </c>
      <c r="CW60" s="47">
        <f>'Var Vorgaben'!$C$187</f>
        <v>1</v>
      </c>
      <c r="CX60" s="363">
        <f>'Var Bewässerung'!$E$110</f>
        <v>10</v>
      </c>
      <c r="CY60" s="169">
        <f>'Var Vorgaben'!$C$36</f>
        <v>32.700000000000003</v>
      </c>
      <c r="CZ60" s="93">
        <f t="shared" si="62"/>
        <v>327</v>
      </c>
      <c r="DA60" s="484"/>
      <c r="DB60" s="49"/>
      <c r="DC60" t="s">
        <v>537</v>
      </c>
      <c r="DD60" s="47">
        <f>'Var Vorgaben'!$C$187</f>
        <v>1</v>
      </c>
      <c r="DE60" s="363">
        <f>'Var Bewässerung'!$E$110</f>
        <v>10</v>
      </c>
      <c r="DF60" s="169">
        <f>'Var Vorgaben'!$C$36</f>
        <v>32.700000000000003</v>
      </c>
      <c r="DG60" s="93">
        <f t="shared" si="63"/>
        <v>327</v>
      </c>
      <c r="DH60" s="484"/>
    </row>
    <row r="61" spans="1:112" x14ac:dyDescent="0.2">
      <c r="B61" s="80" t="str">
        <f>'Var Vorgaben'!$D$68</f>
        <v>Ernte inkl. Sortieren</v>
      </c>
      <c r="C61" s="504">
        <f>'Var Vorgaben'!D69</f>
        <v>40</v>
      </c>
      <c r="D61" s="363">
        <f>D10/C61</f>
        <v>0</v>
      </c>
      <c r="E61" s="169">
        <f>'Var Vorgaben'!$C$35</f>
        <v>22.62</v>
      </c>
      <c r="F61" s="93">
        <f t="shared" si="16"/>
        <v>0</v>
      </c>
      <c r="G61" s="484">
        <f t="shared" si="17"/>
        <v>0</v>
      </c>
      <c r="H61" s="49"/>
      <c r="I61" s="80" t="str">
        <f>'Var Vorgaben'!$D$68</f>
        <v>Ernte inkl. Sortieren</v>
      </c>
      <c r="J61" s="504">
        <f>'Var Vorgaben'!D70</f>
        <v>40</v>
      </c>
      <c r="K61" s="363">
        <f>K10/J61</f>
        <v>100</v>
      </c>
      <c r="L61" s="169">
        <f>'Var Vorgaben'!$C$35</f>
        <v>22.62</v>
      </c>
      <c r="M61" s="93">
        <f t="shared" si="18"/>
        <v>2262</v>
      </c>
      <c r="N61" s="484">
        <f t="shared" si="19"/>
        <v>0.16450414724246895</v>
      </c>
      <c r="O61" s="49"/>
      <c r="P61" s="80" t="str">
        <f>'Var Vorgaben'!$D$68</f>
        <v>Ernte inkl. Sortieren</v>
      </c>
      <c r="Q61" s="504">
        <f>'Var Vorgaben'!D71</f>
        <v>40</v>
      </c>
      <c r="R61" s="363">
        <f>R10/Q61</f>
        <v>150</v>
      </c>
      <c r="S61" s="169">
        <f>'Var Vorgaben'!$C$35</f>
        <v>22.62</v>
      </c>
      <c r="T61" s="93">
        <f t="shared" si="20"/>
        <v>3393</v>
      </c>
      <c r="U61" s="484">
        <f t="shared" si="21"/>
        <v>0.16698655663244066</v>
      </c>
      <c r="V61" s="49"/>
      <c r="W61" s="80" t="str">
        <f>'Var Vorgaben'!$D$68</f>
        <v>Ernte inkl. Sortieren</v>
      </c>
      <c r="X61" s="504">
        <f>'Var Vorgaben'!D72</f>
        <v>40</v>
      </c>
      <c r="Y61" s="363">
        <f>Y10/X61</f>
        <v>250</v>
      </c>
      <c r="Z61" s="169">
        <f>'Var Vorgaben'!$C$35</f>
        <v>22.62</v>
      </c>
      <c r="AA61" s="93">
        <f t="shared" si="23"/>
        <v>5655</v>
      </c>
      <c r="AB61" s="484">
        <f t="shared" si="22"/>
        <v>0.23392371239896748</v>
      </c>
      <c r="AC61" s="49"/>
      <c r="AD61" s="80" t="str">
        <f>'Var Vorgaben'!$D$68</f>
        <v>Ernte inkl. Sortieren</v>
      </c>
      <c r="AE61" s="504">
        <f>'Var Vorgaben'!D73</f>
        <v>40</v>
      </c>
      <c r="AF61" s="363">
        <f>AF10/AE61</f>
        <v>450</v>
      </c>
      <c r="AG61" s="169">
        <f>'Var Vorgaben'!$C$35</f>
        <v>22.62</v>
      </c>
      <c r="AH61" s="93">
        <f t="shared" si="24"/>
        <v>10179</v>
      </c>
      <c r="AI61" s="484">
        <f t="shared" si="25"/>
        <v>0.29170511301567775</v>
      </c>
      <c r="AJ61" s="80"/>
      <c r="AK61" s="80" t="str">
        <f>'Var Vorgaben'!$D$68</f>
        <v>Ernte inkl. Sortieren</v>
      </c>
      <c r="AL61" s="504">
        <f>'Var Vorgaben'!D74</f>
        <v>40</v>
      </c>
      <c r="AM61" s="363">
        <f>AM10/AL61</f>
        <v>550</v>
      </c>
      <c r="AN61" s="169">
        <f>'Var Vorgaben'!$C$35</f>
        <v>22.62</v>
      </c>
      <c r="AO61" s="93">
        <f t="shared" si="26"/>
        <v>12441</v>
      </c>
      <c r="AP61" s="484">
        <f t="shared" si="27"/>
        <v>0.3240458902798905</v>
      </c>
      <c r="AQ61" s="80"/>
      <c r="AR61" s="80" t="str">
        <f>'Var Vorgaben'!$D$68</f>
        <v>Ernte inkl. Sortieren</v>
      </c>
      <c r="AS61" s="504">
        <f>'Var Vorgaben'!D75</f>
        <v>40</v>
      </c>
      <c r="AT61" s="363">
        <f>AT10/AS61</f>
        <v>650</v>
      </c>
      <c r="AU61" s="169">
        <f>'Var Vorgaben'!$C$35</f>
        <v>22.62</v>
      </c>
      <c r="AV61" s="93">
        <f t="shared" si="28"/>
        <v>14703</v>
      </c>
      <c r="AW61" s="484">
        <f t="shared" si="29"/>
        <v>0.35122162314461081</v>
      </c>
      <c r="AX61" s="80"/>
      <c r="AY61" s="80" t="str">
        <f>'Var Vorgaben'!$D$68</f>
        <v>Ernte inkl. Sortieren</v>
      </c>
      <c r="AZ61" s="504">
        <f>'Var Vorgaben'!D76</f>
        <v>40</v>
      </c>
      <c r="BA61" s="363">
        <f>BA10/AZ61</f>
        <v>650</v>
      </c>
      <c r="BB61" s="169">
        <f>'Var Vorgaben'!$C$35</f>
        <v>22.62</v>
      </c>
      <c r="BC61" s="93">
        <f t="shared" si="30"/>
        <v>14703</v>
      </c>
      <c r="BD61" s="484">
        <f t="shared" si="31"/>
        <v>0.35139489186998868</v>
      </c>
      <c r="BE61" s="80"/>
      <c r="BF61" s="80" t="str">
        <f>'Var Vorgaben'!$D$68</f>
        <v>Ernte inkl. Sortieren</v>
      </c>
      <c r="BG61" s="504">
        <f>'Var Vorgaben'!D77</f>
        <v>40</v>
      </c>
      <c r="BH61" s="363">
        <f>BH10/BG61</f>
        <v>650</v>
      </c>
      <c r="BI61" s="169">
        <f>'Var Vorgaben'!$C$35</f>
        <v>22.62</v>
      </c>
      <c r="BJ61" s="93">
        <f t="shared" si="32"/>
        <v>14703</v>
      </c>
      <c r="BK61" s="484">
        <f t="shared" si="33"/>
        <v>0.35156989337291844</v>
      </c>
      <c r="BL61" s="80"/>
      <c r="BM61" s="80" t="str">
        <f>'Var Vorgaben'!$D$68</f>
        <v>Ernte inkl. Sortieren</v>
      </c>
      <c r="BN61" s="504">
        <f>'Var Vorgaben'!D78</f>
        <v>40</v>
      </c>
      <c r="BO61" s="363">
        <f>BO10/BN61</f>
        <v>650</v>
      </c>
      <c r="BP61" s="169">
        <f>'Var Vorgaben'!$C$35</f>
        <v>22.62</v>
      </c>
      <c r="BQ61" s="93">
        <f t="shared" si="34"/>
        <v>14703</v>
      </c>
      <c r="BR61" s="484">
        <f t="shared" si="35"/>
        <v>0.35174664664673372</v>
      </c>
      <c r="BS61" s="80"/>
      <c r="BT61" s="80" t="str">
        <f>'Var Vorgaben'!$D$68</f>
        <v>Ernte inkl. Sortieren</v>
      </c>
      <c r="BU61" s="504">
        <f>'Var Vorgaben'!D79</f>
        <v>40</v>
      </c>
      <c r="BV61" s="363">
        <f>BV10/BU61</f>
        <v>650</v>
      </c>
      <c r="BW61" s="169">
        <f>'Var Vorgaben'!$C$35</f>
        <v>22.62</v>
      </c>
      <c r="BX61" s="93">
        <f t="shared" si="36"/>
        <v>14703</v>
      </c>
      <c r="BY61" s="484">
        <f t="shared" si="37"/>
        <v>0.35192517092488423</v>
      </c>
      <c r="BZ61" s="80"/>
      <c r="CA61" s="80" t="str">
        <f>'Var Vorgaben'!$D$68</f>
        <v>Ernte inkl. Sortieren</v>
      </c>
      <c r="CB61" s="504">
        <f>'Var Vorgaben'!D80</f>
        <v>40</v>
      </c>
      <c r="CC61" s="363">
        <f>CC10/CB61</f>
        <v>650</v>
      </c>
      <c r="CD61" s="169">
        <f>'Var Vorgaben'!$C$35</f>
        <v>22.62</v>
      </c>
      <c r="CE61" s="93">
        <f t="shared" si="38"/>
        <v>14703</v>
      </c>
      <c r="CF61" s="484">
        <f t="shared" si="39"/>
        <v>0.35210548568457939</v>
      </c>
      <c r="CG61" s="80"/>
      <c r="CH61" s="80" t="str">
        <f>'Var Vorgaben'!$D$68</f>
        <v>Ernte inkl. Sortieren</v>
      </c>
      <c r="CI61" s="504">
        <f>'Var Vorgaben'!D81</f>
        <v>40</v>
      </c>
      <c r="CJ61" s="363">
        <f>CJ10/CI61</f>
        <v>650</v>
      </c>
      <c r="CK61" s="169">
        <f>'Var Vorgaben'!$C$35</f>
        <v>22.62</v>
      </c>
      <c r="CL61" s="93">
        <f t="shared" si="40"/>
        <v>14703</v>
      </c>
      <c r="CM61" s="484">
        <f t="shared" si="41"/>
        <v>0.35228761065049841</v>
      </c>
      <c r="CN61" s="80"/>
      <c r="CO61" s="80" t="str">
        <f>'Var Vorgaben'!$D$68</f>
        <v>Ernte inkl. Sortieren</v>
      </c>
      <c r="CP61" s="504">
        <f>'Var Vorgaben'!D82</f>
        <v>40</v>
      </c>
      <c r="CQ61" s="363">
        <f>CQ10/CP61</f>
        <v>650</v>
      </c>
      <c r="CR61" s="169">
        <f>'Var Vorgaben'!$C$35</f>
        <v>22.62</v>
      </c>
      <c r="CS61" s="93">
        <f t="shared" si="42"/>
        <v>14703</v>
      </c>
      <c r="CT61" s="484">
        <f t="shared" si="43"/>
        <v>0.35247156579856925</v>
      </c>
      <c r="CU61" s="80"/>
      <c r="CV61" s="80" t="str">
        <f>'Var Vorgaben'!$D$68</f>
        <v>Ernte inkl. Sortieren</v>
      </c>
      <c r="CW61" s="504">
        <f>'Var Vorgaben'!D83</f>
        <v>40</v>
      </c>
      <c r="CX61" s="363">
        <f>CX10/CW61</f>
        <v>650</v>
      </c>
      <c r="CY61" s="169">
        <f>'Var Vorgaben'!$C$35</f>
        <v>22.62</v>
      </c>
      <c r="CZ61" s="93">
        <f t="shared" si="44"/>
        <v>14703</v>
      </c>
      <c r="DA61" s="484">
        <f t="shared" si="45"/>
        <v>0.35265737135981678</v>
      </c>
      <c r="DB61" s="80"/>
      <c r="DC61" s="80" t="str">
        <f>'Var Vorgaben'!$D$68</f>
        <v>Ernte inkl. Sortieren</v>
      </c>
      <c r="DD61" s="504">
        <f>'Var Vorgaben'!D84</f>
        <v>40</v>
      </c>
      <c r="DE61" s="363">
        <f>DE10/DD61</f>
        <v>650</v>
      </c>
      <c r="DF61" s="169">
        <f>'Var Vorgaben'!$C$35</f>
        <v>22.62</v>
      </c>
      <c r="DG61" s="93">
        <f t="shared" si="46"/>
        <v>14703</v>
      </c>
      <c r="DH61" s="484">
        <f t="shared" si="47"/>
        <v>0.3084339512057101</v>
      </c>
    </row>
    <row r="62" spans="1:112" ht="12.75" customHeight="1" thickBot="1" x14ac:dyDescent="0.25">
      <c r="B62" s="73" t="s">
        <v>104</v>
      </c>
      <c r="C62" s="323"/>
      <c r="D62" s="659">
        <f>'Var Vorgaben'!F92+'Var Vorgaben'!G92</f>
        <v>20</v>
      </c>
      <c r="E62" s="169">
        <f>'Var Vorgaben'!$C$32</f>
        <v>41.4</v>
      </c>
      <c r="F62" s="658">
        <f t="shared" si="16"/>
        <v>828</v>
      </c>
      <c r="G62" s="484">
        <f t="shared" si="17"/>
        <v>8.7515211947428437E-2</v>
      </c>
      <c r="H62" s="49"/>
      <c r="I62" s="73" t="s">
        <v>104</v>
      </c>
      <c r="J62" s="323"/>
      <c r="K62" s="659">
        <f>'Var Vorgaben'!F93+'Var Vorgaben'!G93</f>
        <v>20</v>
      </c>
      <c r="L62" s="169">
        <f>'Var Vorgaben'!$C$32</f>
        <v>41.4</v>
      </c>
      <c r="M62" s="658">
        <f t="shared" si="18"/>
        <v>828</v>
      </c>
      <c r="N62" s="484">
        <f t="shared" si="19"/>
        <v>6.0216372200161052E-2</v>
      </c>
      <c r="O62" s="49"/>
      <c r="P62" s="73" t="s">
        <v>104</v>
      </c>
      <c r="Q62" s="323"/>
      <c r="R62" s="659">
        <f>'Var Vorgaben'!$F$94+'Var Vorgaben'!$G$94</f>
        <v>20</v>
      </c>
      <c r="S62" s="169">
        <f>'Var Vorgaben'!$C$32</f>
        <v>41.4</v>
      </c>
      <c r="T62" s="658">
        <f t="shared" si="20"/>
        <v>828</v>
      </c>
      <c r="U62" s="484">
        <f t="shared" si="21"/>
        <v>4.0750035040277299E-2</v>
      </c>
      <c r="V62" s="49"/>
      <c r="W62" s="73" t="s">
        <v>104</v>
      </c>
      <c r="X62" s="323"/>
      <c r="Y62" s="659">
        <f>'Var Vorgaben'!$F$94+'Var Vorgaben'!$G$94</f>
        <v>20</v>
      </c>
      <c r="Z62" s="169">
        <f>'Var Vorgaben'!$C$32</f>
        <v>41.4</v>
      </c>
      <c r="AA62" s="658">
        <f t="shared" si="23"/>
        <v>828</v>
      </c>
      <c r="AB62" s="484">
        <f t="shared" si="22"/>
        <v>3.4250899003774551E-2</v>
      </c>
      <c r="AC62" s="49"/>
      <c r="AD62" s="73" t="s">
        <v>104</v>
      </c>
      <c r="AE62" s="323"/>
      <c r="AF62" s="659">
        <f>'Var Vorgaben'!$F$91+'Var Vorgaben'!$G$91</f>
        <v>40</v>
      </c>
      <c r="AG62" s="169">
        <f>'Var Vorgaben'!$C$32</f>
        <v>41.4</v>
      </c>
      <c r="AH62" s="658">
        <f t="shared" si="24"/>
        <v>1656</v>
      </c>
      <c r="AI62" s="484">
        <f t="shared" si="25"/>
        <v>4.7456888412806993E-2</v>
      </c>
      <c r="AJ62" s="80"/>
      <c r="AK62" s="73" t="s">
        <v>104</v>
      </c>
      <c r="AL62" s="323"/>
      <c r="AM62" s="659">
        <f>'Var Vorgaben'!$F$91+'Var Vorgaben'!$G$91</f>
        <v>40</v>
      </c>
      <c r="AN62" s="169">
        <f>'Var Vorgaben'!$C$32</f>
        <v>41.4</v>
      </c>
      <c r="AO62" s="658">
        <f t="shared" si="26"/>
        <v>1656</v>
      </c>
      <c r="AP62" s="484">
        <f t="shared" si="27"/>
        <v>4.3133188192548723E-2</v>
      </c>
      <c r="AQ62" s="80"/>
      <c r="AR62" s="73" t="s">
        <v>104</v>
      </c>
      <c r="AS62" s="323"/>
      <c r="AT62" s="659">
        <f>'Var Vorgaben'!$F$91+'Var Vorgaben'!$G$91</f>
        <v>40</v>
      </c>
      <c r="AU62" s="169">
        <f>'Var Vorgaben'!$C$32</f>
        <v>41.4</v>
      </c>
      <c r="AV62" s="658">
        <f t="shared" si="28"/>
        <v>1656</v>
      </c>
      <c r="AW62" s="484">
        <f t="shared" si="29"/>
        <v>3.955811793018265E-2</v>
      </c>
      <c r="AX62" s="80"/>
      <c r="AY62" s="73" t="s">
        <v>104</v>
      </c>
      <c r="AZ62" s="323"/>
      <c r="BA62" s="659">
        <f>'Var Vorgaben'!$F$91+'Var Vorgaben'!$G$91</f>
        <v>40</v>
      </c>
      <c r="BB62" s="169">
        <f>'Var Vorgaben'!$C$32</f>
        <v>41.4</v>
      </c>
      <c r="BC62" s="658">
        <f t="shared" si="30"/>
        <v>1656</v>
      </c>
      <c r="BD62" s="484">
        <f t="shared" si="31"/>
        <v>3.9577633199802849E-2</v>
      </c>
      <c r="BE62" s="80"/>
      <c r="BF62" s="73" t="s">
        <v>104</v>
      </c>
      <c r="BG62" s="323"/>
      <c r="BH62" s="659">
        <f>'Var Vorgaben'!$F$91+'Var Vorgaben'!$G$91</f>
        <v>40</v>
      </c>
      <c r="BI62" s="169">
        <f>'Var Vorgaben'!$C$32</f>
        <v>41.4</v>
      </c>
      <c r="BJ62" s="658">
        <f t="shared" si="32"/>
        <v>1656</v>
      </c>
      <c r="BK62" s="484">
        <f t="shared" si="33"/>
        <v>3.9597343632289533E-2</v>
      </c>
      <c r="BL62" s="80"/>
      <c r="BM62" s="73" t="s">
        <v>104</v>
      </c>
      <c r="BN62" s="323"/>
      <c r="BO62" s="659">
        <f>'Var Vorgaben'!$F$91+'Var Vorgaben'!$G$91</f>
        <v>40</v>
      </c>
      <c r="BP62" s="169">
        <f>'Var Vorgaben'!$C$32</f>
        <v>41.4</v>
      </c>
      <c r="BQ62" s="658">
        <f t="shared" si="34"/>
        <v>1656</v>
      </c>
      <c r="BR62" s="484">
        <f t="shared" si="35"/>
        <v>3.9617251366863296E-2</v>
      </c>
      <c r="BS62" s="80"/>
      <c r="BT62" s="73" t="s">
        <v>104</v>
      </c>
      <c r="BU62" s="323"/>
      <c r="BV62" s="659">
        <f>'Var Vorgaben'!$F$91+'Var Vorgaben'!$G$91</f>
        <v>40</v>
      </c>
      <c r="BW62" s="169">
        <f>'Var Vorgaben'!$C$32</f>
        <v>41.4</v>
      </c>
      <c r="BX62" s="658">
        <f t="shared" si="36"/>
        <v>1656</v>
      </c>
      <c r="BY62" s="484">
        <f t="shared" si="37"/>
        <v>3.9637358569789047E-2</v>
      </c>
      <c r="BZ62" s="80"/>
      <c r="CA62" s="73" t="s">
        <v>104</v>
      </c>
      <c r="CB62" s="323"/>
      <c r="CC62" s="659">
        <f>'Var Vorgaben'!$F$91+'Var Vorgaben'!$G$91</f>
        <v>40</v>
      </c>
      <c r="CD62" s="169">
        <f>'Var Vorgaben'!$C$32</f>
        <v>41.4</v>
      </c>
      <c r="CE62" s="658">
        <f t="shared" si="38"/>
        <v>1656</v>
      </c>
      <c r="CF62" s="484">
        <f t="shared" si="39"/>
        <v>3.9657667434786339E-2</v>
      </c>
      <c r="CG62" s="80"/>
      <c r="CH62" s="73" t="s">
        <v>104</v>
      </c>
      <c r="CI62" s="323"/>
      <c r="CJ62" s="659">
        <f>'Var Vorgaben'!$F$91+'Var Vorgaben'!$G$91</f>
        <v>40</v>
      </c>
      <c r="CK62" s="169">
        <f>'Var Vorgaben'!$C$32</f>
        <v>41.4</v>
      </c>
      <c r="CL62" s="658">
        <f t="shared" si="40"/>
        <v>1656</v>
      </c>
      <c r="CM62" s="484">
        <f t="shared" si="41"/>
        <v>3.9678180183447279E-2</v>
      </c>
      <c r="CN62" s="80"/>
      <c r="CO62" s="73" t="s">
        <v>104</v>
      </c>
      <c r="CP62" s="323"/>
      <c r="CQ62" s="659">
        <f>'Var Vorgaben'!$F$91+'Var Vorgaben'!$G$91</f>
        <v>40</v>
      </c>
      <c r="CR62" s="169">
        <f>'Var Vorgaben'!$C$32</f>
        <v>41.4</v>
      </c>
      <c r="CS62" s="658">
        <f t="shared" si="42"/>
        <v>1656</v>
      </c>
      <c r="CT62" s="484">
        <f t="shared" si="43"/>
        <v>3.9698899065662159E-2</v>
      </c>
      <c r="CU62" s="80"/>
      <c r="CV62" s="73" t="s">
        <v>104</v>
      </c>
      <c r="CW62" s="323"/>
      <c r="CX62" s="659">
        <f>'Var Vorgaben'!$F$91+'Var Vorgaben'!$G$91</f>
        <v>40</v>
      </c>
      <c r="CY62" s="169">
        <f>'Var Vorgaben'!$C$32</f>
        <v>41.4</v>
      </c>
      <c r="CZ62" s="658">
        <f t="shared" si="44"/>
        <v>1656</v>
      </c>
      <c r="DA62" s="484">
        <f t="shared" si="45"/>
        <v>3.9719826360052821E-2</v>
      </c>
      <c r="DB62" s="80"/>
      <c r="DC62" s="73" t="s">
        <v>104</v>
      </c>
      <c r="DD62" s="323"/>
      <c r="DE62" s="659">
        <f>'Var Vorgaben'!$F$91+'Var Vorgaben'!$G$91</f>
        <v>40</v>
      </c>
      <c r="DF62" s="169">
        <f>'Var Vorgaben'!$C$32</f>
        <v>41.4</v>
      </c>
      <c r="DG62" s="658">
        <f t="shared" si="46"/>
        <v>1656</v>
      </c>
      <c r="DH62" s="484">
        <f t="shared" si="47"/>
        <v>3.4738939209457656E-2</v>
      </c>
    </row>
    <row r="63" spans="1:112" x14ac:dyDescent="0.2">
      <c r="A63" s="106" t="s">
        <v>95</v>
      </c>
      <c r="B63" s="505">
        <f>('Var Vorgaben'!$F$34*D54)+('Var Vorgaben'!$F$34*D61)</f>
        <v>0</v>
      </c>
      <c r="C63" s="124" t="s">
        <v>93</v>
      </c>
      <c r="D63" s="366">
        <f>SUM(D50:D54)+C55*D55+C56*D56+C57*D57+C58*D58+C59*D59+C60*D60+D61+D62</f>
        <v>89.4</v>
      </c>
      <c r="E63" s="169"/>
      <c r="F63" s="162">
        <f>SUM(F50:F62)</f>
        <v>2996.58</v>
      </c>
      <c r="G63" s="655">
        <f t="shared" si="17"/>
        <v>0.31672262538336365</v>
      </c>
      <c r="H63" s="106" t="s">
        <v>95</v>
      </c>
      <c r="I63" s="505">
        <f>('Var Vorgaben'!$F$34*K54)+('Var Vorgaben'!$F$34*K61)</f>
        <v>90</v>
      </c>
      <c r="J63" s="124" t="s">
        <v>93</v>
      </c>
      <c r="K63" s="366">
        <f>SUM(K50:K54)+J55*K55+J56*K56+J57*K57+J58*K58+J59*K59+J60*K60+K61+K62</f>
        <v>210.4</v>
      </c>
      <c r="L63" s="169"/>
      <c r="M63" s="162">
        <f>SUM(M50:M62)</f>
        <v>5945.28</v>
      </c>
      <c r="N63" s="655">
        <f t="shared" si="19"/>
        <v>0.4323710064180839</v>
      </c>
      <c r="O63" s="106" t="s">
        <v>95</v>
      </c>
      <c r="P63" s="505">
        <f>('Var Vorgaben'!$F$34*R54)+('Var Vorgaben'!$F$34*R61)</f>
        <v>189</v>
      </c>
      <c r="Q63" s="124" t="s">
        <v>93</v>
      </c>
      <c r="R63" s="366">
        <f>SUM(R50:R54)+Q55*R55+Q56*R56+Q57*R57+Q58*R58+Q59*R59+Q60*R60+R61+R62</f>
        <v>348.4</v>
      </c>
      <c r="S63" s="169"/>
      <c r="T63" s="162">
        <f>SUM(T50:T62)</f>
        <v>9356.880000000001</v>
      </c>
      <c r="U63" s="655">
        <f t="shared" si="21"/>
        <v>0.46049901916385255</v>
      </c>
      <c r="V63" s="106" t="s">
        <v>95</v>
      </c>
      <c r="W63" s="505">
        <f>('Var Vorgaben'!$F$34*Y54)+('Var Vorgaben'!$F$34*Y61)</f>
        <v>279</v>
      </c>
      <c r="X63" s="124" t="s">
        <v>93</v>
      </c>
      <c r="Y63" s="366">
        <f>SUM(Y50:Y54)+X55*Y55+X56*Y56+X57*Y57+X58*Y58+X59*Y59+X60*Y60+Y61+Y62</f>
        <v>448.4</v>
      </c>
      <c r="Z63" s="169"/>
      <c r="AA63" s="162">
        <f>SUM(AA50:AA62)</f>
        <v>11618.880000000001</v>
      </c>
      <c r="AB63" s="655">
        <f t="shared" si="22"/>
        <v>0.48062449929586482</v>
      </c>
      <c r="AC63" s="106" t="s">
        <v>95</v>
      </c>
      <c r="AD63" s="505">
        <f>('Var Vorgaben'!$F$34*AF54)+('Var Vorgaben'!$F$34*AF61)</f>
        <v>495</v>
      </c>
      <c r="AE63" s="124" t="s">
        <v>93</v>
      </c>
      <c r="AF63" s="366">
        <f>SUM(AF50:AF54)+AE55*AF55+AE56*AF56+AE57*AF57+AE58*AF58+AE59*AF59+AE60*AF60+AF61+AF62</f>
        <v>750.4</v>
      </c>
      <c r="AG63" s="169"/>
      <c r="AH63" s="162">
        <f>SUM(AH50:AH62)</f>
        <v>19254.28</v>
      </c>
      <c r="AI63" s="655">
        <f t="shared" si="25"/>
        <v>0.55178032453438486</v>
      </c>
      <c r="AJ63" s="124" t="s">
        <v>95</v>
      </c>
      <c r="AK63" s="505">
        <f>('Var Vorgaben'!$F$34*AM54)+('Var Vorgaben'!$F$34*AM61)</f>
        <v>585</v>
      </c>
      <c r="AL63" s="124" t="s">
        <v>93</v>
      </c>
      <c r="AM63" s="366">
        <f>SUM(AM50:AM54)+AL55*AM55+AL56*AM56+AL57*AM57+AL58*AM58+AL59*AM59+AL60*AM60+AM61+AM62</f>
        <v>850.4</v>
      </c>
      <c r="AN63" s="169"/>
      <c r="AO63" s="162">
        <f>SUM(AO50:AO62)</f>
        <v>21516.28</v>
      </c>
      <c r="AP63" s="655">
        <f t="shared" si="27"/>
        <v>0.56042618021954849</v>
      </c>
      <c r="AQ63" s="124" t="s">
        <v>95</v>
      </c>
      <c r="AR63" s="505">
        <f>('Var Vorgaben'!$F$34*AT54)+('Var Vorgaben'!$F$34*AT61)</f>
        <v>675</v>
      </c>
      <c r="AS63" s="124" t="s">
        <v>93</v>
      </c>
      <c r="AT63" s="366">
        <f>SUM(AT50:AT54)+AS55*AT55+AS56*AT56+AS57*AT57+AS58*AT58+AS59*AT59+AS60*AT60+AT61+AT62</f>
        <v>950.4</v>
      </c>
      <c r="AU63" s="169"/>
      <c r="AV63" s="162">
        <f>SUM(AV50:AV62)</f>
        <v>23778.28</v>
      </c>
      <c r="AW63" s="655">
        <f t="shared" si="29"/>
        <v>0.56800966450296098</v>
      </c>
      <c r="AX63" s="124" t="s">
        <v>95</v>
      </c>
      <c r="AY63" s="505">
        <f>('Var Vorgaben'!$F$34*BA54)+('Var Vorgaben'!$F$34*BA61)</f>
        <v>675</v>
      </c>
      <c r="AZ63" s="124" t="s">
        <v>93</v>
      </c>
      <c r="BA63" s="366">
        <f>SUM(BA50:BA54)+AZ55*BA55+AZ56*BA56+AZ57*BA57+AZ58*BA58+AZ59*BA59+AZ60*BA60+BA61+BA62</f>
        <v>950.4</v>
      </c>
      <c r="BB63" s="169"/>
      <c r="BC63" s="162">
        <f>SUM(BC50:BC62)</f>
        <v>23778.28</v>
      </c>
      <c r="BD63" s="655">
        <f t="shared" si="31"/>
        <v>0.56828988161969085</v>
      </c>
      <c r="BE63" s="124" t="s">
        <v>95</v>
      </c>
      <c r="BF63" s="505">
        <f>('Var Vorgaben'!$F$34*BH54)+('Var Vorgaben'!$F$34*BH61)</f>
        <v>675</v>
      </c>
      <c r="BG63" s="124" t="s">
        <v>93</v>
      </c>
      <c r="BH63" s="366">
        <f>SUM(BH50:BH54)+BG55*BH55+BG56*BH56+BG57*BH57+BG58*BH58+BG59*BH59+BG60*BH60+BH61+BH62</f>
        <v>950.4</v>
      </c>
      <c r="BI63" s="169"/>
      <c r="BJ63" s="162">
        <f>SUM(BJ50:BJ62)</f>
        <v>23778.28</v>
      </c>
      <c r="BK63" s="655">
        <f t="shared" si="33"/>
        <v>0.56857290105362168</v>
      </c>
      <c r="BL63" s="124" t="s">
        <v>95</v>
      </c>
      <c r="BM63" s="505">
        <f>('Var Vorgaben'!$F$34*BO54)+('Var Vorgaben'!$F$34*BO61)</f>
        <v>675</v>
      </c>
      <c r="BN63" s="124" t="s">
        <v>93</v>
      </c>
      <c r="BO63" s="366">
        <f>SUM(BO50:BO54)+BN55*BO55+BN56*BO56+BN57*BO57+BN58*BO58+BN59*BO59+BN60*BO60+BO61+BO62</f>
        <v>950.4</v>
      </c>
      <c r="BP63" s="169"/>
      <c r="BQ63" s="162">
        <f>SUM(BQ50:BQ62)</f>
        <v>23778.28</v>
      </c>
      <c r="BR63" s="655">
        <f t="shared" si="35"/>
        <v>0.56885875352153259</v>
      </c>
      <c r="BS63" s="124" t="s">
        <v>95</v>
      </c>
      <c r="BT63" s="505">
        <f>('Var Vorgaben'!$F$34*BV54)+('Var Vorgaben'!$F$34*BV61)</f>
        <v>675</v>
      </c>
      <c r="BU63" s="124" t="s">
        <v>93</v>
      </c>
      <c r="BV63" s="366">
        <f>SUM(BV50:BV54)+BU55*BV55+BU56*BV56+BU57*BV57+BU58*BV58+BU59*BV59+BU60*BV60+BV61+BV62</f>
        <v>950.4</v>
      </c>
      <c r="BW63" s="169"/>
      <c r="BX63" s="162">
        <f>SUM(BX50:BX62)</f>
        <v>23778.28</v>
      </c>
      <c r="BY63" s="655">
        <f t="shared" si="37"/>
        <v>0.56914747012852862</v>
      </c>
      <c r="BZ63" s="124" t="s">
        <v>95</v>
      </c>
      <c r="CA63" s="505">
        <f>('Var Vorgaben'!$F$34*CC54)+('Var Vorgaben'!$F$34*CC61)</f>
        <v>675</v>
      </c>
      <c r="CB63" s="124" t="s">
        <v>93</v>
      </c>
      <c r="CC63" s="366">
        <f>SUM(CC50:CC54)+CB55*CC55+CB56*CC56+CB57*CC57+CB58*CC58+CB59*CC59+CB60*CC60+CC61+CC62</f>
        <v>950.4</v>
      </c>
      <c r="CD63" s="169"/>
      <c r="CE63" s="162">
        <f>SUM(CE50:CE62)</f>
        <v>23778.28</v>
      </c>
      <c r="CF63" s="655">
        <f t="shared" si="39"/>
        <v>0.56943908237393193</v>
      </c>
      <c r="CG63" s="124" t="s">
        <v>95</v>
      </c>
      <c r="CH63" s="505">
        <f>('Var Vorgaben'!$F$34*CJ54)+('Var Vorgaben'!$F$34*CJ61)</f>
        <v>675</v>
      </c>
      <c r="CI63" s="124" t="s">
        <v>93</v>
      </c>
      <c r="CJ63" s="366">
        <f>SUM(CJ50:CJ54)+CI55*CJ55+CI56*CJ56+CI57*CJ57+CI58*CJ58+CI59*CJ59+CI60*CJ60+CJ61+CJ62</f>
        <v>950.4</v>
      </c>
      <c r="CK63" s="169"/>
      <c r="CL63" s="162">
        <f>SUM(CL50:CL62)</f>
        <v>23778.28</v>
      </c>
      <c r="CM63" s="655">
        <f t="shared" si="41"/>
        <v>0.56973362215728307</v>
      </c>
      <c r="CN63" s="124" t="s">
        <v>95</v>
      </c>
      <c r="CO63" s="505">
        <f>('Var Vorgaben'!$F$34*CQ54)+('Var Vorgaben'!$F$34*CQ61)</f>
        <v>675</v>
      </c>
      <c r="CP63" s="124" t="s">
        <v>93</v>
      </c>
      <c r="CQ63" s="366">
        <f>SUM(CQ50:CQ54)+CP55*CQ55+CP56*CQ56+CP57*CQ57+CP58*CQ58+CP59*CQ59+CP60*CQ60+CQ61+CQ62</f>
        <v>950.4</v>
      </c>
      <c r="CR63" s="169"/>
      <c r="CS63" s="162">
        <f>SUM(CS50:CS62)</f>
        <v>23778.28</v>
      </c>
      <c r="CT63" s="655">
        <f t="shared" si="43"/>
        <v>0.57003112178445237</v>
      </c>
      <c r="CU63" s="124" t="s">
        <v>95</v>
      </c>
      <c r="CV63" s="505">
        <f>('Var Vorgaben'!$F$34*CX54)+('Var Vorgaben'!$F$34*CX61)</f>
        <v>675</v>
      </c>
      <c r="CW63" s="124" t="s">
        <v>93</v>
      </c>
      <c r="CX63" s="366">
        <f>SUM(CX50:CX54)+CW55*CX55+CW56*CX56+CW57*CX57+CW58*CX58+CW59*CX59+CW60*CX60+CX61+CX62</f>
        <v>950.4</v>
      </c>
      <c r="CY63" s="169"/>
      <c r="CZ63" s="162">
        <f>SUM(CZ50:CZ62)</f>
        <v>23778.28</v>
      </c>
      <c r="DA63" s="655">
        <f t="shared" si="45"/>
        <v>0.57033161397386278</v>
      </c>
      <c r="DB63" s="124" t="s">
        <v>95</v>
      </c>
      <c r="DC63" s="505">
        <f>('Var Vorgaben'!$F$34*DE54)+('Var Vorgaben'!$F$34*DE61)</f>
        <v>675</v>
      </c>
      <c r="DD63" s="124" t="s">
        <v>93</v>
      </c>
      <c r="DE63" s="366">
        <f>SUM(DE50:DE54)+DD55*DE55+DD56*DE56+DD57*DE57+DD58*DE58+DD59*DE59+DD60*DE60+DE61+DE62</f>
        <v>950.4</v>
      </c>
      <c r="DF63" s="169"/>
      <c r="DG63" s="162">
        <f>SUM(DG50:DG62)</f>
        <v>23778.28</v>
      </c>
      <c r="DH63" s="655">
        <f t="shared" si="47"/>
        <v>0.49881172912165628</v>
      </c>
    </row>
    <row r="64" spans="1:112" ht="15.75" customHeight="1" x14ac:dyDescent="0.2">
      <c r="A64" s="49" t="s">
        <v>72</v>
      </c>
      <c r="B64" s="73" t="s">
        <v>69</v>
      </c>
      <c r="C64" s="323"/>
      <c r="D64" s="323"/>
      <c r="E64" s="169"/>
      <c r="F64" s="93">
        <f>'Var Vorgaben'!$C$42</f>
        <v>660</v>
      </c>
      <c r="G64" s="484">
        <f t="shared" si="17"/>
        <v>6.975850227693571E-2</v>
      </c>
      <c r="H64" s="49" t="s">
        <v>72</v>
      </c>
      <c r="I64" s="73" t="s">
        <v>69</v>
      </c>
      <c r="J64" s="323"/>
      <c r="K64" s="323"/>
      <c r="L64" s="169"/>
      <c r="M64" s="93">
        <f>'Var Vorgaben'!$C$42</f>
        <v>660</v>
      </c>
      <c r="N64" s="484">
        <f t="shared" si="19"/>
        <v>4.7998557550853013E-2</v>
      </c>
      <c r="O64" s="49" t="s">
        <v>72</v>
      </c>
      <c r="P64" s="73" t="s">
        <v>69</v>
      </c>
      <c r="Q64" s="323"/>
      <c r="R64" s="323"/>
      <c r="S64" s="169"/>
      <c r="T64" s="93">
        <f>'Var Vorgaben'!$C$42</f>
        <v>660</v>
      </c>
      <c r="U64" s="484">
        <f t="shared" si="21"/>
        <v>3.2481911988626835E-2</v>
      </c>
      <c r="V64" s="49" t="s">
        <v>72</v>
      </c>
      <c r="W64" s="73" t="s">
        <v>69</v>
      </c>
      <c r="X64" s="323"/>
      <c r="Y64" s="323"/>
      <c r="Z64" s="169"/>
      <c r="AA64" s="93">
        <f>'Var Vorgaben'!$C$42</f>
        <v>660</v>
      </c>
      <c r="AB64" s="484">
        <f t="shared" si="22"/>
        <v>2.7301441234892757E-2</v>
      </c>
      <c r="AC64" s="49" t="s">
        <v>72</v>
      </c>
      <c r="AD64" s="73" t="s">
        <v>69</v>
      </c>
      <c r="AE64" s="323"/>
      <c r="AF64" s="323"/>
      <c r="AG64" s="169"/>
      <c r="AH64" s="93">
        <f>'Var Vorgaben'!$C$42</f>
        <v>660</v>
      </c>
      <c r="AI64" s="484">
        <f t="shared" si="25"/>
        <v>1.89139772659738E-2</v>
      </c>
      <c r="AJ64" s="80" t="s">
        <v>72</v>
      </c>
      <c r="AK64" s="73" t="s">
        <v>69</v>
      </c>
      <c r="AL64" s="323"/>
      <c r="AM64" s="323"/>
      <c r="AN64" s="169"/>
      <c r="AO64" s="93">
        <f>'Var Vorgaben'!$C$42</f>
        <v>660</v>
      </c>
      <c r="AP64" s="484">
        <f t="shared" si="27"/>
        <v>1.7190763410073768E-2</v>
      </c>
      <c r="AQ64" s="80" t="s">
        <v>72</v>
      </c>
      <c r="AR64" s="73" t="s">
        <v>69</v>
      </c>
      <c r="AS64" s="323"/>
      <c r="AT64" s="323"/>
      <c r="AU64" s="169"/>
      <c r="AV64" s="93">
        <f>'Var Vorgaben'!$C$42</f>
        <v>660</v>
      </c>
      <c r="AW64" s="484">
        <f t="shared" si="29"/>
        <v>1.5765916566377144E-2</v>
      </c>
      <c r="AX64" s="80" t="s">
        <v>72</v>
      </c>
      <c r="AY64" s="73" t="s">
        <v>69</v>
      </c>
      <c r="AZ64" s="323"/>
      <c r="BA64" s="323"/>
      <c r="BB64" s="169"/>
      <c r="BC64" s="93">
        <f>'Var Vorgaben'!$C$42</f>
        <v>660</v>
      </c>
      <c r="BD64" s="484">
        <f t="shared" si="31"/>
        <v>1.5773694391225772E-2</v>
      </c>
      <c r="BE64" s="80" t="s">
        <v>72</v>
      </c>
      <c r="BF64" s="73" t="s">
        <v>69</v>
      </c>
      <c r="BG64" s="323"/>
      <c r="BH64" s="323"/>
      <c r="BI64" s="169"/>
      <c r="BJ64" s="93">
        <f>'Var Vorgaben'!$C$42</f>
        <v>660</v>
      </c>
      <c r="BK64" s="484">
        <f t="shared" si="33"/>
        <v>1.5781549998376262E-2</v>
      </c>
      <c r="BL64" s="80" t="s">
        <v>72</v>
      </c>
      <c r="BM64" s="73" t="s">
        <v>69</v>
      </c>
      <c r="BN64" s="323"/>
      <c r="BO64" s="323"/>
      <c r="BP64" s="169"/>
      <c r="BQ64" s="93">
        <f>'Var Vorgaben'!$C$42</f>
        <v>660</v>
      </c>
      <c r="BR64" s="484">
        <f t="shared" si="35"/>
        <v>1.578948424041653E-2</v>
      </c>
      <c r="BS64" s="80" t="s">
        <v>72</v>
      </c>
      <c r="BT64" s="73" t="s">
        <v>69</v>
      </c>
      <c r="BU64" s="323"/>
      <c r="BV64" s="323"/>
      <c r="BW64" s="169"/>
      <c r="BX64" s="93">
        <f>'Var Vorgaben'!$C$42</f>
        <v>660</v>
      </c>
      <c r="BY64" s="484">
        <f t="shared" si="37"/>
        <v>1.5797497980713025E-2</v>
      </c>
      <c r="BZ64" s="80" t="s">
        <v>72</v>
      </c>
      <c r="CA64" s="73" t="s">
        <v>69</v>
      </c>
      <c r="CB64" s="323"/>
      <c r="CC64" s="323"/>
      <c r="CD64" s="169"/>
      <c r="CE64" s="93">
        <f>'Var Vorgaben'!$C$42</f>
        <v>660</v>
      </c>
      <c r="CF64" s="484">
        <f t="shared" si="39"/>
        <v>1.5805592093574263E-2</v>
      </c>
      <c r="CG64" s="80" t="s">
        <v>72</v>
      </c>
      <c r="CH64" s="73" t="s">
        <v>69</v>
      </c>
      <c r="CI64" s="323"/>
      <c r="CJ64" s="323"/>
      <c r="CK64" s="169"/>
      <c r="CL64" s="93">
        <f>'Var Vorgaben'!$C$42</f>
        <v>660</v>
      </c>
      <c r="CM64" s="484">
        <f t="shared" si="41"/>
        <v>1.5813767464417393E-2</v>
      </c>
      <c r="CN64" s="80" t="s">
        <v>72</v>
      </c>
      <c r="CO64" s="73" t="s">
        <v>69</v>
      </c>
      <c r="CP64" s="323"/>
      <c r="CQ64" s="323"/>
      <c r="CR64" s="169"/>
      <c r="CS64" s="93">
        <f>'Var Vorgaben'!$C$42</f>
        <v>660</v>
      </c>
      <c r="CT64" s="484">
        <f t="shared" si="43"/>
        <v>1.5822024989937816E-2</v>
      </c>
      <c r="CU64" s="80" t="s">
        <v>72</v>
      </c>
      <c r="CV64" s="73" t="s">
        <v>69</v>
      </c>
      <c r="CW64" s="323"/>
      <c r="CX64" s="323"/>
      <c r="CY64" s="169"/>
      <c r="CZ64" s="93">
        <f>'Var Vorgaben'!$C$42</f>
        <v>660</v>
      </c>
      <c r="DA64" s="484">
        <f t="shared" si="45"/>
        <v>1.5830365578281921E-2</v>
      </c>
      <c r="DB64" s="80" t="s">
        <v>72</v>
      </c>
      <c r="DC64" s="73" t="s">
        <v>69</v>
      </c>
      <c r="DD64" s="323"/>
      <c r="DE64" s="323"/>
      <c r="DF64" s="169"/>
      <c r="DG64" s="93">
        <f>'Var Vorgaben'!$C$42</f>
        <v>660</v>
      </c>
      <c r="DH64" s="484">
        <f t="shared" si="47"/>
        <v>1.3845229395073703E-2</v>
      </c>
    </row>
    <row r="65" spans="1:256" ht="14.25" customHeight="1" thickBot="1" x14ac:dyDescent="0.25">
      <c r="A65" s="64"/>
      <c r="B65" s="73" t="s">
        <v>172</v>
      </c>
      <c r="C65" s="506">
        <f>'Var Vorgaben'!$C$41</f>
        <v>0.6</v>
      </c>
      <c r="D65" s="507">
        <f>'Var Vorgaben'!$C$40</f>
        <v>1.4999999999999999E-2</v>
      </c>
      <c r="E65" s="508">
        <f>(F71)*(-1)</f>
        <v>63543.933666666664</v>
      </c>
      <c r="F65" s="658">
        <f>D65*E65*C65</f>
        <v>571.89540299999999</v>
      </c>
      <c r="G65" s="484">
        <f t="shared" si="17"/>
        <v>6.0446313291431158E-2</v>
      </c>
      <c r="H65" s="64"/>
      <c r="I65" s="73" t="s">
        <v>172</v>
      </c>
      <c r="J65" s="506">
        <f>'Var Vorgaben'!$C$41</f>
        <v>0.6</v>
      </c>
      <c r="K65" s="507">
        <f>'Var Vorgaben'!$C$40</f>
        <v>1.4999999999999999E-2</v>
      </c>
      <c r="L65" s="508">
        <f>(M71)*(-1)</f>
        <v>71905.145969933335</v>
      </c>
      <c r="M65" s="176">
        <f>K65*L65*J65</f>
        <v>647.14631372939994</v>
      </c>
      <c r="N65" s="484">
        <f t="shared" si="19"/>
        <v>4.7063772096004521E-2</v>
      </c>
      <c r="P65" s="73" t="s">
        <v>172</v>
      </c>
      <c r="Q65" s="506">
        <f>'Var Vorgaben'!$C$41</f>
        <v>0.6</v>
      </c>
      <c r="R65" s="507">
        <f>'Var Vorgaben'!$C$40</f>
        <v>1.4999999999999999E-2</v>
      </c>
      <c r="S65" s="508">
        <f>(T71)*(-1)</f>
        <v>77931.559183929407</v>
      </c>
      <c r="T65" s="176">
        <f>R65*S65*Q65</f>
        <v>701.38403265536465</v>
      </c>
      <c r="U65" s="484">
        <f t="shared" si="21"/>
        <v>3.4518627907484431E-2</v>
      </c>
      <c r="W65" s="73" t="s">
        <v>172</v>
      </c>
      <c r="X65" s="506">
        <f>'Var Vorgaben'!$C$41</f>
        <v>0.6</v>
      </c>
      <c r="Y65" s="507">
        <f>'Var Vorgaben'!$C$40</f>
        <v>1.4999999999999999E-2</v>
      </c>
      <c r="Z65" s="508">
        <f>(AA71)*(-1)</f>
        <v>87214.56011685144</v>
      </c>
      <c r="AA65" s="176">
        <f>Y65*Z65*X65</f>
        <v>784.93104105166287</v>
      </c>
      <c r="AB65" s="484">
        <f t="shared" si="22"/>
        <v>3.2469316198053287E-2</v>
      </c>
      <c r="AD65" s="73" t="s">
        <v>172</v>
      </c>
      <c r="AE65" s="506">
        <f>'Var Vorgaben'!$C$41</f>
        <v>0.6</v>
      </c>
      <c r="AF65" s="507">
        <f>'Var Vorgaben'!$C$40</f>
        <v>1.4999999999999999E-2</v>
      </c>
      <c r="AG65" s="508">
        <f>(AH71)*(-1)</f>
        <v>93729.108058169775</v>
      </c>
      <c r="AH65" s="176">
        <f>AF65*AG65*AE65</f>
        <v>843.56197252352797</v>
      </c>
      <c r="AI65" s="484">
        <f t="shared" si="25"/>
        <v>2.4174412076893977E-2</v>
      </c>
      <c r="AJ65" s="73"/>
      <c r="AK65" s="73" t="s">
        <v>172</v>
      </c>
      <c r="AL65" s="506">
        <f>'Var Vorgaben'!$C$41</f>
        <v>0.6</v>
      </c>
      <c r="AM65" s="507">
        <f>'Var Vorgaben'!$C$40</f>
        <v>1.4999999999999999E-2</v>
      </c>
      <c r="AN65" s="508">
        <f>(AO71)*(-1)</f>
        <v>97715.936930959972</v>
      </c>
      <c r="AO65" s="176">
        <f>AM65*AN65*AL65</f>
        <v>879.44343237863973</v>
      </c>
      <c r="AP65" s="484">
        <f t="shared" si="27"/>
        <v>2.2906521179643036E-2</v>
      </c>
      <c r="AQ65" s="73"/>
      <c r="AR65" s="73" t="s">
        <v>172</v>
      </c>
      <c r="AS65" s="506">
        <f>'Var Vorgaben'!$C$41</f>
        <v>0.6</v>
      </c>
      <c r="AT65" s="507">
        <f>'Var Vorgaben'!$C$40</f>
        <v>1.4999999999999999E-2</v>
      </c>
      <c r="AU65" s="508">
        <f>(AV71)*(-1)</f>
        <v>98576.647263605264</v>
      </c>
      <c r="AV65" s="176">
        <f>AT65*AU65*AS65</f>
        <v>887.18982537244733</v>
      </c>
      <c r="AW65" s="484">
        <f t="shared" si="29"/>
        <v>2.1192970856607138E-2</v>
      </c>
      <c r="AX65" s="73"/>
      <c r="AY65" s="73" t="s">
        <v>172</v>
      </c>
      <c r="AZ65" s="506">
        <f>'Var Vorgaben'!$C$41</f>
        <v>0.6</v>
      </c>
      <c r="BA65" s="507">
        <f>'Var Vorgaben'!$C$40</f>
        <v>1.4999999999999999E-2</v>
      </c>
      <c r="BB65" s="508">
        <f>(BC71)*(-1)</f>
        <v>96283.103989244381</v>
      </c>
      <c r="BC65" s="176">
        <f>BA65*BB65*AZ65</f>
        <v>866.54793590319935</v>
      </c>
      <c r="BD65" s="484">
        <f t="shared" si="31"/>
        <v>2.0710094418612979E-2</v>
      </c>
      <c r="BE65" s="73"/>
      <c r="BF65" s="73" t="s">
        <v>172</v>
      </c>
      <c r="BG65" s="506">
        <f>'Var Vorgaben'!$C$41</f>
        <v>0.6</v>
      </c>
      <c r="BH65" s="507">
        <f>'Var Vorgaben'!$C$40</f>
        <v>1.4999999999999999E-2</v>
      </c>
      <c r="BI65" s="508">
        <f>(BJ71)*(-1)</f>
        <v>93968.918825414265</v>
      </c>
      <c r="BJ65" s="176">
        <f>BH65*BI65*BG65</f>
        <v>845.72026942872833</v>
      </c>
      <c r="BK65" s="484">
        <f t="shared" si="33"/>
        <v>2.0222388964590485E-2</v>
      </c>
      <c r="BL65" s="73"/>
      <c r="BM65" s="73" t="s">
        <v>172</v>
      </c>
      <c r="BN65" s="506">
        <f>'Var Vorgaben'!$C$41</f>
        <v>0.6</v>
      </c>
      <c r="BO65" s="507">
        <f>'Var Vorgaben'!$C$40</f>
        <v>1.4999999999999999E-2</v>
      </c>
      <c r="BP65" s="508">
        <f>(BQ71)*(-1)</f>
        <v>91633.905995109642</v>
      </c>
      <c r="BQ65" s="176">
        <f>BO65*BP65*BN65</f>
        <v>824.7051539559867</v>
      </c>
      <c r="BR65" s="484">
        <f t="shared" si="35"/>
        <v>1.9729801562694455E-2</v>
      </c>
      <c r="BS65" s="73"/>
      <c r="BT65" s="73" t="s">
        <v>172</v>
      </c>
      <c r="BU65" s="506">
        <f>'Var Vorgaben'!$C$41</f>
        <v>0.6</v>
      </c>
      <c r="BV65" s="507">
        <f>'Var Vorgaben'!$C$40</f>
        <v>1.4999999999999999E-2</v>
      </c>
      <c r="BW65" s="508">
        <f>(BX71)*(-1)</f>
        <v>89277.878049332299</v>
      </c>
      <c r="BX65" s="176">
        <f>BV65*BW65*BU65</f>
        <v>803.50090244399064</v>
      </c>
      <c r="BY65" s="484">
        <f t="shared" si="37"/>
        <v>1.9232278611909143E-2</v>
      </c>
      <c r="BZ65" s="73"/>
      <c r="CA65" s="73" t="s">
        <v>172</v>
      </c>
      <c r="CB65" s="506">
        <f>'Var Vorgaben'!$C$41</f>
        <v>0.6</v>
      </c>
      <c r="CC65" s="507">
        <f>'Var Vorgaben'!$C$40</f>
        <v>1.4999999999999999E-2</v>
      </c>
      <c r="CD65" s="508">
        <f>(CE71)*(-1)</f>
        <v>86900.645852042959</v>
      </c>
      <c r="CE65" s="176">
        <f>CC65*CD65*CB65</f>
        <v>782.10581266838653</v>
      </c>
      <c r="CF65" s="484">
        <f t="shared" si="39"/>
        <v>1.8729765831893827E-2</v>
      </c>
      <c r="CG65" s="73"/>
      <c r="CH65" s="73" t="s">
        <v>172</v>
      </c>
      <c r="CI65" s="506">
        <f>'Var Vorgaben'!$C$41</f>
        <v>0.6</v>
      </c>
      <c r="CJ65" s="507">
        <f>'Var Vorgaben'!$C$40</f>
        <v>1.4999999999999999E-2</v>
      </c>
      <c r="CK65" s="508">
        <f>(CL71)*(-1)</f>
        <v>84502.018564978003</v>
      </c>
      <c r="CL65" s="176">
        <f>CJ65*CK65*CI65</f>
        <v>760.51816708480203</v>
      </c>
      <c r="CM65" s="484">
        <f t="shared" si="41"/>
        <v>1.8222208252642414E-2</v>
      </c>
      <c r="CN65" s="73"/>
      <c r="CO65" s="73" t="s">
        <v>172</v>
      </c>
      <c r="CP65" s="506">
        <f>'Var Vorgaben'!$C$41</f>
        <v>0.6</v>
      </c>
      <c r="CQ65" s="507">
        <f>'Var Vorgaben'!$C$40</f>
        <v>1.4999999999999999E-2</v>
      </c>
      <c r="CR65" s="508">
        <f>(CS71)*(-1)</f>
        <v>82081.80363232948</v>
      </c>
      <c r="CS65" s="176">
        <f>CQ65*CR65*CP65</f>
        <v>738.73623269096527</v>
      </c>
      <c r="CT65" s="484">
        <f t="shared" si="43"/>
        <v>1.7709550203952984E-2</v>
      </c>
      <c r="CU65" s="73"/>
      <c r="CV65" s="73" t="s">
        <v>172</v>
      </c>
      <c r="CW65" s="506">
        <f>'Var Vorgaben'!$C$41</f>
        <v>0.6</v>
      </c>
      <c r="CX65" s="507">
        <f>'Var Vorgaben'!$C$40</f>
        <v>1.4999999999999999E-2</v>
      </c>
      <c r="CY65" s="508">
        <f>(CZ71)*(-1)</f>
        <v>79639.80676528711</v>
      </c>
      <c r="CZ65" s="176">
        <f>CX65*CY65*CW65</f>
        <v>716.7582608875839</v>
      </c>
      <c r="DA65" s="484">
        <f t="shared" si="45"/>
        <v>1.7191735304703065E-2</v>
      </c>
      <c r="DB65" s="73"/>
      <c r="DC65" s="73" t="s">
        <v>172</v>
      </c>
      <c r="DD65" s="506">
        <f>'Var Vorgaben'!$C$41</f>
        <v>0.6</v>
      </c>
      <c r="DE65" s="507">
        <f>'Var Vorgaben'!$C$40</f>
        <v>1.4999999999999999E-2</v>
      </c>
      <c r="DF65" s="508">
        <f>(DG71)*(-1)</f>
        <v>77175.831926441359</v>
      </c>
      <c r="DG65" s="176">
        <f>DE65*DF65*DD65</f>
        <v>694.58248733797211</v>
      </c>
      <c r="DH65" s="484">
        <f t="shared" si="47"/>
        <v>1.457068768332591E-2</v>
      </c>
    </row>
    <row r="66" spans="1:256" x14ac:dyDescent="0.2">
      <c r="A66" s="64"/>
      <c r="C66" s="506"/>
      <c r="D66" s="507"/>
      <c r="E66" s="508"/>
      <c r="F66" s="94">
        <f>SUM(F64:F65)</f>
        <v>1231.895403</v>
      </c>
      <c r="G66" s="655">
        <f t="shared" si="17"/>
        <v>0.13020481556836688</v>
      </c>
      <c r="H66" s="64"/>
      <c r="I66" s="64"/>
      <c r="J66" s="506"/>
      <c r="K66" s="507"/>
      <c r="L66" s="508"/>
      <c r="M66" s="94">
        <f>SUM(M64:M65)</f>
        <v>1307.1463137293999</v>
      </c>
      <c r="N66" s="655">
        <f t="shared" si="19"/>
        <v>9.5062329646857527E-2</v>
      </c>
      <c r="P66" s="73"/>
      <c r="Q66" s="506"/>
      <c r="R66" s="507"/>
      <c r="S66" s="508"/>
      <c r="T66" s="94">
        <f>SUM(T64:T65)</f>
        <v>1361.3840326553645</v>
      </c>
      <c r="U66" s="655">
        <f t="shared" si="21"/>
        <v>6.7000539896111252E-2</v>
      </c>
      <c r="W66" s="73"/>
      <c r="X66" s="506"/>
      <c r="Y66" s="507"/>
      <c r="Z66" s="508"/>
      <c r="AA66" s="94">
        <f>SUM(AA64:AA65)</f>
        <v>1444.9310410516628</v>
      </c>
      <c r="AB66" s="655">
        <f t="shared" si="22"/>
        <v>5.9770757432946041E-2</v>
      </c>
      <c r="AD66" s="73"/>
      <c r="AE66" s="506"/>
      <c r="AF66" s="507"/>
      <c r="AG66" s="508"/>
      <c r="AH66" s="94">
        <f>SUM(AH64:AH65)</f>
        <v>1503.5619725235279</v>
      </c>
      <c r="AI66" s="655">
        <f t="shared" si="25"/>
        <v>4.3088389342867774E-2</v>
      </c>
      <c r="AJ66" s="73"/>
      <c r="AK66" s="73"/>
      <c r="AL66" s="506"/>
      <c r="AM66" s="507"/>
      <c r="AN66" s="508"/>
      <c r="AO66" s="94">
        <f>SUM(AO64:AO65)</f>
        <v>1539.4434323786397</v>
      </c>
      <c r="AP66" s="655">
        <f t="shared" si="27"/>
        <v>4.00972845897168E-2</v>
      </c>
      <c r="AQ66" s="73"/>
      <c r="AR66" s="73"/>
      <c r="AS66" s="506"/>
      <c r="AT66" s="507"/>
      <c r="AU66" s="508"/>
      <c r="AV66" s="94">
        <f>SUM(AV64:AV65)</f>
        <v>1547.1898253724473</v>
      </c>
      <c r="AW66" s="655">
        <f t="shared" si="29"/>
        <v>3.6958887422984282E-2</v>
      </c>
      <c r="AX66" s="73"/>
      <c r="AY66" s="73"/>
      <c r="AZ66" s="506"/>
      <c r="BA66" s="507"/>
      <c r="BB66" s="508"/>
      <c r="BC66" s="94">
        <f>SUM(BC64:BC65)</f>
        <v>1526.5479359031992</v>
      </c>
      <c r="BD66" s="655">
        <f t="shared" si="31"/>
        <v>3.6483788809838748E-2</v>
      </c>
      <c r="BE66" s="73"/>
      <c r="BF66" s="73"/>
      <c r="BG66" s="506"/>
      <c r="BH66" s="507"/>
      <c r="BI66" s="508"/>
      <c r="BJ66" s="94">
        <f>SUM(BJ64:BJ65)</f>
        <v>1505.7202694287284</v>
      </c>
      <c r="BK66" s="655">
        <f t="shared" si="33"/>
        <v>3.6003938962966747E-2</v>
      </c>
      <c r="BL66" s="73"/>
      <c r="BM66" s="73"/>
      <c r="BN66" s="506"/>
      <c r="BO66" s="507"/>
      <c r="BP66" s="508"/>
      <c r="BQ66" s="94">
        <f>SUM(BQ64:BQ65)</f>
        <v>1484.7051539559866</v>
      </c>
      <c r="BR66" s="655">
        <f t="shared" si="35"/>
        <v>3.5519285803110978E-2</v>
      </c>
      <c r="BS66" s="73"/>
      <c r="BT66" s="73"/>
      <c r="BU66" s="506"/>
      <c r="BV66" s="507"/>
      <c r="BW66" s="508"/>
      <c r="BX66" s="94">
        <f>SUM(BX64:BX65)</f>
        <v>1463.5009024439905</v>
      </c>
      <c r="BY66" s="655">
        <f t="shared" si="37"/>
        <v>3.5029776592622165E-2</v>
      </c>
      <c r="BZ66" s="73"/>
      <c r="CA66" s="73"/>
      <c r="CB66" s="506"/>
      <c r="CC66" s="507"/>
      <c r="CD66" s="508"/>
      <c r="CE66" s="94">
        <f>SUM(CE64:CE65)</f>
        <v>1442.1058126683865</v>
      </c>
      <c r="CF66" s="655">
        <f t="shared" si="39"/>
        <v>3.4535357925468094E-2</v>
      </c>
      <c r="CG66" s="73"/>
      <c r="CH66" s="73"/>
      <c r="CI66" s="506"/>
      <c r="CJ66" s="507"/>
      <c r="CK66" s="508"/>
      <c r="CL66" s="94">
        <f>SUM(CL64:CL65)</f>
        <v>1420.5181670848019</v>
      </c>
      <c r="CM66" s="655">
        <f t="shared" si="41"/>
        <v>3.403597571705981E-2</v>
      </c>
      <c r="CN66" s="73"/>
      <c r="CO66" s="73"/>
      <c r="CP66" s="506"/>
      <c r="CQ66" s="507"/>
      <c r="CR66" s="508"/>
      <c r="CS66" s="94">
        <f>SUM(CS64:CS65)</f>
        <v>1398.7362326909652</v>
      </c>
      <c r="CT66" s="655">
        <f t="shared" si="43"/>
        <v>3.35315751938908E-2</v>
      </c>
      <c r="CU66" s="73"/>
      <c r="CV66" s="73"/>
      <c r="CW66" s="506"/>
      <c r="CX66" s="507"/>
      <c r="CY66" s="508"/>
      <c r="CZ66" s="94">
        <f>SUM(CZ64:CZ65)</f>
        <v>1376.7582608875839</v>
      </c>
      <c r="DA66" s="655">
        <f t="shared" si="45"/>
        <v>3.3022100882984982E-2</v>
      </c>
      <c r="DB66" s="73"/>
      <c r="DC66" s="73"/>
      <c r="DD66" s="506"/>
      <c r="DE66" s="507"/>
      <c r="DF66" s="508"/>
      <c r="DG66" s="94">
        <f>SUM(DG64:DG65)</f>
        <v>1354.582487337972</v>
      </c>
      <c r="DH66" s="655">
        <f t="shared" si="47"/>
        <v>2.8415917078399612E-2</v>
      </c>
    </row>
    <row r="67" spans="1:256" ht="13.5" thickBot="1" x14ac:dyDescent="0.25">
      <c r="A67" s="395" t="s">
        <v>35</v>
      </c>
      <c r="B67" s="341"/>
      <c r="C67" s="392"/>
      <c r="D67" s="393"/>
      <c r="E67" s="342"/>
      <c r="F67" s="491">
        <f>F66+F63+F48+F34</f>
        <v>6023.6954030000006</v>
      </c>
      <c r="G67" s="484">
        <f t="shared" si="17"/>
        <v>0.6366726810390041</v>
      </c>
      <c r="H67" s="395" t="s">
        <v>35</v>
      </c>
      <c r="I67" s="341"/>
      <c r="J67" s="392"/>
      <c r="K67" s="393"/>
      <c r="L67" s="342"/>
      <c r="M67" s="491">
        <f>M66+M63+M48+M34</f>
        <v>9562.8963137294013</v>
      </c>
      <c r="N67" s="484">
        <f t="shared" si="19"/>
        <v>0.69546246828391034</v>
      </c>
      <c r="O67" s="395" t="s">
        <v>35</v>
      </c>
      <c r="P67" s="341"/>
      <c r="Q67" s="392"/>
      <c r="R67" s="393"/>
      <c r="S67" s="342"/>
      <c r="T67" s="491">
        <f>T66+T63+T48+T34</f>
        <v>14269.484032655366</v>
      </c>
      <c r="U67" s="484">
        <f t="shared" si="21"/>
        <v>0.70227291586640528</v>
      </c>
      <c r="V67" s="395" t="s">
        <v>35</v>
      </c>
      <c r="W67" s="341"/>
      <c r="X67" s="392"/>
      <c r="Y67" s="393"/>
      <c r="Z67" s="342"/>
      <c r="AA67" s="491">
        <f>AA66+AA63+AA48+AA34</f>
        <v>17275.031041051661</v>
      </c>
      <c r="AB67" s="484">
        <f t="shared" si="22"/>
        <v>0.71459582545184874</v>
      </c>
      <c r="AC67" s="395" t="s">
        <v>35</v>
      </c>
      <c r="AD67" s="341"/>
      <c r="AE67" s="392"/>
      <c r="AF67" s="393"/>
      <c r="AG67" s="342"/>
      <c r="AH67" s="491">
        <f>AH66+AH63+AH48+AH34</f>
        <v>26407.061972523526</v>
      </c>
      <c r="AI67" s="484">
        <f t="shared" si="25"/>
        <v>0.75676146940828981</v>
      </c>
      <c r="AJ67" s="395" t="s">
        <v>35</v>
      </c>
      <c r="AK67" s="341"/>
      <c r="AL67" s="392"/>
      <c r="AM67" s="393"/>
      <c r="AN67" s="342"/>
      <c r="AO67" s="491">
        <f>AO66+AO63+AO48+AO34</f>
        <v>29364.943432378641</v>
      </c>
      <c r="AP67" s="484">
        <f t="shared" si="27"/>
        <v>0.76485726529730413</v>
      </c>
      <c r="AQ67" s="395" t="s">
        <v>35</v>
      </c>
      <c r="AR67" s="341"/>
      <c r="AS67" s="392"/>
      <c r="AT67" s="393"/>
      <c r="AU67" s="342"/>
      <c r="AV67" s="491">
        <f>AV66+AV63+AV48+AV34</f>
        <v>32294.689825372447</v>
      </c>
      <c r="AW67" s="484">
        <f t="shared" si="29"/>
        <v>0.77144755352098604</v>
      </c>
      <c r="AX67" s="395" t="s">
        <v>35</v>
      </c>
      <c r="AY67" s="341"/>
      <c r="AZ67" s="392"/>
      <c r="BA67" s="393"/>
      <c r="BB67" s="342"/>
      <c r="BC67" s="491">
        <f>BC66+BC63+BC48+BC34</f>
        <v>32274.0479359032</v>
      </c>
      <c r="BD67" s="484">
        <f t="shared" si="31"/>
        <v>0.7713348013768303</v>
      </c>
      <c r="BE67" s="395" t="s">
        <v>35</v>
      </c>
      <c r="BF67" s="341"/>
      <c r="BG67" s="392"/>
      <c r="BH67" s="393"/>
      <c r="BI67" s="342"/>
      <c r="BJ67" s="491">
        <f>BJ66+BJ63+BJ48+BJ34</f>
        <v>32253.22026942873</v>
      </c>
      <c r="BK67" s="484">
        <f t="shared" si="33"/>
        <v>0.77122092165247302</v>
      </c>
      <c r="BL67" s="395" t="s">
        <v>35</v>
      </c>
      <c r="BM67" s="341"/>
      <c r="BN67" s="392"/>
      <c r="BO67" s="393"/>
      <c r="BP67" s="342"/>
      <c r="BQ67" s="491">
        <f>BQ66+BQ63+BQ48+BQ34</f>
        <v>32232.205153955987</v>
      </c>
      <c r="BR67" s="484">
        <f t="shared" si="35"/>
        <v>0.77110590198827345</v>
      </c>
      <c r="BS67" s="395" t="s">
        <v>35</v>
      </c>
      <c r="BT67" s="341"/>
      <c r="BU67" s="392"/>
      <c r="BV67" s="393"/>
      <c r="BW67" s="342"/>
      <c r="BX67" s="491">
        <f>BX66+BX63+BX48+BX34</f>
        <v>32211.00090244399</v>
      </c>
      <c r="BY67" s="484">
        <f t="shared" si="37"/>
        <v>0.77098972986833991</v>
      </c>
      <c r="BZ67" s="395" t="s">
        <v>35</v>
      </c>
      <c r="CA67" s="341"/>
      <c r="CB67" s="392"/>
      <c r="CC67" s="393"/>
      <c r="CD67" s="342"/>
      <c r="CE67" s="491">
        <f>CE66+CE63+CE48+CE34</f>
        <v>32189.605812668386</v>
      </c>
      <c r="CF67" s="484">
        <f t="shared" si="39"/>
        <v>0.77087239261815699</v>
      </c>
      <c r="CG67" s="395" t="s">
        <v>35</v>
      </c>
      <c r="CH67" s="341"/>
      <c r="CI67" s="392"/>
      <c r="CJ67" s="393"/>
      <c r="CK67" s="342"/>
      <c r="CL67" s="491">
        <f>CL66+CL63+CL48+CL34</f>
        <v>32168.018167084803</v>
      </c>
      <c r="CM67" s="484">
        <f t="shared" si="41"/>
        <v>0.77075387740217172</v>
      </c>
      <c r="CN67" s="395" t="s">
        <v>35</v>
      </c>
      <c r="CO67" s="341"/>
      <c r="CP67" s="392"/>
      <c r="CQ67" s="393"/>
      <c r="CR67" s="342"/>
      <c r="CS67" s="491">
        <f>CS66+CS63+CS48+CS34</f>
        <v>32146.236232690964</v>
      </c>
      <c r="CT67" s="484">
        <f t="shared" si="43"/>
        <v>0.77063417122133471</v>
      </c>
      <c r="CU67" s="395" t="s">
        <v>35</v>
      </c>
      <c r="CV67" s="341"/>
      <c r="CW67" s="392"/>
      <c r="CX67" s="393"/>
      <c r="CY67" s="342"/>
      <c r="CZ67" s="491">
        <f>CZ66+CZ63+CZ48+CZ34</f>
        <v>32124.258260887585</v>
      </c>
      <c r="DA67" s="484">
        <f t="shared" si="45"/>
        <v>0.77051326091059624</v>
      </c>
      <c r="DB67" s="395" t="s">
        <v>35</v>
      </c>
      <c r="DC67" s="341"/>
      <c r="DD67" s="392"/>
      <c r="DE67" s="393"/>
      <c r="DF67" s="342"/>
      <c r="DG67" s="491">
        <f>DG66+DG63+DG48+DG34</f>
        <v>32102.082487337972</v>
      </c>
      <c r="DH67" s="484">
        <f t="shared" si="47"/>
        <v>0.67342529711632193</v>
      </c>
    </row>
    <row r="68" spans="1:256" ht="16.5" thickBot="1" x14ac:dyDescent="0.3">
      <c r="A68" s="340" t="s">
        <v>307</v>
      </c>
      <c r="B68" s="346"/>
      <c r="C68" s="464"/>
      <c r="D68" s="347"/>
      <c r="E68" s="348"/>
      <c r="F68" s="465">
        <f>F67+F33</f>
        <v>9461.2123032666677</v>
      </c>
      <c r="G68" s="484">
        <f>F68/$F$68</f>
        <v>1</v>
      </c>
      <c r="H68" s="340" t="s">
        <v>292</v>
      </c>
      <c r="I68" s="346"/>
      <c r="J68" s="464"/>
      <c r="K68" s="347"/>
      <c r="L68" s="348"/>
      <c r="M68" s="465">
        <f>M67+M33</f>
        <v>13750.413213996067</v>
      </c>
      <c r="N68" s="484">
        <f>M68/$M$68</f>
        <v>1</v>
      </c>
      <c r="O68" s="340" t="s">
        <v>293</v>
      </c>
      <c r="P68" s="346"/>
      <c r="Q68" s="464"/>
      <c r="R68" s="347"/>
      <c r="S68" s="348"/>
      <c r="T68" s="465">
        <f>T67+T33</f>
        <v>20319.000932922034</v>
      </c>
      <c r="U68" s="484">
        <f t="shared" si="21"/>
        <v>1</v>
      </c>
      <c r="V68" s="340" t="s">
        <v>294</v>
      </c>
      <c r="W68" s="346"/>
      <c r="X68" s="464"/>
      <c r="Y68" s="347"/>
      <c r="Z68" s="348"/>
      <c r="AA68" s="465">
        <f>AA67+AA33</f>
        <v>24174.547941318328</v>
      </c>
      <c r="AB68" s="484">
        <f t="shared" si="22"/>
        <v>1</v>
      </c>
      <c r="AC68" s="340" t="s">
        <v>295</v>
      </c>
      <c r="AD68" s="346"/>
      <c r="AE68" s="464"/>
      <c r="AF68" s="347"/>
      <c r="AG68" s="348"/>
      <c r="AH68" s="465">
        <f>AH67+AH33</f>
        <v>34894.828872790196</v>
      </c>
      <c r="AI68" s="484">
        <f t="shared" si="25"/>
        <v>1</v>
      </c>
      <c r="AJ68" s="340" t="s">
        <v>296</v>
      </c>
      <c r="AK68" s="346"/>
      <c r="AL68" s="464"/>
      <c r="AM68" s="347"/>
      <c r="AN68" s="348"/>
      <c r="AO68" s="465">
        <f>AO67+AO33</f>
        <v>38392.710332645307</v>
      </c>
      <c r="AP68" s="484">
        <f t="shared" si="27"/>
        <v>1</v>
      </c>
      <c r="AQ68" s="340" t="s">
        <v>297</v>
      </c>
      <c r="AR68" s="346"/>
      <c r="AS68" s="464"/>
      <c r="AT68" s="347"/>
      <c r="AU68" s="348"/>
      <c r="AV68" s="465">
        <f>AV67+AV33</f>
        <v>41862.456725639116</v>
      </c>
      <c r="AW68" s="484">
        <f t="shared" si="29"/>
        <v>1</v>
      </c>
      <c r="AX68" s="340" t="s">
        <v>298</v>
      </c>
      <c r="AY68" s="346"/>
      <c r="AZ68" s="464"/>
      <c r="BA68" s="347"/>
      <c r="BB68" s="348"/>
      <c r="BC68" s="465">
        <f>BC67+BC33</f>
        <v>41841.81483616987</v>
      </c>
      <c r="BD68" s="484">
        <f t="shared" si="31"/>
        <v>1</v>
      </c>
      <c r="BE68" s="340" t="s">
        <v>299</v>
      </c>
      <c r="BF68" s="346"/>
      <c r="BG68" s="464"/>
      <c r="BH68" s="347"/>
      <c r="BI68" s="348"/>
      <c r="BJ68" s="465">
        <f>BJ67+BJ33</f>
        <v>41820.987169695392</v>
      </c>
      <c r="BK68" s="484">
        <f t="shared" si="33"/>
        <v>1</v>
      </c>
      <c r="BL68" s="340" t="s">
        <v>300</v>
      </c>
      <c r="BM68" s="346"/>
      <c r="BN68" s="464"/>
      <c r="BO68" s="347"/>
      <c r="BP68" s="348"/>
      <c r="BQ68" s="465">
        <f>BQ67+BQ33</f>
        <v>41799.972054222657</v>
      </c>
      <c r="BR68" s="484">
        <f t="shared" si="35"/>
        <v>1</v>
      </c>
      <c r="BS68" s="340" t="s">
        <v>301</v>
      </c>
      <c r="BT68" s="346"/>
      <c r="BU68" s="464"/>
      <c r="BV68" s="347"/>
      <c r="BW68" s="348"/>
      <c r="BX68" s="465">
        <f>BX67+BX33</f>
        <v>41778.767802710659</v>
      </c>
      <c r="BY68" s="484">
        <f t="shared" si="37"/>
        <v>1</v>
      </c>
      <c r="BZ68" s="340" t="s">
        <v>302</v>
      </c>
      <c r="CA68" s="346"/>
      <c r="CB68" s="464"/>
      <c r="CC68" s="347"/>
      <c r="CD68" s="348"/>
      <c r="CE68" s="465">
        <f>CE67+CE33</f>
        <v>41757.372712935052</v>
      </c>
      <c r="CF68" s="484">
        <f t="shared" si="39"/>
        <v>1</v>
      </c>
      <c r="CG68" s="340" t="s">
        <v>303</v>
      </c>
      <c r="CH68" s="346"/>
      <c r="CI68" s="464"/>
      <c r="CJ68" s="347"/>
      <c r="CK68" s="348"/>
      <c r="CL68" s="465">
        <f>CL67+CL33</f>
        <v>41735.785067351469</v>
      </c>
      <c r="CM68" s="484">
        <f t="shared" si="41"/>
        <v>1</v>
      </c>
      <c r="CN68" s="340" t="s">
        <v>304</v>
      </c>
      <c r="CO68" s="346"/>
      <c r="CP68" s="464"/>
      <c r="CQ68" s="347"/>
      <c r="CR68" s="348"/>
      <c r="CS68" s="465">
        <f>CS67+CS33</f>
        <v>41714.00313295763</v>
      </c>
      <c r="CT68" s="484">
        <f t="shared" si="43"/>
        <v>1</v>
      </c>
      <c r="CU68" s="340" t="s">
        <v>305</v>
      </c>
      <c r="CV68" s="346"/>
      <c r="CW68" s="464"/>
      <c r="CX68" s="347"/>
      <c r="CY68" s="348"/>
      <c r="CZ68" s="530">
        <f>CZ67+CZ33</f>
        <v>41692.025161154248</v>
      </c>
      <c r="DA68" s="484">
        <f t="shared" si="45"/>
        <v>1</v>
      </c>
      <c r="DB68" s="340" t="s">
        <v>306</v>
      </c>
      <c r="DC68" s="346"/>
      <c r="DD68" s="464"/>
      <c r="DE68" s="347"/>
      <c r="DF68" s="348"/>
      <c r="DG68" s="530">
        <f>DG67+DG33+DC74</f>
        <v>47669.849387604641</v>
      </c>
      <c r="DH68" s="484">
        <f t="shared" si="47"/>
        <v>1</v>
      </c>
    </row>
    <row r="69" spans="1:256" x14ac:dyDescent="0.2">
      <c r="A69" s="76" t="s">
        <v>277</v>
      </c>
      <c r="C69" s="64"/>
      <c r="D69" s="64"/>
      <c r="E69" s="64"/>
      <c r="F69" s="486">
        <f>F12</f>
        <v>1100</v>
      </c>
      <c r="G69" s="511"/>
      <c r="H69" s="76" t="s">
        <v>277</v>
      </c>
      <c r="I69" s="64"/>
      <c r="M69" s="486">
        <f>M12</f>
        <v>7724</v>
      </c>
      <c r="N69" s="511"/>
      <c r="O69" s="76" t="s">
        <v>277</v>
      </c>
      <c r="R69" s="64"/>
      <c r="T69" s="486">
        <f>T12</f>
        <v>11036</v>
      </c>
      <c r="U69" s="511"/>
      <c r="V69" s="76" t="s">
        <v>277</v>
      </c>
      <c r="AA69" s="486">
        <f>AA12</f>
        <v>17660</v>
      </c>
      <c r="AB69" s="511"/>
      <c r="AC69" s="76" t="s">
        <v>277</v>
      </c>
      <c r="AH69" s="486">
        <f>AH12</f>
        <v>30908</v>
      </c>
      <c r="AI69" s="511"/>
      <c r="AJ69" s="76" t="s">
        <v>277</v>
      </c>
      <c r="AO69" s="486">
        <f>AO12</f>
        <v>37532</v>
      </c>
      <c r="AP69" s="511"/>
      <c r="AQ69" s="76" t="s">
        <v>277</v>
      </c>
      <c r="AV69" s="486">
        <f>AV12</f>
        <v>44156</v>
      </c>
      <c r="AW69" s="511"/>
      <c r="AX69" s="76" t="s">
        <v>277</v>
      </c>
      <c r="BC69" s="486">
        <f>BC12</f>
        <v>44156</v>
      </c>
      <c r="BD69" s="511"/>
      <c r="BE69" s="76" t="s">
        <v>277</v>
      </c>
      <c r="BJ69" s="486">
        <f>BJ12</f>
        <v>44156</v>
      </c>
      <c r="BK69" s="511"/>
      <c r="BL69" s="76" t="s">
        <v>277</v>
      </c>
      <c r="BQ69" s="486">
        <f>BQ12</f>
        <v>44156</v>
      </c>
      <c r="BR69" s="511"/>
      <c r="BS69" s="76" t="s">
        <v>277</v>
      </c>
      <c r="BX69" s="486">
        <f>BX12</f>
        <v>44156</v>
      </c>
      <c r="BY69" s="511"/>
      <c r="BZ69" s="76" t="s">
        <v>277</v>
      </c>
      <c r="CE69" s="486">
        <f>CE12</f>
        <v>44156</v>
      </c>
      <c r="CF69" s="511"/>
      <c r="CG69" s="76" t="s">
        <v>277</v>
      </c>
      <c r="CL69" s="486">
        <f>CL12</f>
        <v>44156</v>
      </c>
      <c r="CM69" s="511"/>
      <c r="CN69" s="76" t="s">
        <v>277</v>
      </c>
      <c r="CS69" s="486">
        <f>CS12</f>
        <v>44156</v>
      </c>
      <c r="CT69" s="511"/>
      <c r="CU69" s="76" t="s">
        <v>277</v>
      </c>
      <c r="CZ69" s="486">
        <f>CZ12</f>
        <v>44156</v>
      </c>
      <c r="DA69" s="511"/>
      <c r="DB69" s="76" t="s">
        <v>277</v>
      </c>
      <c r="DG69" s="486">
        <f>DG12</f>
        <v>44156</v>
      </c>
      <c r="DH69" s="511"/>
    </row>
    <row r="70" spans="1:256" x14ac:dyDescent="0.2">
      <c r="A70" s="76" t="s">
        <v>322</v>
      </c>
      <c r="C70" s="64"/>
      <c r="D70" s="64"/>
      <c r="E70" s="64"/>
      <c r="F70" s="486">
        <f>F69-F68</f>
        <v>-8361.2123032666677</v>
      </c>
      <c r="G70" s="511"/>
      <c r="H70" s="76" t="s">
        <v>322</v>
      </c>
      <c r="I70" s="64"/>
      <c r="M70" s="486">
        <f>M69-M68</f>
        <v>-6026.4132139960675</v>
      </c>
      <c r="N70" s="511"/>
      <c r="O70" s="76" t="s">
        <v>322</v>
      </c>
      <c r="R70" s="64"/>
      <c r="T70" s="486">
        <f>T69-T68</f>
        <v>-9283.0009329220338</v>
      </c>
      <c r="U70" s="511"/>
      <c r="V70" s="76" t="s">
        <v>322</v>
      </c>
      <c r="AA70" s="486">
        <f>AA69-AA68</f>
        <v>-6514.5479413183275</v>
      </c>
      <c r="AB70" s="511"/>
      <c r="AC70" s="76" t="s">
        <v>322</v>
      </c>
      <c r="AH70" s="486">
        <f>AH69-AH68</f>
        <v>-3986.8288727901963</v>
      </c>
      <c r="AI70" s="511"/>
      <c r="AJ70" s="76" t="s">
        <v>322</v>
      </c>
      <c r="AO70" s="486">
        <f>AO69-AO68</f>
        <v>-860.71033264530706</v>
      </c>
      <c r="AP70" s="511"/>
      <c r="AQ70" s="76" t="s">
        <v>322</v>
      </c>
      <c r="AV70" s="486">
        <f>AV69-AV68</f>
        <v>2293.5432743608835</v>
      </c>
      <c r="AW70" s="511"/>
      <c r="AX70" s="76" t="s">
        <v>322</v>
      </c>
      <c r="BC70" s="486">
        <f>BC69-BC68</f>
        <v>2314.1851638301305</v>
      </c>
      <c r="BD70" s="511"/>
      <c r="BE70" s="76" t="s">
        <v>322</v>
      </c>
      <c r="BJ70" s="486">
        <f>BJ69-BJ68</f>
        <v>2335.0128303046076</v>
      </c>
      <c r="BK70" s="511"/>
      <c r="BL70" s="76" t="s">
        <v>322</v>
      </c>
      <c r="BQ70" s="486">
        <f>BQ69-BQ68</f>
        <v>2356.0279457773431</v>
      </c>
      <c r="BR70" s="511"/>
      <c r="BS70" s="76" t="s">
        <v>322</v>
      </c>
      <c r="BX70" s="486">
        <f>BX69-BX68</f>
        <v>2377.2321972893405</v>
      </c>
      <c r="BY70" s="511"/>
      <c r="BZ70" s="76" t="s">
        <v>322</v>
      </c>
      <c r="CE70" s="486">
        <f>CE69-CE68</f>
        <v>2398.6272870649482</v>
      </c>
      <c r="CF70" s="511"/>
      <c r="CG70" s="76" t="s">
        <v>322</v>
      </c>
      <c r="CL70" s="486">
        <f>CL69-CL68</f>
        <v>2420.2149326485305</v>
      </c>
      <c r="CM70" s="511"/>
      <c r="CN70" s="76" t="s">
        <v>322</v>
      </c>
      <c r="CS70" s="486">
        <f>CS69-CS68</f>
        <v>2441.9968670423696</v>
      </c>
      <c r="CT70" s="511"/>
      <c r="CU70" s="76" t="s">
        <v>322</v>
      </c>
      <c r="CZ70" s="486">
        <f>CZ69-CZ68</f>
        <v>2463.9748388457519</v>
      </c>
      <c r="DA70" s="511"/>
      <c r="DB70" s="76" t="s">
        <v>322</v>
      </c>
      <c r="DG70" s="486">
        <f>DG69-DG68</f>
        <v>-3513.8493876046414</v>
      </c>
      <c r="DH70" s="511"/>
    </row>
    <row r="71" spans="1:256" x14ac:dyDescent="0.2">
      <c r="A71" s="49" t="s">
        <v>395</v>
      </c>
      <c r="F71" s="176">
        <f>'Var Erstellung'!G171*(-1)</f>
        <v>-63543.933666666664</v>
      </c>
      <c r="G71" s="512"/>
      <c r="H71" s="49" t="s">
        <v>308</v>
      </c>
      <c r="I71" s="64"/>
      <c r="J71" s="120"/>
      <c r="K71" s="120"/>
      <c r="L71" s="482"/>
      <c r="M71" s="878">
        <f>F72</f>
        <v>-71905.145969933335</v>
      </c>
      <c r="N71" s="512"/>
      <c r="O71" s="49" t="s">
        <v>309</v>
      </c>
      <c r="Q71" s="120"/>
      <c r="R71" s="120"/>
      <c r="S71" s="482"/>
      <c r="T71" s="878">
        <f>M72</f>
        <v>-77931.559183929407</v>
      </c>
      <c r="U71" s="512"/>
      <c r="V71" s="49" t="s">
        <v>310</v>
      </c>
      <c r="X71" s="120"/>
      <c r="Y71" s="120"/>
      <c r="Z71" s="482"/>
      <c r="AA71" s="878">
        <f>T72</f>
        <v>-87214.56011685144</v>
      </c>
      <c r="AB71" s="512"/>
      <c r="AC71" s="49" t="s">
        <v>311</v>
      </c>
      <c r="AE71" s="120"/>
      <c r="AF71" s="120"/>
      <c r="AG71" s="482"/>
      <c r="AH71" s="878">
        <f>AA72</f>
        <v>-93729.108058169775</v>
      </c>
      <c r="AI71" s="512"/>
      <c r="AJ71" s="49" t="s">
        <v>312</v>
      </c>
      <c r="AL71" s="120"/>
      <c r="AM71" s="120"/>
      <c r="AN71" s="482"/>
      <c r="AO71" s="878">
        <f>AH72</f>
        <v>-97715.936930959972</v>
      </c>
      <c r="AP71" s="512"/>
      <c r="AQ71" s="49" t="s">
        <v>313</v>
      </c>
      <c r="AS71" s="120"/>
      <c r="AT71" s="120"/>
      <c r="AU71" s="482"/>
      <c r="AV71" s="878">
        <f>AO72</f>
        <v>-98576.647263605264</v>
      </c>
      <c r="AW71" s="512"/>
      <c r="AX71" s="49" t="s">
        <v>314</v>
      </c>
      <c r="AZ71" s="120"/>
      <c r="BA71" s="120"/>
      <c r="BB71" s="482"/>
      <c r="BC71" s="878">
        <f>AV72</f>
        <v>-96283.103989244381</v>
      </c>
      <c r="BD71" s="512"/>
      <c r="BE71" s="49" t="s">
        <v>315</v>
      </c>
      <c r="BG71" s="120"/>
      <c r="BH71" s="120"/>
      <c r="BI71" s="482"/>
      <c r="BJ71" s="878">
        <f>BC72</f>
        <v>-93968.918825414265</v>
      </c>
      <c r="BK71" s="512"/>
      <c r="BL71" s="49" t="s">
        <v>316</v>
      </c>
      <c r="BN71" s="120"/>
      <c r="BO71" s="120"/>
      <c r="BP71" s="482"/>
      <c r="BQ71" s="878">
        <f>BJ72</f>
        <v>-91633.905995109642</v>
      </c>
      <c r="BR71" s="512"/>
      <c r="BS71" s="49" t="s">
        <v>317</v>
      </c>
      <c r="BU71" s="120"/>
      <c r="BV71" s="120"/>
      <c r="BW71" s="482"/>
      <c r="BX71" s="878">
        <f>BQ72</f>
        <v>-89277.878049332299</v>
      </c>
      <c r="BY71" s="512"/>
      <c r="BZ71" s="49" t="s">
        <v>318</v>
      </c>
      <c r="CB71" s="120"/>
      <c r="CC71" s="120"/>
      <c r="CD71" s="482"/>
      <c r="CE71" s="878">
        <f>BX72</f>
        <v>-86900.645852042959</v>
      </c>
      <c r="CF71" s="512"/>
      <c r="CG71" s="49" t="s">
        <v>319</v>
      </c>
      <c r="CI71" s="120"/>
      <c r="CJ71" s="120"/>
      <c r="CK71" s="482"/>
      <c r="CL71" s="878">
        <f>CE72</f>
        <v>-84502.018564978003</v>
      </c>
      <c r="CM71" s="512"/>
      <c r="CN71" s="49" t="s">
        <v>320</v>
      </c>
      <c r="CP71" s="120"/>
      <c r="CQ71" s="120"/>
      <c r="CR71" s="482"/>
      <c r="CS71" s="878">
        <f>CL72</f>
        <v>-82081.80363232948</v>
      </c>
      <c r="CT71" s="512"/>
      <c r="CU71" s="49" t="s">
        <v>321</v>
      </c>
      <c r="CW71" s="120"/>
      <c r="CX71" s="120"/>
      <c r="CY71" s="482"/>
      <c r="CZ71" s="878">
        <f>CS72</f>
        <v>-79639.80676528711</v>
      </c>
      <c r="DA71" s="512"/>
      <c r="DB71" s="49" t="s">
        <v>70</v>
      </c>
      <c r="DD71" s="120"/>
      <c r="DE71" s="120"/>
      <c r="DF71" s="482"/>
      <c r="DG71" s="878">
        <f>CZ72</f>
        <v>-77175.831926441359</v>
      </c>
      <c r="DH71" s="512"/>
    </row>
    <row r="72" spans="1:256" s="51" customFormat="1" ht="21.6" customHeight="1" x14ac:dyDescent="0.25">
      <c r="A72" s="50" t="s">
        <v>637</v>
      </c>
      <c r="F72" s="126">
        <f>((F68)*(-1))+F71+F69</f>
        <v>-71905.145969933335</v>
      </c>
      <c r="G72" s="52"/>
      <c r="H72" s="50" t="s">
        <v>638</v>
      </c>
      <c r="M72" s="126">
        <f>((M68)*(-1))+M71+M69</f>
        <v>-77931.559183929407</v>
      </c>
      <c r="N72" s="52"/>
      <c r="O72" s="50" t="s">
        <v>639</v>
      </c>
      <c r="T72" s="126">
        <f>((T68)*(-1))+T71+T69</f>
        <v>-87214.56011685144</v>
      </c>
      <c r="U72" s="52"/>
      <c r="V72" s="50" t="s">
        <v>640</v>
      </c>
      <c r="AA72" s="1201">
        <f>((AA68)*(-1))+AA71+AA69</f>
        <v>-93729.108058169775</v>
      </c>
      <c r="AB72" s="52"/>
      <c r="AC72" s="50" t="s">
        <v>641</v>
      </c>
      <c r="AH72" s="126">
        <f>((AH68)*(-1))+AH71+AH69</f>
        <v>-97715.936930959972</v>
      </c>
      <c r="AI72" s="52"/>
      <c r="AJ72" s="50" t="s">
        <v>642</v>
      </c>
      <c r="AO72" s="126">
        <f>((AO68)*(-1))+AO71+AO69</f>
        <v>-98576.647263605264</v>
      </c>
      <c r="AP72" s="52"/>
      <c r="AQ72" s="50" t="s">
        <v>643</v>
      </c>
      <c r="AV72" s="126">
        <f>((AV68)*(-1))+AV71+AV69</f>
        <v>-96283.103989244381</v>
      </c>
      <c r="AW72" s="52"/>
      <c r="AX72" s="50" t="s">
        <v>644</v>
      </c>
      <c r="BC72" s="126">
        <f>((BC68)*(-1))+BC71+BC69</f>
        <v>-93968.918825414265</v>
      </c>
      <c r="BD72" s="52"/>
      <c r="BE72" s="50" t="s">
        <v>645</v>
      </c>
      <c r="BJ72" s="126">
        <f>((BJ68)*(-1))+BJ71+BJ69</f>
        <v>-91633.905995109642</v>
      </c>
      <c r="BK72" s="52"/>
      <c r="BL72" s="50" t="s">
        <v>646</v>
      </c>
      <c r="BQ72" s="126">
        <f>((BQ68)*(-1))+BQ71+BQ69</f>
        <v>-89277.878049332299</v>
      </c>
      <c r="BR72" s="52"/>
      <c r="BS72" s="50" t="s">
        <v>647</v>
      </c>
      <c r="BX72" s="126">
        <f>((BX68)*(-1))+BX71+BX69</f>
        <v>-86900.645852042959</v>
      </c>
      <c r="BY72" s="52"/>
      <c r="BZ72" s="50" t="s">
        <v>648</v>
      </c>
      <c r="CE72" s="126">
        <f>((CE68)*(-1))+CE71+CE69</f>
        <v>-84502.018564978003</v>
      </c>
      <c r="CF72" s="52"/>
      <c r="CG72" s="50" t="s">
        <v>649</v>
      </c>
      <c r="CL72" s="126">
        <f>((CL68)*(-1))+CL71+CL69</f>
        <v>-82081.80363232948</v>
      </c>
      <c r="CM72" s="52"/>
      <c r="CN72" s="50" t="s">
        <v>650</v>
      </c>
      <c r="CS72" s="126">
        <f>((CS68)*(-1))+CS71+CS69</f>
        <v>-79639.80676528711</v>
      </c>
      <c r="CT72" s="52"/>
      <c r="CU72" s="50" t="s">
        <v>651</v>
      </c>
      <c r="CZ72" s="126">
        <f>((CZ68)*(-1))+CZ71+CZ69</f>
        <v>-77175.831926441359</v>
      </c>
      <c r="DA72" s="52"/>
      <c r="DB72" s="50" t="s">
        <v>652</v>
      </c>
      <c r="DG72" s="126">
        <f>((DG68)*(-1))+DG71+DG69</f>
        <v>-80689.681314046</v>
      </c>
      <c r="DH72" s="52"/>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X72" s="127"/>
      <c r="FY72" s="127"/>
      <c r="FZ72" s="127"/>
      <c r="GA72" s="127"/>
      <c r="GB72" s="127"/>
      <c r="GC72" s="127"/>
      <c r="GD72" s="127"/>
      <c r="GE72" s="127"/>
      <c r="GF72" s="127"/>
      <c r="GG72" s="127"/>
      <c r="GH72" s="127"/>
      <c r="GI72" s="127"/>
      <c r="GJ72" s="127"/>
      <c r="GK72" s="127"/>
      <c r="GL72" s="127"/>
      <c r="GM72" s="127"/>
      <c r="GN72" s="127"/>
      <c r="GO72" s="127"/>
      <c r="GP72" s="127"/>
      <c r="GQ72" s="127"/>
      <c r="GR72" s="127"/>
      <c r="GS72" s="127"/>
      <c r="GT72" s="127"/>
      <c r="GU72" s="127"/>
      <c r="GV72" s="127"/>
      <c r="GW72" s="127"/>
      <c r="GX72" s="127"/>
      <c r="GY72" s="127"/>
      <c r="GZ72" s="127"/>
      <c r="HA72" s="127"/>
      <c r="HB72" s="127"/>
      <c r="HC72" s="127"/>
      <c r="HD72" s="127"/>
      <c r="HE72" s="127"/>
      <c r="HF72" s="127"/>
      <c r="HG72" s="127"/>
      <c r="HH72" s="127"/>
      <c r="HI72" s="127"/>
      <c r="HJ72" s="127"/>
      <c r="HK72" s="127"/>
      <c r="HL72" s="127"/>
      <c r="HM72" s="127"/>
      <c r="HN72" s="127"/>
      <c r="HO72" s="127"/>
      <c r="HP72" s="127"/>
      <c r="HQ72" s="127"/>
      <c r="HR72" s="127"/>
      <c r="HS72" s="127"/>
      <c r="HT72" s="127"/>
      <c r="HU72" s="127"/>
      <c r="HV72" s="127"/>
      <c r="HW72" s="127"/>
      <c r="HX72" s="127"/>
      <c r="HY72" s="127"/>
      <c r="HZ72" s="127"/>
      <c r="IA72" s="127"/>
      <c r="IB72" s="127"/>
      <c r="IC72" s="127"/>
      <c r="ID72" s="127"/>
      <c r="IE72" s="127"/>
      <c r="IF72" s="127"/>
      <c r="IG72" s="127"/>
      <c r="IH72" s="127"/>
      <c r="II72" s="127"/>
      <c r="IJ72" s="127"/>
      <c r="IK72" s="127"/>
      <c r="IL72" s="127"/>
      <c r="IM72" s="127"/>
      <c r="IN72" s="127"/>
      <c r="IO72" s="127"/>
      <c r="IP72" s="127"/>
      <c r="IQ72" s="127"/>
      <c r="IR72" s="22"/>
      <c r="IS72" s="22"/>
      <c r="IT72" s="22"/>
      <c r="IU72" s="22"/>
      <c r="IV72" s="22"/>
    </row>
    <row r="73" spans="1:256" s="518" customFormat="1" x14ac:dyDescent="0.2">
      <c r="A73" s="513" t="s">
        <v>71</v>
      </c>
      <c r="B73" s="513"/>
      <c r="C73" s="177"/>
      <c r="D73" s="177"/>
      <c r="E73" s="177"/>
      <c r="F73" s="177">
        <f>F72*(-1)</f>
        <v>71905.145969933335</v>
      </c>
      <c r="G73" s="177"/>
      <c r="H73" s="513" t="s">
        <v>71</v>
      </c>
      <c r="I73" s="513"/>
      <c r="J73" s="177"/>
      <c r="K73" s="177"/>
      <c r="L73" s="177"/>
      <c r="M73" s="177">
        <f>M72*(-1)</f>
        <v>77931.559183929407</v>
      </c>
      <c r="N73" s="177"/>
      <c r="O73" s="513" t="s">
        <v>71</v>
      </c>
      <c r="P73" s="513"/>
      <c r="Q73" s="177"/>
      <c r="R73" s="177"/>
      <c r="S73" s="177"/>
      <c r="T73" s="177">
        <f>T72*(-1)</f>
        <v>87214.56011685144</v>
      </c>
      <c r="U73" s="177"/>
      <c r="V73" s="514" t="s">
        <v>71</v>
      </c>
      <c r="W73" s="513"/>
      <c r="X73" s="177"/>
      <c r="Y73" s="177"/>
      <c r="Z73" s="177"/>
      <c r="AA73" s="515">
        <f>(AA72)*(-1)</f>
        <v>93729.108058169775</v>
      </c>
      <c r="AB73" s="177"/>
      <c r="AC73" s="514" t="s">
        <v>71</v>
      </c>
      <c r="AD73" s="513"/>
      <c r="AE73" s="177"/>
      <c r="AF73" s="177"/>
      <c r="AG73" s="177"/>
      <c r="AH73" s="177">
        <f>(AA73)-($AA$73/'Var Vorgaben'!$B$29)</f>
        <v>87034.171768300512</v>
      </c>
      <c r="AI73" s="177"/>
      <c r="AJ73" s="514" t="s">
        <v>71</v>
      </c>
      <c r="AK73" s="513"/>
      <c r="AL73" s="177"/>
      <c r="AM73" s="177"/>
      <c r="AN73" s="177"/>
      <c r="AO73" s="177">
        <f>(AH73)-($AA$73/'Var Vorgaben'!$B$29)</f>
        <v>80339.235478431248</v>
      </c>
      <c r="AP73" s="177"/>
      <c r="AQ73" s="514" t="s">
        <v>71</v>
      </c>
      <c r="AR73" s="513"/>
      <c r="AS73" s="177"/>
      <c r="AT73" s="177"/>
      <c r="AU73" s="177"/>
      <c r="AV73" s="177">
        <f>(AO73)-($AA$73/'Var Vorgaben'!$B$29)</f>
        <v>73644.299188561985</v>
      </c>
      <c r="AW73" s="177"/>
      <c r="AX73" s="514" t="s">
        <v>71</v>
      </c>
      <c r="AY73" s="513"/>
      <c r="AZ73" s="177"/>
      <c r="BA73" s="177"/>
      <c r="BB73" s="177"/>
      <c r="BC73" s="177">
        <f>(AV73)-($AA$73/'Var Vorgaben'!$B$29)</f>
        <v>66949.362898692722</v>
      </c>
      <c r="BD73" s="177"/>
      <c r="BE73" s="514" t="s">
        <v>71</v>
      </c>
      <c r="BF73" s="513"/>
      <c r="BG73" s="177"/>
      <c r="BH73" s="177"/>
      <c r="BI73" s="177"/>
      <c r="BJ73" s="177">
        <f>(BC73)-($AA$73/'Var Vorgaben'!$B$29)</f>
        <v>60254.426608823451</v>
      </c>
      <c r="BK73" s="177"/>
      <c r="BL73" s="514" t="s">
        <v>71</v>
      </c>
      <c r="BM73" s="513"/>
      <c r="BN73" s="177"/>
      <c r="BO73" s="177"/>
      <c r="BP73" s="177"/>
      <c r="BQ73" s="177">
        <f>(BJ73)-($AA$73/'Var Vorgaben'!$B$29)</f>
        <v>53559.49031895418</v>
      </c>
      <c r="BR73" s="177"/>
      <c r="BS73" s="514" t="s">
        <v>71</v>
      </c>
      <c r="BT73" s="513"/>
      <c r="BU73" s="177"/>
      <c r="BV73" s="177"/>
      <c r="BW73" s="177"/>
      <c r="BX73" s="177">
        <f>(BQ73)-($AA$73/'Var Vorgaben'!$B$29)</f>
        <v>46864.554029084909</v>
      </c>
      <c r="BY73" s="177"/>
      <c r="BZ73" s="514" t="s">
        <v>71</v>
      </c>
      <c r="CA73" s="513"/>
      <c r="CB73" s="177"/>
      <c r="CC73" s="177"/>
      <c r="CD73" s="177"/>
      <c r="CE73" s="177">
        <f>(BX73)-($AA$73/'Var Vorgaben'!$B$29)</f>
        <v>40169.617739215639</v>
      </c>
      <c r="CF73" s="177"/>
      <c r="CG73" s="514" t="s">
        <v>71</v>
      </c>
      <c r="CH73" s="513"/>
      <c r="CI73" s="177"/>
      <c r="CJ73" s="177"/>
      <c r="CK73" s="177"/>
      <c r="CL73" s="177">
        <f>(CE73)-($AA$73/'Var Vorgaben'!$B$29)</f>
        <v>33474.681449346368</v>
      </c>
      <c r="CM73" s="177"/>
      <c r="CN73" s="514" t="s">
        <v>71</v>
      </c>
      <c r="CO73" s="513"/>
      <c r="CP73" s="177"/>
      <c r="CQ73" s="177"/>
      <c r="CR73" s="177"/>
      <c r="CS73" s="177">
        <f>(CL73)-($AA$73/'Var Vorgaben'!$B$29)</f>
        <v>26779.745159477097</v>
      </c>
      <c r="CT73" s="177"/>
      <c r="CU73" s="514" t="s">
        <v>71</v>
      </c>
      <c r="CV73" s="513"/>
      <c r="CW73" s="177"/>
      <c r="CX73" s="177"/>
      <c r="CY73" s="177"/>
      <c r="CZ73" s="177">
        <f>(CS73)-($AA$73/'Var Vorgaben'!$B$29)</f>
        <v>20084.808869607827</v>
      </c>
      <c r="DA73" s="516"/>
      <c r="DB73" s="514" t="s">
        <v>71</v>
      </c>
      <c r="DC73" s="513"/>
      <c r="DD73" s="177"/>
      <c r="DE73" s="177"/>
      <c r="DF73" s="177"/>
      <c r="DG73" s="177">
        <f>(CZ73)-($AA$73/'Var Vorgaben'!$B$29)</f>
        <v>13389.872579738556</v>
      </c>
      <c r="DH73" s="517"/>
    </row>
    <row r="74" spans="1:256" x14ac:dyDescent="0.2">
      <c r="A74" s="64"/>
      <c r="C74" s="64"/>
      <c r="D74" s="64"/>
      <c r="E74" s="64"/>
      <c r="F74" s="64"/>
      <c r="G74" s="64"/>
      <c r="H74" s="64"/>
      <c r="I74" s="64"/>
      <c r="O74" s="76"/>
      <c r="P74" s="76"/>
      <c r="Q74" s="76"/>
      <c r="R74" s="76"/>
      <c r="S74" s="76"/>
      <c r="T74" s="519"/>
      <c r="CV74" s="183"/>
      <c r="DA74" s="520"/>
      <c r="DB74" s="64" t="s">
        <v>145</v>
      </c>
      <c r="DC74" s="183">
        <f>'Var Vorgaben'!C38</f>
        <v>6000</v>
      </c>
    </row>
    <row r="75" spans="1:256" s="171" customFormat="1" ht="15.75" x14ac:dyDescent="0.25">
      <c r="B75" s="521"/>
      <c r="R75" s="500"/>
      <c r="V75" s="194"/>
      <c r="AA75" s="195"/>
    </row>
    <row r="76" spans="1:256" s="98" customFormat="1" x14ac:dyDescent="0.2">
      <c r="A76" s="171"/>
      <c r="B76" s="184"/>
      <c r="D76" s="324"/>
      <c r="E76" s="485"/>
      <c r="F76" s="182"/>
      <c r="G76" s="324"/>
      <c r="I76" s="171"/>
      <c r="J76" s="324"/>
      <c r="K76" s="324"/>
      <c r="L76" s="485"/>
      <c r="M76" s="182"/>
      <c r="N76" s="324"/>
      <c r="O76" s="171"/>
      <c r="P76" s="171"/>
      <c r="Q76" s="171"/>
      <c r="R76" s="500"/>
      <c r="S76" s="171"/>
      <c r="T76" s="522"/>
      <c r="U76" s="324"/>
      <c r="W76" s="171"/>
      <c r="X76" s="324"/>
      <c r="Y76" s="500"/>
      <c r="Z76" s="485"/>
      <c r="AA76" s="182"/>
      <c r="AB76" s="324"/>
      <c r="AD76" s="171"/>
      <c r="AE76" s="324"/>
      <c r="AF76" s="500"/>
      <c r="AG76" s="485"/>
      <c r="AH76" s="182"/>
      <c r="AI76" s="324"/>
      <c r="AK76" s="171"/>
      <c r="AL76" s="324"/>
      <c r="AM76" s="500"/>
      <c r="AN76" s="485"/>
      <c r="AO76" s="182"/>
      <c r="AP76" s="324"/>
      <c r="AR76" s="171"/>
      <c r="AS76" s="324"/>
      <c r="AT76" s="500"/>
      <c r="AU76" s="485"/>
      <c r="AV76" s="182"/>
      <c r="AW76" s="324"/>
      <c r="BM76" s="171"/>
      <c r="BN76" s="324"/>
      <c r="BO76" s="500"/>
      <c r="BP76" s="485"/>
      <c r="BQ76" s="182"/>
      <c r="BR76" s="324"/>
      <c r="BT76" s="171"/>
      <c r="BU76" s="324"/>
      <c r="BV76" s="500"/>
      <c r="BW76" s="485"/>
      <c r="BX76" s="182"/>
      <c r="BY76" s="324"/>
    </row>
    <row r="77" spans="1:256" s="98" customFormat="1" ht="20.25" customHeight="1" x14ac:dyDescent="0.2">
      <c r="C77" s="523"/>
      <c r="D77" s="324"/>
      <c r="E77" s="485"/>
      <c r="F77" s="182"/>
      <c r="G77" s="324"/>
      <c r="I77" s="171"/>
      <c r="J77" s="324"/>
      <c r="K77" s="324"/>
      <c r="L77" s="485"/>
      <c r="M77" s="182"/>
      <c r="N77" s="324"/>
      <c r="P77" s="171"/>
      <c r="Q77" s="324"/>
      <c r="R77" s="524"/>
      <c r="S77" s="485"/>
      <c r="T77" s="182"/>
      <c r="U77" s="324"/>
      <c r="W77" s="171"/>
      <c r="X77" s="324"/>
      <c r="Y77" s="524"/>
      <c r="Z77" s="485"/>
      <c r="AA77" s="182"/>
      <c r="AB77" s="324"/>
      <c r="AD77" s="171"/>
      <c r="AE77" s="324"/>
      <c r="AF77" s="524"/>
      <c r="AG77" s="485"/>
      <c r="AH77" s="182"/>
      <c r="AI77" s="324"/>
      <c r="AK77" s="171"/>
      <c r="AL77" s="324"/>
      <c r="AM77" s="524"/>
      <c r="AN77" s="485"/>
      <c r="AO77" s="182"/>
      <c r="AP77" s="324"/>
      <c r="AR77" s="171"/>
      <c r="AS77" s="324"/>
      <c r="AT77" s="524"/>
      <c r="AU77" s="485"/>
      <c r="AV77" s="182"/>
      <c r="AW77" s="324"/>
      <c r="BM77" s="171"/>
      <c r="BN77" s="324"/>
      <c r="BO77" s="524"/>
      <c r="BP77" s="485"/>
      <c r="BQ77" s="182"/>
      <c r="BR77" s="324"/>
      <c r="BT77" s="171"/>
      <c r="BU77" s="324"/>
      <c r="BV77" s="524"/>
      <c r="BW77" s="485"/>
      <c r="BX77" s="182"/>
      <c r="BY77" s="324"/>
    </row>
    <row r="78" spans="1:256" s="171" customFormat="1" x14ac:dyDescent="0.2">
      <c r="B78" s="485"/>
      <c r="C78" s="525"/>
      <c r="D78" s="324"/>
      <c r="F78" s="182"/>
      <c r="G78" s="324"/>
      <c r="H78" s="324"/>
      <c r="I78" s="324"/>
      <c r="O78" s="324"/>
      <c r="P78" s="324"/>
      <c r="R78" s="500"/>
    </row>
    <row r="79" spans="1:256" s="171" customFormat="1" x14ac:dyDescent="0.2">
      <c r="A79" s="526"/>
      <c r="B79" s="473"/>
      <c r="C79" s="324"/>
      <c r="D79" s="324"/>
      <c r="F79" s="182"/>
      <c r="G79" s="324"/>
      <c r="H79" s="324"/>
      <c r="I79" s="324"/>
      <c r="O79" s="324"/>
      <c r="P79" s="324"/>
      <c r="R79" s="500"/>
    </row>
    <row r="80" spans="1:256" s="171" customFormat="1" x14ac:dyDescent="0.2">
      <c r="A80" s="98"/>
      <c r="B80" s="473"/>
      <c r="C80" s="324"/>
      <c r="D80" s="324"/>
      <c r="E80" s="527"/>
      <c r="F80" s="182"/>
      <c r="G80" s="324"/>
      <c r="H80" s="324"/>
      <c r="I80" s="324"/>
      <c r="O80" s="324"/>
      <c r="P80" s="324"/>
      <c r="R80" s="500"/>
    </row>
    <row r="81" spans="1:77" s="171" customFormat="1" x14ac:dyDescent="0.2">
      <c r="A81" s="98"/>
      <c r="B81" s="473"/>
      <c r="C81" s="324"/>
      <c r="G81" s="324"/>
      <c r="H81" s="98"/>
      <c r="N81" s="324"/>
      <c r="O81" s="98"/>
      <c r="R81" s="500"/>
      <c r="U81" s="324"/>
      <c r="V81" s="98"/>
      <c r="Y81" s="500"/>
      <c r="AB81" s="324"/>
      <c r="AC81" s="98"/>
      <c r="AF81" s="500"/>
      <c r="AI81" s="324"/>
      <c r="AJ81" s="98"/>
      <c r="AM81" s="500"/>
      <c r="AP81" s="324"/>
      <c r="AQ81" s="98"/>
      <c r="AT81" s="500"/>
      <c r="AW81" s="324"/>
      <c r="BL81" s="98"/>
      <c r="BO81" s="500"/>
      <c r="BR81" s="324"/>
      <c r="BS81" s="98"/>
      <c r="BV81" s="500"/>
      <c r="BY81" s="324"/>
    </row>
    <row r="82" spans="1:77" s="171" customFormat="1" x14ac:dyDescent="0.2">
      <c r="A82" s="98"/>
      <c r="B82" s="473"/>
      <c r="C82" s="324"/>
      <c r="D82" s="324"/>
      <c r="E82" s="485"/>
      <c r="F82" s="182"/>
      <c r="G82" s="324"/>
      <c r="H82" s="324"/>
      <c r="I82" s="324"/>
      <c r="O82" s="324"/>
      <c r="P82" s="324"/>
      <c r="R82" s="500"/>
    </row>
    <row r="83" spans="1:77" s="171" customFormat="1" x14ac:dyDescent="0.2">
      <c r="A83" s="98"/>
      <c r="B83" s="473"/>
      <c r="C83" s="324"/>
      <c r="D83" s="324"/>
      <c r="E83" s="485"/>
      <c r="F83" s="182"/>
      <c r="G83" s="324"/>
      <c r="H83" s="324"/>
      <c r="I83" s="324"/>
      <c r="O83" s="324"/>
      <c r="P83" s="324"/>
      <c r="R83" s="500"/>
    </row>
    <row r="84" spans="1:77" s="171" customFormat="1" x14ac:dyDescent="0.2">
      <c r="A84" s="98"/>
      <c r="B84" s="473"/>
      <c r="C84" s="324"/>
      <c r="D84" s="324"/>
      <c r="E84" s="485"/>
      <c r="F84" s="182"/>
      <c r="G84" s="324"/>
      <c r="H84" s="324"/>
      <c r="I84" s="324"/>
      <c r="O84" s="324"/>
      <c r="P84" s="324"/>
      <c r="R84" s="500"/>
    </row>
    <row r="85" spans="1:77" s="171" customFormat="1" x14ac:dyDescent="0.2">
      <c r="A85" s="98"/>
      <c r="B85" s="473"/>
      <c r="C85" s="324"/>
    </row>
    <row r="86" spans="1:77" s="171" customFormat="1" x14ac:dyDescent="0.2">
      <c r="A86" s="98"/>
      <c r="B86" s="473"/>
      <c r="C86" s="324"/>
      <c r="D86" s="324"/>
      <c r="E86" s="485"/>
      <c r="F86" s="182"/>
      <c r="G86" s="324"/>
      <c r="H86" s="324"/>
      <c r="I86" s="324"/>
      <c r="O86" s="324"/>
      <c r="P86" s="324"/>
      <c r="R86" s="500"/>
    </row>
    <row r="87" spans="1:77" s="171" customFormat="1" x14ac:dyDescent="0.2">
      <c r="A87" s="98"/>
      <c r="B87" s="473"/>
      <c r="C87" s="324"/>
      <c r="D87" s="324"/>
      <c r="E87" s="485"/>
      <c r="F87" s="182"/>
      <c r="G87" s="324"/>
      <c r="H87" s="324"/>
      <c r="I87" s="324"/>
      <c r="O87" s="324"/>
      <c r="P87" s="324"/>
      <c r="R87" s="500"/>
    </row>
    <row r="88" spans="1:77" s="171" customFormat="1" x14ac:dyDescent="0.2">
      <c r="A88" s="98"/>
      <c r="B88" s="473"/>
      <c r="C88" s="324"/>
      <c r="D88" s="324"/>
      <c r="E88" s="485"/>
      <c r="F88" s="182"/>
      <c r="G88" s="324"/>
      <c r="H88" s="324"/>
      <c r="I88" s="324"/>
      <c r="O88" s="324"/>
      <c r="P88" s="324"/>
      <c r="R88" s="500"/>
    </row>
    <row r="89" spans="1:77" s="171" customFormat="1" x14ac:dyDescent="0.2">
      <c r="A89" s="98"/>
      <c r="B89" s="473"/>
      <c r="C89" s="324"/>
      <c r="D89" s="525"/>
      <c r="E89" s="524"/>
      <c r="F89" s="182"/>
      <c r="G89" s="324"/>
      <c r="H89" s="324"/>
      <c r="I89" s="324"/>
      <c r="O89" s="324"/>
      <c r="P89" s="324"/>
      <c r="R89" s="500"/>
    </row>
    <row r="90" spans="1:77" s="171" customFormat="1" x14ac:dyDescent="0.2">
      <c r="A90" s="98"/>
      <c r="B90" s="473"/>
      <c r="C90" s="324"/>
      <c r="D90" s="324"/>
      <c r="E90" s="485"/>
      <c r="F90" s="182"/>
      <c r="G90" s="324"/>
      <c r="H90" s="324"/>
      <c r="I90" s="324"/>
      <c r="O90" s="324"/>
      <c r="P90" s="324"/>
      <c r="R90" s="500"/>
    </row>
    <row r="91" spans="1:77" s="171" customFormat="1" x14ac:dyDescent="0.2">
      <c r="A91" s="98"/>
      <c r="B91" s="473"/>
      <c r="C91" s="324"/>
      <c r="D91" s="324"/>
      <c r="E91" s="485"/>
      <c r="F91" s="182"/>
      <c r="G91" s="324"/>
      <c r="H91" s="324"/>
      <c r="I91" s="324"/>
      <c r="O91" s="324"/>
      <c r="P91" s="324"/>
      <c r="R91" s="500"/>
    </row>
    <row r="92" spans="1:77" s="171" customFormat="1" x14ac:dyDescent="0.2">
      <c r="A92" s="98"/>
      <c r="B92" s="473"/>
      <c r="C92" s="324"/>
      <c r="D92" s="324"/>
      <c r="E92" s="485"/>
      <c r="F92" s="182"/>
      <c r="G92" s="324"/>
      <c r="H92" s="324"/>
      <c r="I92" s="324"/>
      <c r="O92" s="324"/>
      <c r="P92" s="324"/>
      <c r="R92" s="500"/>
    </row>
    <row r="93" spans="1:77" s="171" customFormat="1" x14ac:dyDescent="0.2">
      <c r="A93" s="98"/>
      <c r="B93" s="473"/>
      <c r="C93" s="324"/>
      <c r="D93" s="324"/>
      <c r="E93" s="485"/>
      <c r="F93" s="182"/>
      <c r="G93" s="324"/>
      <c r="H93" s="324"/>
      <c r="I93" s="324"/>
      <c r="O93" s="324"/>
      <c r="P93" s="324"/>
      <c r="R93" s="500"/>
    </row>
    <row r="94" spans="1:77" s="171" customFormat="1" x14ac:dyDescent="0.2">
      <c r="A94" s="98"/>
      <c r="B94" s="473"/>
      <c r="C94" s="324"/>
      <c r="D94" s="324"/>
      <c r="E94" s="485"/>
      <c r="F94" s="182"/>
      <c r="G94" s="324"/>
      <c r="H94" s="324"/>
      <c r="I94" s="324"/>
      <c r="O94" s="324"/>
      <c r="P94" s="324"/>
      <c r="R94" s="500"/>
    </row>
    <row r="95" spans="1:77" s="171" customFormat="1" x14ac:dyDescent="0.2">
      <c r="A95" s="98"/>
      <c r="B95" s="473"/>
      <c r="C95" s="324"/>
      <c r="D95" s="324"/>
      <c r="E95" s="524"/>
      <c r="F95" s="182"/>
      <c r="G95" s="324"/>
      <c r="H95" s="324"/>
      <c r="I95" s="324"/>
      <c r="O95" s="324"/>
      <c r="P95" s="324"/>
      <c r="R95" s="500"/>
    </row>
    <row r="96" spans="1:77" s="171" customFormat="1" x14ac:dyDescent="0.2">
      <c r="A96" s="98"/>
      <c r="B96" s="473"/>
      <c r="C96" s="324"/>
      <c r="D96" s="324"/>
      <c r="E96" s="485"/>
      <c r="F96" s="182"/>
      <c r="G96" s="324"/>
      <c r="H96" s="324"/>
      <c r="I96" s="324"/>
      <c r="O96" s="324"/>
      <c r="P96" s="324"/>
      <c r="R96" s="500"/>
    </row>
    <row r="97" spans="1:18" s="171" customFormat="1" x14ac:dyDescent="0.2">
      <c r="A97" s="98"/>
      <c r="B97" s="473"/>
      <c r="C97" s="324"/>
      <c r="D97" s="324"/>
      <c r="E97" s="485"/>
      <c r="F97" s="182"/>
      <c r="G97" s="324"/>
      <c r="H97" s="324"/>
      <c r="I97" s="324"/>
      <c r="O97" s="324"/>
      <c r="P97" s="324"/>
      <c r="R97" s="500"/>
    </row>
    <row r="98" spans="1:18" s="171" customFormat="1" x14ac:dyDescent="0.2">
      <c r="A98" s="98"/>
      <c r="B98" s="473"/>
      <c r="C98" s="324"/>
      <c r="D98" s="324"/>
      <c r="E98" s="485"/>
      <c r="F98" s="182"/>
      <c r="G98" s="324"/>
      <c r="H98" s="324"/>
      <c r="I98" s="324"/>
      <c r="O98" s="324"/>
      <c r="P98" s="324"/>
      <c r="R98" s="500"/>
    </row>
    <row r="99" spans="1:18" s="171" customFormat="1" x14ac:dyDescent="0.2">
      <c r="A99" s="98"/>
      <c r="B99" s="324"/>
      <c r="C99" s="324"/>
      <c r="D99" s="324"/>
      <c r="E99" s="485"/>
      <c r="F99" s="182"/>
      <c r="G99" s="324"/>
      <c r="H99" s="324"/>
      <c r="I99" s="324"/>
      <c r="O99" s="324"/>
      <c r="P99" s="324"/>
      <c r="R99" s="500"/>
    </row>
    <row r="100" spans="1:18" s="171" customFormat="1" x14ac:dyDescent="0.2">
      <c r="A100" s="98"/>
      <c r="C100" s="324"/>
      <c r="D100" s="324"/>
      <c r="E100" s="485"/>
      <c r="F100" s="182"/>
      <c r="G100" s="324"/>
      <c r="H100" s="324"/>
      <c r="I100" s="324"/>
      <c r="O100" s="324"/>
      <c r="P100" s="324"/>
      <c r="R100" s="500"/>
    </row>
    <row r="101" spans="1:18" s="171" customFormat="1" x14ac:dyDescent="0.2">
      <c r="A101" s="98"/>
      <c r="C101" s="324"/>
      <c r="D101" s="324"/>
      <c r="E101" s="485"/>
      <c r="F101" s="182"/>
      <c r="G101" s="324"/>
      <c r="H101" s="324"/>
      <c r="I101" s="324"/>
      <c r="O101" s="324"/>
      <c r="P101" s="324"/>
      <c r="R101" s="500"/>
    </row>
    <row r="102" spans="1:18" s="171" customFormat="1" x14ac:dyDescent="0.2">
      <c r="A102" s="98"/>
      <c r="C102" s="324"/>
      <c r="D102" s="324"/>
      <c r="E102" s="485"/>
      <c r="F102" s="182"/>
      <c r="G102" s="324"/>
      <c r="H102" s="324"/>
      <c r="I102" s="324"/>
      <c r="O102" s="324"/>
      <c r="P102" s="324"/>
      <c r="R102" s="500"/>
    </row>
    <row r="103" spans="1:18" s="171" customFormat="1" x14ac:dyDescent="0.2">
      <c r="A103" s="98"/>
      <c r="C103" s="324"/>
      <c r="D103" s="324"/>
      <c r="E103" s="485"/>
      <c r="F103" s="182"/>
      <c r="G103" s="324"/>
      <c r="H103" s="324"/>
      <c r="I103" s="324"/>
      <c r="O103" s="324"/>
      <c r="P103" s="324"/>
      <c r="R103" s="500"/>
    </row>
    <row r="104" spans="1:18" s="171" customFormat="1" x14ac:dyDescent="0.2">
      <c r="A104" s="98"/>
      <c r="C104" s="324"/>
      <c r="D104" s="324"/>
      <c r="E104" s="485"/>
      <c r="F104" s="182"/>
      <c r="G104" s="324"/>
      <c r="H104" s="324"/>
      <c r="I104" s="324"/>
      <c r="O104" s="324"/>
      <c r="P104" s="324"/>
      <c r="R104" s="500"/>
    </row>
    <row r="105" spans="1:18" s="171" customFormat="1" x14ac:dyDescent="0.2">
      <c r="A105" s="98"/>
      <c r="C105" s="324"/>
      <c r="D105" s="324"/>
      <c r="E105" s="485"/>
      <c r="F105" s="182"/>
      <c r="G105" s="324"/>
      <c r="H105" s="324"/>
      <c r="I105" s="324"/>
      <c r="O105" s="324"/>
      <c r="P105" s="324"/>
      <c r="R105" s="500"/>
    </row>
    <row r="106" spans="1:18" x14ac:dyDescent="0.2">
      <c r="O106" s="120"/>
      <c r="P106" s="120"/>
    </row>
    <row r="107" spans="1:18" x14ac:dyDescent="0.2">
      <c r="O107" s="120"/>
      <c r="P107" s="120"/>
    </row>
    <row r="108" spans="1:18" x14ac:dyDescent="0.2">
      <c r="O108" s="120"/>
      <c r="P108" s="120"/>
    </row>
    <row r="109" spans="1:18" x14ac:dyDescent="0.2">
      <c r="O109" s="120"/>
      <c r="P109" s="120"/>
    </row>
    <row r="110" spans="1:18" x14ac:dyDescent="0.2">
      <c r="O110" s="120"/>
      <c r="P110" s="120"/>
    </row>
    <row r="111" spans="1:18" x14ac:dyDescent="0.2">
      <c r="O111" s="120"/>
      <c r="P111" s="120"/>
    </row>
    <row r="112" spans="1:18" x14ac:dyDescent="0.2">
      <c r="O112" s="120"/>
      <c r="P112" s="120"/>
    </row>
    <row r="113" spans="15:16" x14ac:dyDescent="0.2">
      <c r="O113" s="120"/>
      <c r="P113" s="120"/>
    </row>
    <row r="114" spans="15:16" x14ac:dyDescent="0.2">
      <c r="O114" s="120"/>
      <c r="P114" s="120"/>
    </row>
    <row r="115" spans="15:16" x14ac:dyDescent="0.2">
      <c r="O115" s="120"/>
      <c r="P115" s="120"/>
    </row>
    <row r="116" spans="15:16" x14ac:dyDescent="0.2">
      <c r="O116" s="120"/>
      <c r="P116" s="120"/>
    </row>
    <row r="117" spans="15:16" x14ac:dyDescent="0.2">
      <c r="O117" s="120"/>
      <c r="P117" s="120"/>
    </row>
    <row r="118" spans="15:16" x14ac:dyDescent="0.2">
      <c r="O118" s="120"/>
      <c r="P118" s="120"/>
    </row>
    <row r="119" spans="15:16" x14ac:dyDescent="0.2">
      <c r="O119" s="120"/>
      <c r="P119" s="120"/>
    </row>
    <row r="120" spans="15:16" x14ac:dyDescent="0.2">
      <c r="O120" s="120"/>
      <c r="P120" s="120"/>
    </row>
    <row r="121" spans="15:16" x14ac:dyDescent="0.2">
      <c r="O121" s="120"/>
      <c r="P121" s="120"/>
    </row>
    <row r="122" spans="15:16" x14ac:dyDescent="0.2">
      <c r="O122" s="120"/>
      <c r="P122" s="120"/>
    </row>
    <row r="123" spans="15:16" x14ac:dyDescent="0.2">
      <c r="O123" s="120"/>
      <c r="P123" s="120"/>
    </row>
    <row r="124" spans="15:16" x14ac:dyDescent="0.2">
      <c r="O124" s="120"/>
      <c r="P124" s="120"/>
    </row>
    <row r="125" spans="15:16" x14ac:dyDescent="0.2">
      <c r="O125" s="120"/>
      <c r="P125" s="120"/>
    </row>
    <row r="126" spans="15:16" x14ac:dyDescent="0.2">
      <c r="O126" s="120"/>
      <c r="P126" s="120"/>
    </row>
    <row r="127" spans="15:16" x14ac:dyDescent="0.2">
      <c r="O127" s="120"/>
      <c r="P127" s="120"/>
    </row>
    <row r="128" spans="15:16" x14ac:dyDescent="0.2">
      <c r="O128" s="120"/>
      <c r="P128" s="120"/>
    </row>
    <row r="129" spans="15:16" x14ac:dyDescent="0.2">
      <c r="O129" s="120"/>
      <c r="P129" s="120"/>
    </row>
    <row r="130" spans="15:16" x14ac:dyDescent="0.2">
      <c r="O130" s="120"/>
      <c r="P130" s="120"/>
    </row>
    <row r="131" spans="15:16" x14ac:dyDescent="0.2">
      <c r="O131" s="120"/>
      <c r="P131" s="120"/>
    </row>
    <row r="132" spans="15:16" x14ac:dyDescent="0.2">
      <c r="O132" s="120"/>
      <c r="P132" s="120"/>
    </row>
    <row r="133" spans="15:16" x14ac:dyDescent="0.2">
      <c r="O133" s="120"/>
      <c r="P133" s="120"/>
    </row>
    <row r="134" spans="15:16" x14ac:dyDescent="0.2">
      <c r="O134" s="120"/>
      <c r="P134" s="120"/>
    </row>
    <row r="135" spans="15:16" x14ac:dyDescent="0.2">
      <c r="O135" s="120"/>
      <c r="P135" s="120"/>
    </row>
    <row r="136" spans="15:16" x14ac:dyDescent="0.2">
      <c r="O136" s="120"/>
      <c r="P136" s="120"/>
    </row>
    <row r="137" spans="15:16" x14ac:dyDescent="0.2">
      <c r="O137" s="120"/>
      <c r="P137" s="120"/>
    </row>
    <row r="138" spans="15:16" x14ac:dyDescent="0.2">
      <c r="O138" s="120"/>
      <c r="P138" s="120"/>
    </row>
    <row r="139" spans="15:16" x14ac:dyDescent="0.2">
      <c r="O139" s="120"/>
      <c r="P139" s="120"/>
    </row>
    <row r="140" spans="15:16" x14ac:dyDescent="0.2">
      <c r="O140" s="120"/>
      <c r="P140" s="120"/>
    </row>
    <row r="141" spans="15:16" x14ac:dyDescent="0.2">
      <c r="O141" s="120"/>
      <c r="P141" s="120"/>
    </row>
    <row r="142" spans="15:16" x14ac:dyDescent="0.2">
      <c r="O142" s="120"/>
      <c r="P142" s="120"/>
    </row>
    <row r="143" spans="15:16" x14ac:dyDescent="0.2">
      <c r="O143" s="120"/>
      <c r="P143" s="120"/>
    </row>
    <row r="144" spans="15:16" x14ac:dyDescent="0.2">
      <c r="O144" s="120"/>
      <c r="P144" s="120"/>
    </row>
    <row r="145" spans="15:16" x14ac:dyDescent="0.2">
      <c r="O145" s="120"/>
      <c r="P145" s="120"/>
    </row>
    <row r="146" spans="15:16" x14ac:dyDescent="0.2">
      <c r="O146" s="120"/>
      <c r="P146" s="120"/>
    </row>
    <row r="147" spans="15:16" x14ac:dyDescent="0.2">
      <c r="O147" s="120"/>
      <c r="P147" s="120"/>
    </row>
    <row r="148" spans="15:16" x14ac:dyDescent="0.2">
      <c r="O148" s="120"/>
      <c r="P148" s="120"/>
    </row>
    <row r="149" spans="15:16" x14ac:dyDescent="0.2">
      <c r="O149" s="120"/>
      <c r="P149" s="120"/>
    </row>
    <row r="150" spans="15:16" x14ac:dyDescent="0.2">
      <c r="O150" s="120"/>
      <c r="P150" s="120"/>
    </row>
    <row r="151" spans="15:16" x14ac:dyDescent="0.2">
      <c r="O151" s="120"/>
      <c r="P151" s="120"/>
    </row>
    <row r="152" spans="15:16" x14ac:dyDescent="0.2">
      <c r="O152" s="120"/>
      <c r="P152" s="120"/>
    </row>
    <row r="153" spans="15:16" x14ac:dyDescent="0.2">
      <c r="O153" s="120"/>
      <c r="P153" s="120"/>
    </row>
    <row r="154" spans="15:16" x14ac:dyDescent="0.2">
      <c r="O154" s="120"/>
      <c r="P154" s="120"/>
    </row>
    <row r="155" spans="15:16" x14ac:dyDescent="0.2">
      <c r="O155" s="120"/>
      <c r="P155" s="120"/>
    </row>
    <row r="156" spans="15:16" x14ac:dyDescent="0.2">
      <c r="O156" s="120"/>
      <c r="P156" s="120"/>
    </row>
    <row r="157" spans="15:16" x14ac:dyDescent="0.2">
      <c r="O157" s="120"/>
      <c r="P157" s="120"/>
    </row>
    <row r="158" spans="15:16" x14ac:dyDescent="0.2">
      <c r="O158" s="120"/>
      <c r="P158" s="120"/>
    </row>
    <row r="159" spans="15:16" x14ac:dyDescent="0.2">
      <c r="O159" s="120"/>
      <c r="P159" s="120"/>
    </row>
    <row r="160" spans="15:16" x14ac:dyDescent="0.2">
      <c r="O160" s="120"/>
      <c r="P160" s="120"/>
    </row>
    <row r="161" spans="15:16" x14ac:dyDescent="0.2">
      <c r="O161" s="120"/>
      <c r="P161" s="120"/>
    </row>
  </sheetData>
  <mergeCells count="16">
    <mergeCell ref="A45:A46"/>
    <mergeCell ref="H45:H46"/>
    <mergeCell ref="O45:O46"/>
    <mergeCell ref="V45:V46"/>
    <mergeCell ref="AC45:AC46"/>
    <mergeCell ref="AJ45:AJ46"/>
    <mergeCell ref="AQ45:AQ46"/>
    <mergeCell ref="AX45:AX46"/>
    <mergeCell ref="BE45:BE46"/>
    <mergeCell ref="BL45:BL46"/>
    <mergeCell ref="BS45:BS46"/>
    <mergeCell ref="DB45:DB46"/>
    <mergeCell ref="BZ45:BZ46"/>
    <mergeCell ref="CG45:CG46"/>
    <mergeCell ref="CN45:CN46"/>
    <mergeCell ref="CU45:CU46"/>
  </mergeCells>
  <phoneticPr fontId="23" type="noConversion"/>
  <printOptions gridLines="1" gridLinesSet="0"/>
  <pageMargins left="0.78740157480314965" right="0.59055118110236227" top="0.78740157480314965" bottom="0.78740157480314965" header="0.51181102362204722" footer="0.51181102362204722"/>
  <pageSetup paperSize="9" scale="65" orientation="portrait" r:id="rId1"/>
  <headerFooter alignWithMargins="0">
    <oddFooter>&amp;L&amp;6Arbokost Zwetschgen 2005 - Variante&amp;C&amp;6&amp;A  &amp;D&amp;R&amp;6Matthias Zürcher, Yvonne Leuenberger</oddFooter>
  </headerFooter>
  <colBreaks count="4" manualBreakCount="4">
    <brk id="7" max="1048575" man="1"/>
    <brk id="14" max="1048575" man="1"/>
    <brk id="21" max="1048575" man="1"/>
    <brk id="42" max="1048575" man="1"/>
  </colBreaks>
  <cellWatches>
    <cellWatch r="F72"/>
  </cellWatche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VarErtragsphase">
    <tabColor indexed="17"/>
  </sheetPr>
  <dimension ref="A1:M166"/>
  <sheetViews>
    <sheetView zoomScaleNormal="100" workbookViewId="0">
      <selection activeCell="F19" sqref="F19"/>
    </sheetView>
  </sheetViews>
  <sheetFormatPr baseColWidth="10" defaultRowHeight="12.75" x14ac:dyDescent="0.2"/>
  <cols>
    <col min="1" max="1" width="37.7109375" customWidth="1"/>
    <col min="2" max="2" width="28.42578125" customWidth="1"/>
    <col min="3" max="3" width="19.7109375" customWidth="1"/>
    <col min="4" max="4" width="14.7109375" customWidth="1"/>
    <col min="5" max="5" width="12.7109375" customWidth="1"/>
    <col min="6" max="6" width="19.28515625" customWidth="1"/>
    <col min="7" max="7" width="10.7109375" customWidth="1"/>
    <col min="8" max="8" width="6.5703125" customWidth="1"/>
    <col min="9" max="9" width="15.5703125" customWidth="1"/>
    <col min="10" max="10" width="13.7109375" style="10" customWidth="1"/>
    <col min="11" max="11" width="11.42578125" style="16" customWidth="1"/>
    <col min="13" max="13" width="20" customWidth="1"/>
  </cols>
  <sheetData>
    <row r="1" spans="1:9" ht="32.25" customHeight="1" x14ac:dyDescent="0.4">
      <c r="A1" s="199" t="str">
        <f>'Var Vorgaben'!A1</f>
        <v>Arbokost 2022</v>
      </c>
      <c r="B1" s="614" t="str">
        <f>'Var Erstellung'!B1</f>
        <v>Tafelzwetschge</v>
      </c>
      <c r="C1" s="615"/>
      <c r="D1" s="615"/>
      <c r="E1" s="611"/>
      <c r="F1" s="616"/>
      <c r="G1" s="611"/>
      <c r="H1" s="54"/>
    </row>
    <row r="2" spans="1:9" ht="21.6" customHeight="1" x14ac:dyDescent="0.3">
      <c r="A2" s="466" t="s">
        <v>347</v>
      </c>
      <c r="B2" s="617">
        <f>'Var Erstellung'!B2</f>
        <v>1125</v>
      </c>
      <c r="C2" s="618"/>
      <c r="D2" s="618"/>
      <c r="E2" s="618"/>
      <c r="F2" s="618"/>
      <c r="G2" s="619"/>
      <c r="H2" s="1"/>
      <c r="I2" s="1"/>
    </row>
    <row r="3" spans="1:9" ht="21.6" customHeight="1" x14ac:dyDescent="0.3">
      <c r="A3" s="725">
        <f>'Varianten eingeben'!D1</f>
        <v>0</v>
      </c>
      <c r="B3" s="617"/>
      <c r="C3" s="618"/>
      <c r="D3" s="618"/>
      <c r="E3" s="618"/>
      <c r="F3" s="618"/>
      <c r="G3" s="619"/>
      <c r="H3" s="1"/>
      <c r="I3" s="1"/>
    </row>
    <row r="4" spans="1:9" ht="21.6" customHeight="1" x14ac:dyDescent="0.25">
      <c r="A4" s="642"/>
      <c r="B4" s="617"/>
      <c r="C4" s="618"/>
      <c r="D4" s="618"/>
      <c r="E4" s="618"/>
      <c r="F4" s="618"/>
      <c r="G4" s="371" t="s">
        <v>114</v>
      </c>
      <c r="H4" s="1"/>
      <c r="I4" s="1"/>
    </row>
    <row r="5" spans="1:9" ht="26.25" x14ac:dyDescent="0.4">
      <c r="A5" s="643" t="s">
        <v>87</v>
      </c>
      <c r="B5" s="644" t="s">
        <v>367</v>
      </c>
      <c r="C5" s="645"/>
      <c r="D5" s="646"/>
      <c r="E5" s="647"/>
      <c r="F5" s="647"/>
      <c r="G5" s="645"/>
    </row>
    <row r="6" spans="1:9" ht="18.75" x14ac:dyDescent="0.3">
      <c r="B6" s="188"/>
      <c r="C6" s="26" t="s">
        <v>76</v>
      </c>
      <c r="D6" s="26" t="s">
        <v>57</v>
      </c>
      <c r="E6" s="27" t="s">
        <v>177</v>
      </c>
      <c r="F6" s="28" t="s">
        <v>59</v>
      </c>
      <c r="G6" s="771"/>
      <c r="H6" s="15"/>
      <c r="I6" s="2"/>
    </row>
    <row r="7" spans="1:9" x14ac:dyDescent="0.2">
      <c r="B7" s="98"/>
      <c r="C7" s="88"/>
      <c r="D7" s="47"/>
      <c r="E7" s="45"/>
      <c r="F7" s="46"/>
      <c r="G7" s="781"/>
      <c r="H7" s="15"/>
      <c r="I7" s="1"/>
    </row>
    <row r="8" spans="1:9" x14ac:dyDescent="0.2">
      <c r="B8" s="98" t="str">
        <f>'Var Vorgaben'!B45</f>
        <v>Tafelzwetschgen 33 mm</v>
      </c>
      <c r="C8" s="531">
        <f>D8/$B$2</f>
        <v>20.000000000000007</v>
      </c>
      <c r="D8" s="532">
        <f>D10*G8</f>
        <v>22500.000000000007</v>
      </c>
      <c r="E8" s="1323">
        <f>'Var Vorgaben'!B64</f>
        <v>1.84</v>
      </c>
      <c r="F8" s="43">
        <f>D8*E8</f>
        <v>41400.000000000015</v>
      </c>
      <c r="G8" s="896">
        <f>'Var Vorgaben'!B85</f>
        <v>0.90000000000000024</v>
      </c>
      <c r="H8" s="15"/>
      <c r="I8" s="1"/>
    </row>
    <row r="9" spans="1:9" x14ac:dyDescent="0.2">
      <c r="B9" s="80" t="str">
        <f>'Var Vorgaben'!C45</f>
        <v>Sortierabgang</v>
      </c>
      <c r="C9" s="533">
        <f>D9/$B$2</f>
        <v>2.2222222222222223</v>
      </c>
      <c r="D9" s="534">
        <f>D10*G9</f>
        <v>2500</v>
      </c>
      <c r="E9" s="1195">
        <f>'Var Vorgaben'!C64</f>
        <v>0</v>
      </c>
      <c r="F9" s="161">
        <f>D9*E9</f>
        <v>0</v>
      </c>
      <c r="G9" s="896">
        <f>'Var Vorgaben'!C85</f>
        <v>9.9999999999999992E-2</v>
      </c>
      <c r="H9" s="15"/>
    </row>
    <row r="10" spans="1:9" ht="19.5" customHeight="1" x14ac:dyDescent="0.2">
      <c r="B10" s="98"/>
      <c r="C10" s="66">
        <f>SUM(C7:C9)</f>
        <v>22.222222222222229</v>
      </c>
      <c r="D10" s="66">
        <f>'Var Vorgaben'!D64</f>
        <v>25000</v>
      </c>
      <c r="E10" s="67">
        <f>(E8*G8)+(E9*G9)</f>
        <v>1.6560000000000006</v>
      </c>
      <c r="F10" s="92">
        <f>D10*E10</f>
        <v>41400.000000000015</v>
      </c>
      <c r="G10" s="781">
        <f>SUM(G7:G9)</f>
        <v>1.0000000000000002</v>
      </c>
      <c r="H10" s="15"/>
    </row>
    <row r="11" spans="1:9" ht="15" customHeight="1" x14ac:dyDescent="0.2">
      <c r="A11" s="40"/>
      <c r="B11" s="98" t="str">
        <f>'Var Vorgaben'!A39</f>
        <v>Direktzahlungen ÖLN</v>
      </c>
      <c r="C11" s="65"/>
      <c r="D11" s="66"/>
      <c r="E11" s="67"/>
      <c r="F11" s="92">
        <f>'Var Vorgaben'!C39</f>
        <v>1100</v>
      </c>
      <c r="G11" s="781"/>
      <c r="H11" s="21"/>
    </row>
    <row r="12" spans="1:9" ht="15.75" customHeight="1" x14ac:dyDescent="0.25">
      <c r="A12" s="375" t="s">
        <v>339</v>
      </c>
      <c r="B12" s="376"/>
      <c r="C12" s="376"/>
      <c r="D12" s="376"/>
      <c r="E12" s="376"/>
      <c r="F12" s="377">
        <f>SUM(F10:F11)</f>
        <v>42500.000000000015</v>
      </c>
      <c r="G12" s="376"/>
      <c r="H12" s="15"/>
    </row>
    <row r="13" spans="1:9" x14ac:dyDescent="0.2">
      <c r="A13" s="4"/>
      <c r="B13" s="4"/>
      <c r="C13" s="26" t="s">
        <v>11</v>
      </c>
      <c r="D13" s="26" t="s">
        <v>153</v>
      </c>
      <c r="E13" s="27" t="s">
        <v>58</v>
      </c>
      <c r="F13" s="32" t="s">
        <v>13</v>
      </c>
      <c r="G13" s="771" t="s">
        <v>60</v>
      </c>
      <c r="H13" s="15"/>
    </row>
    <row r="14" spans="1:9" x14ac:dyDescent="0.2">
      <c r="A14" s="3" t="s">
        <v>29</v>
      </c>
      <c r="B14" s="17" t="str">
        <f>'Var Vorgaben'!B99</f>
        <v>Ammonsalpeter</v>
      </c>
      <c r="C14" s="891">
        <f>'Var Vorgaben'!B111</f>
        <v>3</v>
      </c>
      <c r="D14" s="10">
        <f>'Var Vorgaben'!B110</f>
        <v>220</v>
      </c>
      <c r="E14" s="23">
        <f>'Var Vorgaben'!$B$100*(1+'Varianten eingeben'!$C$27)</f>
        <v>0.9</v>
      </c>
      <c r="F14" s="1311">
        <f>D14*E14</f>
        <v>198</v>
      </c>
      <c r="G14" s="783">
        <f>F14/$F$64</f>
        <v>4.1462838186053421E-3</v>
      </c>
      <c r="H14" s="15"/>
    </row>
    <row r="15" spans="1:9" x14ac:dyDescent="0.2">
      <c r="A15" s="3"/>
      <c r="B15" s="17" t="str">
        <f>'Var Vorgaben'!C99</f>
        <v>Grunddünger (Terbona)</v>
      </c>
      <c r="C15" s="891">
        <f>'Var Vorgaben'!C111</f>
        <v>1</v>
      </c>
      <c r="D15" s="10">
        <f>'Var Vorgaben'!C110</f>
        <v>300</v>
      </c>
      <c r="E15" s="23">
        <f>'Var Vorgaben'!$C$100*(1+'Varianten eingeben'!$C$27)</f>
        <v>1.08</v>
      </c>
      <c r="F15" s="1311">
        <f>D15*E15</f>
        <v>324</v>
      </c>
      <c r="G15" s="783">
        <f>F15/$F$64</f>
        <v>6.7848280668087423E-3</v>
      </c>
      <c r="H15" s="15"/>
    </row>
    <row r="16" spans="1:9" x14ac:dyDescent="0.2">
      <c r="A16" s="3"/>
      <c r="B16" s="17" t="str">
        <f>'Var Vorgaben'!D99</f>
        <v xml:space="preserve">Triplesuperphosphat </v>
      </c>
      <c r="C16" s="891">
        <f>'Var Vorgaben'!D111</f>
        <v>0</v>
      </c>
      <c r="D16" s="10">
        <f>'Var Vorgaben'!D110</f>
        <v>35</v>
      </c>
      <c r="E16" s="23">
        <f>'Var Vorgaben'!$D$100*(1+'Varianten eingeben'!$C$27)</f>
        <v>0.79</v>
      </c>
      <c r="F16" s="1311">
        <f>D16*E16</f>
        <v>27.650000000000002</v>
      </c>
      <c r="G16" s="783"/>
      <c r="H16" s="15"/>
    </row>
    <row r="17" spans="1:11" x14ac:dyDescent="0.2">
      <c r="A17" s="3"/>
      <c r="B17" s="17" t="str">
        <f>'Var Vorgaben'!E99</f>
        <v>Patentkali</v>
      </c>
      <c r="C17" s="1312">
        <f>'Var Vorgaben'!E111</f>
        <v>0</v>
      </c>
      <c r="D17" s="10">
        <f>'Var Vorgaben'!E110</f>
        <v>180</v>
      </c>
      <c r="E17" s="23">
        <f>'Var Vorgaben'!$E$100*(1+'Varianten eingeben'!$C$27)</f>
        <v>0.67</v>
      </c>
      <c r="F17" s="30">
        <f>D17*E17</f>
        <v>120.60000000000001</v>
      </c>
      <c r="G17" s="783"/>
      <c r="H17" s="15"/>
    </row>
    <row r="18" spans="1:11" ht="15" customHeight="1" x14ac:dyDescent="0.25">
      <c r="A18" s="357"/>
      <c r="B18" s="17"/>
      <c r="C18" s="10">
        <f>SUM(C14:C17)</f>
        <v>4</v>
      </c>
      <c r="D18" s="10"/>
      <c r="E18" s="23"/>
      <c r="F18" s="817">
        <f>SUM(F14:F17)</f>
        <v>670.25</v>
      </c>
      <c r="G18" s="820">
        <f>F18/$F$64</f>
        <v>1.4035589542526417E-2</v>
      </c>
      <c r="H18" s="15"/>
    </row>
    <row r="19" spans="1:11" ht="18.75" customHeight="1" x14ac:dyDescent="0.2">
      <c r="A19" s="64" t="str">
        <f>'Var Vorgaben'!$A$115</f>
        <v>Fungiziden</v>
      </c>
      <c r="B19" s="64"/>
      <c r="C19" s="323"/>
      <c r="D19" s="529"/>
      <c r="E19" s="482"/>
      <c r="F19" s="483">
        <f>'Var Vorgaben'!$E$115*(1+'Varianten eingeben'!$C$26)</f>
        <v>1200</v>
      </c>
      <c r="G19" s="783">
        <f>F19/$F$64</f>
        <v>2.5128992840032376E-2</v>
      </c>
      <c r="H19" s="15"/>
    </row>
    <row r="20" spans="1:11" x14ac:dyDescent="0.2">
      <c r="A20" s="64" t="str">
        <f>'Var Vorgaben'!$A$116</f>
        <v>Insektiziden</v>
      </c>
      <c r="B20" s="64"/>
      <c r="C20" s="323"/>
      <c r="D20" s="888"/>
      <c r="E20" s="482"/>
      <c r="F20" s="483">
        <f>'Var Vorgaben'!$E$116*(1+'Varianten eingeben'!$C$26)</f>
        <v>1200</v>
      </c>
      <c r="G20" s="783">
        <f>F20/$F$64</f>
        <v>2.5128992840032376E-2</v>
      </c>
      <c r="H20" s="15"/>
    </row>
    <row r="21" spans="1:11" ht="13.5" thickBot="1" x14ac:dyDescent="0.25">
      <c r="A21" s="64" t="str">
        <f>'Var Vorgaben'!$A$117</f>
        <v>Herbiziden</v>
      </c>
      <c r="B21" s="64"/>
      <c r="C21" s="323"/>
      <c r="D21" s="529"/>
      <c r="E21" s="482"/>
      <c r="F21" s="656">
        <f>'Var Vorgaben'!$E$117*(1+'Varianten eingeben'!$C$26)</f>
        <v>160</v>
      </c>
      <c r="G21" s="783"/>
      <c r="H21" s="15"/>
    </row>
    <row r="22" spans="1:11" x14ac:dyDescent="0.2">
      <c r="A22" s="124"/>
      <c r="B22" s="378"/>
      <c r="C22" s="323"/>
      <c r="D22" s="888"/>
      <c r="E22" s="482"/>
      <c r="F22" s="182">
        <f>SUM(F19:F21)</f>
        <v>2560</v>
      </c>
      <c r="G22" s="783">
        <f>F22/$F$64</f>
        <v>5.3608518058735739E-2</v>
      </c>
      <c r="H22" s="76"/>
    </row>
    <row r="23" spans="1:11" ht="13.5" customHeight="1" x14ac:dyDescent="0.2">
      <c r="A23" s="357"/>
      <c r="B23" s="151"/>
      <c r="C23" s="121"/>
      <c r="D23" s="35"/>
      <c r="E23" s="23"/>
      <c r="F23" s="178"/>
      <c r="G23" s="783">
        <f>F23/$F$64</f>
        <v>0</v>
      </c>
      <c r="H23" s="15"/>
    </row>
    <row r="24" spans="1:11" ht="15" x14ac:dyDescent="0.25">
      <c r="A24" s="73" t="str">
        <f>'Var Hagel'!A76</f>
        <v>Hagelversicherung</v>
      </c>
      <c r="B24" s="326">
        <f>'Varianten eingeben'!D32</f>
        <v>0</v>
      </c>
      <c r="C24" s="170">
        <f>'Var Hagel'!D79</f>
        <v>0.112</v>
      </c>
      <c r="D24" s="1186">
        <f>'Var Hagel'!C95*(1+'Varianten eingeben'!C32)</f>
        <v>41400</v>
      </c>
      <c r="E24" s="169">
        <f>'Var Hagel'!E79</f>
        <v>0.8</v>
      </c>
      <c r="F24" s="818">
        <f>B24*C24*D24*E24</f>
        <v>0</v>
      </c>
      <c r="G24" s="820">
        <f>F24/$F$66</f>
        <v>0</v>
      </c>
    </row>
    <row r="25" spans="1:11" ht="15" x14ac:dyDescent="0.25">
      <c r="A25" s="171" t="s">
        <v>450</v>
      </c>
      <c r="B25" s="326"/>
      <c r="C25" s="170"/>
      <c r="D25" s="323"/>
      <c r="E25" s="169"/>
      <c r="F25" s="818">
        <f>'Var Vorgaben'!C188</f>
        <v>2107.5169002666662</v>
      </c>
      <c r="G25" s="820"/>
    </row>
    <row r="26" spans="1:11" x14ac:dyDescent="0.2">
      <c r="A26" s="80" t="s">
        <v>657</v>
      </c>
      <c r="B26" s="73" t="str">
        <f>'Var Vorgaben'!F38</f>
        <v>Zwetschgen</v>
      </c>
      <c r="C26" s="4" t="s">
        <v>670</v>
      </c>
      <c r="D26" s="323"/>
      <c r="E26" s="169">
        <f>'Var Vorgaben'!G38</f>
        <v>470</v>
      </c>
      <c r="F26" s="93">
        <f>E26</f>
        <v>470</v>
      </c>
      <c r="G26" s="783">
        <f t="shared" ref="G26:G33" si="0">F26/$F$64</f>
        <v>9.842188862346014E-3</v>
      </c>
      <c r="H26" s="15"/>
    </row>
    <row r="27" spans="1:11" x14ac:dyDescent="0.2">
      <c r="A27" s="80"/>
      <c r="B27" s="73"/>
      <c r="C27" s="73"/>
      <c r="D27" s="323"/>
      <c r="E27" s="169"/>
      <c r="F27" s="93">
        <f>E27*D9/100</f>
        <v>0</v>
      </c>
      <c r="G27" s="783">
        <f t="shared" si="0"/>
        <v>0</v>
      </c>
      <c r="H27" s="15"/>
    </row>
    <row r="28" spans="1:11" ht="13.5" thickBot="1" x14ac:dyDescent="0.25">
      <c r="A28" s="124" t="str">
        <f>'Var Vorgaben'!E40</f>
        <v>Gebindekosten und Aktionsbeiträge</v>
      </c>
      <c r="B28" s="124"/>
      <c r="C28" s="379" t="str">
        <f>'Var Vorgaben'!F40</f>
        <v>Tafelzwetschgen 33 mm</v>
      </c>
      <c r="D28" s="73"/>
      <c r="E28" s="380">
        <f>'Var Vorgaben'!G40</f>
        <v>0.15</v>
      </c>
      <c r="F28" s="658">
        <f>D8*E28</f>
        <v>3375.0000000000009</v>
      </c>
      <c r="G28" s="783">
        <f t="shared" si="0"/>
        <v>7.0675292362591083E-2</v>
      </c>
      <c r="H28" s="15"/>
    </row>
    <row r="29" spans="1:11" ht="15" x14ac:dyDescent="0.25">
      <c r="A29" s="370"/>
      <c r="B29" s="73"/>
      <c r="C29" s="73"/>
      <c r="D29" s="73"/>
      <c r="E29" s="169"/>
      <c r="F29" s="818">
        <f>SUM(F26:F28)</f>
        <v>3845.0000000000009</v>
      </c>
      <c r="G29" s="820">
        <f t="shared" si="0"/>
        <v>8.0517481224937099E-2</v>
      </c>
      <c r="H29" s="15"/>
      <c r="J29" s="24">
        <f>F18+F23</f>
        <v>670.25</v>
      </c>
    </row>
    <row r="30" spans="1:11" ht="36" customHeight="1" x14ac:dyDescent="0.2">
      <c r="A30" s="381" t="s">
        <v>231</v>
      </c>
      <c r="B30" s="382" t="s">
        <v>330</v>
      </c>
      <c r="C30" s="218">
        <f>'Var 1.-16. Standjahr'!AA73</f>
        <v>93729.108058169775</v>
      </c>
      <c r="D30" s="383">
        <f>'Var Vorgaben'!B29</f>
        <v>14</v>
      </c>
      <c r="E30" s="209"/>
      <c r="F30" s="1299">
        <f>C30/D30</f>
        <v>6694.9362898692698</v>
      </c>
      <c r="G30" s="821">
        <f t="shared" si="0"/>
        <v>0.14019750507716486</v>
      </c>
      <c r="H30" s="15"/>
    </row>
    <row r="31" spans="1:11" s="60" customFormat="1" ht="15" x14ac:dyDescent="0.25">
      <c r="A31" s="80" t="s">
        <v>202</v>
      </c>
      <c r="B31" s="384">
        <f>'Var Vorgaben'!E159+'Var Vorgaben'!E160</f>
        <v>250</v>
      </c>
      <c r="C31" s="385" t="s">
        <v>146</v>
      </c>
      <c r="D31" s="124"/>
      <c r="E31" s="386">
        <f>(PMT('Var Vorgaben'!C40,'Var Vorgaben'!B29,,'Var Vorgaben'!C38))*(-1)</f>
        <v>388.33991172735006</v>
      </c>
      <c r="F31" s="818">
        <f>B31+E31</f>
        <v>638.33991172735</v>
      </c>
      <c r="G31" s="820">
        <f t="shared" si="0"/>
        <v>1.3367365892752898E-2</v>
      </c>
      <c r="H31" s="775"/>
      <c r="J31" s="137"/>
      <c r="K31" s="142"/>
    </row>
    <row r="32" spans="1:11" x14ac:dyDescent="0.2">
      <c r="A32" s="353" t="s">
        <v>263</v>
      </c>
      <c r="B32" s="354"/>
      <c r="C32" s="355"/>
      <c r="D32" s="355"/>
      <c r="E32" s="356"/>
      <c r="F32" s="784">
        <f>F31+F30+F22+F29+F18+F25+F24</f>
        <v>16516.043101863288</v>
      </c>
      <c r="G32" s="809">
        <f t="shared" si="0"/>
        <v>0.34585960737699062</v>
      </c>
      <c r="H32" s="15"/>
    </row>
    <row r="33" spans="1:11" ht="24" customHeight="1" x14ac:dyDescent="0.2">
      <c r="A33" s="14" t="s">
        <v>219</v>
      </c>
      <c r="C33" s="151" t="s">
        <v>65</v>
      </c>
      <c r="D33" s="358">
        <f>'Var Vorgaben'!C157</f>
        <v>25</v>
      </c>
      <c r="E33" s="48">
        <f>'Var Vorgaben'!D157</f>
        <v>17.82</v>
      </c>
      <c r="F33" s="61">
        <f>D33*E33</f>
        <v>445.5</v>
      </c>
      <c r="G33" s="783">
        <f t="shared" si="0"/>
        <v>9.3291385918620202E-3</v>
      </c>
      <c r="H33" s="15"/>
      <c r="J33" s="147" t="s">
        <v>127</v>
      </c>
    </row>
    <row r="34" spans="1:11" ht="18" customHeight="1" x14ac:dyDescent="0.2">
      <c r="C34" s="37" t="s">
        <v>11</v>
      </c>
      <c r="D34" s="96" t="s">
        <v>115</v>
      </c>
      <c r="E34" s="9" t="s">
        <v>116</v>
      </c>
      <c r="F34" s="97" t="s">
        <v>22</v>
      </c>
      <c r="G34" s="783"/>
      <c r="H34" s="15"/>
      <c r="J34" s="37" t="s">
        <v>116</v>
      </c>
      <c r="K34" s="143" t="s">
        <v>22</v>
      </c>
    </row>
    <row r="35" spans="1:11" x14ac:dyDescent="0.2">
      <c r="A35" s="14" t="s">
        <v>108</v>
      </c>
      <c r="B35" s="17" t="str">
        <f>'Var Vorgaben'!B131</f>
        <v>Anbaugebläsespritze 500 l</v>
      </c>
      <c r="C35" s="326">
        <f>'Var Vorgaben'!$E$119</f>
        <v>13</v>
      </c>
      <c r="D35" s="35">
        <f>'Var Vorgaben'!C131</f>
        <v>1</v>
      </c>
      <c r="E35" s="45">
        <f>'Var Vorgaben'!$D$131*(1+'Varianten eingeben'!$C$25)</f>
        <v>37</v>
      </c>
      <c r="F35" s="33">
        <f>C35*D35*E35</f>
        <v>481</v>
      </c>
      <c r="G35" s="783">
        <f t="shared" ref="G35:G45" si="1">F35/$F$64</f>
        <v>1.0072537963379645E-2</v>
      </c>
      <c r="H35" s="15"/>
      <c r="J35" s="135">
        <f>'Var Vorgaben'!G131</f>
        <v>11.67</v>
      </c>
      <c r="K35" s="16">
        <f>C35*D35*J35</f>
        <v>151.71</v>
      </c>
    </row>
    <row r="36" spans="1:11" x14ac:dyDescent="0.2">
      <c r="A36" s="14"/>
      <c r="B36" s="17" t="str">
        <f>'Var Vorgaben'!B132</f>
        <v>Anbaufeldspritze, Fass</v>
      </c>
      <c r="C36" s="323">
        <f>'Var Vorgaben'!$E$120</f>
        <v>4</v>
      </c>
      <c r="D36" s="35">
        <f>'Var Vorgaben'!C132</f>
        <v>1</v>
      </c>
      <c r="E36" s="45">
        <f>'Var Vorgaben'!$D$132*(1+'Varianten eingeben'!$C$25)</f>
        <v>69</v>
      </c>
      <c r="F36" s="33">
        <f>C36*D36*E36</f>
        <v>276</v>
      </c>
      <c r="G36" s="783">
        <f t="shared" si="1"/>
        <v>5.7796683532074468E-3</v>
      </c>
      <c r="H36" s="15"/>
      <c r="J36" s="135">
        <f>'Var Vorgaben'!G132</f>
        <v>13.22</v>
      </c>
      <c r="K36" s="16">
        <f>C36*D36*J36</f>
        <v>52.88</v>
      </c>
    </row>
    <row r="37" spans="1:11" x14ac:dyDescent="0.2">
      <c r="A37" s="14"/>
      <c r="B37" s="17" t="str">
        <f>'Var Vorgaben'!B133</f>
        <v>Düngerstreuer Einkasten 2.5 m</v>
      </c>
      <c r="C37" s="323">
        <f>C18</f>
        <v>4</v>
      </c>
      <c r="D37" s="35">
        <f>'Var Vorgaben'!C133</f>
        <v>1</v>
      </c>
      <c r="E37" s="45">
        <f>'Var Vorgaben'!$D$133*(1+'Varianten eingeben'!$C$25)</f>
        <v>18</v>
      </c>
      <c r="F37" s="33">
        <f>C37*D37*E37</f>
        <v>72</v>
      </c>
      <c r="G37" s="783">
        <f t="shared" si="1"/>
        <v>1.5077395704019426E-3</v>
      </c>
      <c r="H37" s="15"/>
      <c r="J37" s="135">
        <f>'Var Vorgaben'!G133</f>
        <v>7.03</v>
      </c>
      <c r="K37" s="16">
        <f>C37*D37*J37</f>
        <v>28.12</v>
      </c>
    </row>
    <row r="38" spans="1:11" x14ac:dyDescent="0.2">
      <c r="A38" s="14"/>
      <c r="B38" s="17" t="str">
        <f>'Var Vorgaben'!B134</f>
        <v>Pneuwagen 2achsig (Ernte)</v>
      </c>
      <c r="C38" s="359">
        <f>'Var Vorgaben'!C134</f>
        <v>0.1</v>
      </c>
      <c r="D38" s="35">
        <f>C38*C39</f>
        <v>62.5</v>
      </c>
      <c r="E38" s="45">
        <f>'Var Vorgaben'!$D$134*(1+'Varianten eingeben'!$C$25)</f>
        <v>25</v>
      </c>
      <c r="F38" s="33">
        <f>D38*E38</f>
        <v>1562.5</v>
      </c>
      <c r="G38" s="783">
        <f t="shared" si="1"/>
        <v>3.2720042760458826E-2</v>
      </c>
      <c r="H38" s="15"/>
      <c r="J38" s="135">
        <f>'Var Vorgaben'!G134</f>
        <v>5</v>
      </c>
      <c r="K38" s="16">
        <f>D38*J38</f>
        <v>312.5</v>
      </c>
    </row>
    <row r="39" spans="1:11" x14ac:dyDescent="0.2">
      <c r="A39" s="14"/>
      <c r="B39" s="173" t="s">
        <v>421</v>
      </c>
      <c r="C39" s="360">
        <f>D57</f>
        <v>625</v>
      </c>
      <c r="D39" s="1"/>
      <c r="E39" s="45"/>
      <c r="F39" s="33"/>
      <c r="G39" s="783">
        <f t="shared" si="1"/>
        <v>0</v>
      </c>
      <c r="H39" s="15"/>
    </row>
    <row r="40" spans="1:11" x14ac:dyDescent="0.2">
      <c r="A40" s="14"/>
      <c r="B40" s="17" t="str">
        <f>'Var Vorgaben'!B135</f>
        <v>Sichelmulchgerät  ohne Schwenkarm, 2-3 m</v>
      </c>
      <c r="C40" s="34">
        <f>'Var Vorgaben'!E135</f>
        <v>0</v>
      </c>
      <c r="D40" s="39">
        <f>'Var Vorgaben'!C135</f>
        <v>1</v>
      </c>
      <c r="E40" s="45">
        <f>'Var Vorgaben'!$D$135*(1+'Varianten eingeben'!$C$25)</f>
        <v>42</v>
      </c>
      <c r="F40" s="33">
        <f>C40*D40*E40</f>
        <v>0</v>
      </c>
      <c r="G40" s="783">
        <f t="shared" si="1"/>
        <v>0</v>
      </c>
      <c r="H40" s="15"/>
      <c r="J40" s="135">
        <f>'Var Vorgaben'!G135</f>
        <v>14.5</v>
      </c>
      <c r="K40" s="16">
        <f>C40*D40*J40</f>
        <v>0</v>
      </c>
    </row>
    <row r="41" spans="1:11" ht="13.5" thickBot="1" x14ac:dyDescent="0.25">
      <c r="A41" s="14"/>
      <c r="B41" s="17" t="str">
        <f>'Var Vorgaben'!B136</f>
        <v>Schnittholzhacker</v>
      </c>
      <c r="C41" s="44">
        <f>'Var Vorgaben'!E136</f>
        <v>0</v>
      </c>
      <c r="D41" s="338">
        <f>'Var Vorgaben'!C136</f>
        <v>2</v>
      </c>
      <c r="E41" s="45">
        <f>IF('Varianten eingeben'!$C$25&gt;0,'Var Vorgaben'!$D$136,'Var Vorgaben'!$D$136*(1+'Varianten eingeben'!$C$25))</f>
        <v>68.3</v>
      </c>
      <c r="F41" s="160">
        <f>E41*D41*C41</f>
        <v>0</v>
      </c>
      <c r="G41" s="783">
        <f t="shared" si="1"/>
        <v>0</v>
      </c>
      <c r="H41" s="15"/>
      <c r="J41" s="135">
        <f>'Var Vorgaben'!G136</f>
        <v>29.05</v>
      </c>
      <c r="K41" s="16">
        <f>C41*D41*J41</f>
        <v>0</v>
      </c>
    </row>
    <row r="42" spans="1:11" x14ac:dyDescent="0.2">
      <c r="A42" s="14"/>
      <c r="B42" s="17" t="s">
        <v>117</v>
      </c>
      <c r="C42" s="34"/>
      <c r="D42" s="361">
        <f>(C35*D35)+(C36*D36)+(C37*D37)+(D38)+(C40*D40)+(C41*D41)</f>
        <v>83.5</v>
      </c>
      <c r="E42" s="45"/>
      <c r="F42" s="93">
        <f>SUM(F35:F41)</f>
        <v>2391.5</v>
      </c>
      <c r="G42" s="783">
        <f t="shared" si="1"/>
        <v>5.0079988647447858E-2</v>
      </c>
      <c r="H42" s="15"/>
      <c r="J42" s="135"/>
    </row>
    <row r="43" spans="1:11" x14ac:dyDescent="0.2">
      <c r="A43" s="123"/>
      <c r="B43" s="49" t="str">
        <f>'Var Vorgaben'!B129</f>
        <v>Obstbautraktor 4-Rad</v>
      </c>
      <c r="C43" s="34"/>
      <c r="D43" s="362">
        <f>D42</f>
        <v>83.5</v>
      </c>
      <c r="E43" s="45">
        <f>'Var Vorgaben'!$D$129*(1+'Varianten eingeben'!$C$25)</f>
        <v>41</v>
      </c>
      <c r="F43" s="93">
        <f>D43*E43</f>
        <v>3423.5</v>
      </c>
      <c r="G43" s="783">
        <f t="shared" si="1"/>
        <v>7.16909224898757E-2</v>
      </c>
      <c r="H43" s="810">
        <f>D38</f>
        <v>62.5</v>
      </c>
      <c r="I43" t="s">
        <v>118</v>
      </c>
      <c r="J43" s="149">
        <f>'Var Vorgaben'!G141</f>
        <v>0</v>
      </c>
      <c r="K43" s="148">
        <f>D43*J43</f>
        <v>0</v>
      </c>
    </row>
    <row r="44" spans="1:11" ht="13.5" thickBot="1" x14ac:dyDescent="0.25">
      <c r="A44" s="117"/>
      <c r="B44" s="17" t="str">
        <f>'Var Vorgaben'!B137</f>
        <v>Diverse Kleingeräte</v>
      </c>
      <c r="C44" s="34"/>
      <c r="D44" s="34"/>
      <c r="E44" s="45">
        <f>'Var Vorgaben'!$D$129*(1+'Varianten eingeben'!$C$25)</f>
        <v>41</v>
      </c>
      <c r="F44" s="658">
        <f>'Var Vorgaben'!D137</f>
        <v>500</v>
      </c>
      <c r="G44" s="783">
        <f t="shared" si="1"/>
        <v>1.0470413683346825E-2</v>
      </c>
      <c r="H44" s="15"/>
      <c r="K44" s="150">
        <f>SUM(K35:K43)</f>
        <v>545.21</v>
      </c>
    </row>
    <row r="45" spans="1:11" x14ac:dyDescent="0.2">
      <c r="A45" s="82"/>
      <c r="B45" s="17"/>
      <c r="C45" s="34"/>
      <c r="D45" s="34"/>
      <c r="E45" s="45"/>
      <c r="F45" s="61">
        <f>F44+F43+F42</f>
        <v>6315</v>
      </c>
      <c r="G45" s="783">
        <f t="shared" si="1"/>
        <v>0.13224132482067039</v>
      </c>
      <c r="H45" s="15"/>
    </row>
    <row r="46" spans="1:11" x14ac:dyDescent="0.2">
      <c r="B46" s="17"/>
      <c r="C46" s="44"/>
      <c r="D46" s="96" t="s">
        <v>27</v>
      </c>
      <c r="E46" s="100" t="s">
        <v>21</v>
      </c>
      <c r="F46" s="97" t="s">
        <v>22</v>
      </c>
      <c r="G46" s="783"/>
      <c r="H46" s="15"/>
    </row>
    <row r="47" spans="1:11" x14ac:dyDescent="0.2">
      <c r="A47" s="14" t="s">
        <v>68</v>
      </c>
      <c r="B47" s="4" t="s">
        <v>29</v>
      </c>
      <c r="C47" s="44"/>
      <c r="D47" s="363">
        <f>C37*D37</f>
        <v>4</v>
      </c>
      <c r="E47" s="169">
        <f>'Var Vorgaben'!$C$36</f>
        <v>32.700000000000003</v>
      </c>
      <c r="F47" s="33">
        <f t="shared" ref="F47:F58" si="2">D47*E47</f>
        <v>130.80000000000001</v>
      </c>
      <c r="G47" s="783">
        <f t="shared" ref="G47:G64" si="3">F47/$F$64</f>
        <v>2.7390602195635294E-3</v>
      </c>
      <c r="H47" s="15"/>
    </row>
    <row r="48" spans="1:11" x14ac:dyDescent="0.2">
      <c r="A48" s="14"/>
      <c r="B48" s="4" t="s">
        <v>167</v>
      </c>
      <c r="C48" s="1"/>
      <c r="D48" s="112">
        <f>((C35*D35)+(C36*D36))+'Var Vorgaben'!B91+'Var Vorgaben'!C91</f>
        <v>32</v>
      </c>
      <c r="E48" s="169">
        <f>'Var Vorgaben'!$C$36</f>
        <v>32.700000000000003</v>
      </c>
      <c r="F48" s="33">
        <f t="shared" si="2"/>
        <v>1046.4000000000001</v>
      </c>
      <c r="G48" s="783">
        <f t="shared" si="3"/>
        <v>2.1912481756508236E-2</v>
      </c>
      <c r="H48" s="15"/>
    </row>
    <row r="49" spans="1:13" x14ac:dyDescent="0.2">
      <c r="A49" s="14"/>
      <c r="B49" s="4" t="str">
        <f>'Var Vorgaben'!D89</f>
        <v>Baumerziehung (Sommer+Winter)</v>
      </c>
      <c r="C49" s="34"/>
      <c r="D49" s="141">
        <f>'Var Vorgaben'!D91</f>
        <v>100</v>
      </c>
      <c r="E49" s="169">
        <f>'Var Vorgaben'!$C$36</f>
        <v>32.700000000000003</v>
      </c>
      <c r="F49" s="33">
        <f t="shared" si="2"/>
        <v>3270.0000000000005</v>
      </c>
      <c r="G49" s="783">
        <f t="shared" si="3"/>
        <v>6.8476505489088235E-2</v>
      </c>
      <c r="H49" s="15"/>
    </row>
    <row r="50" spans="1:13" x14ac:dyDescent="0.2">
      <c r="A50" s="14"/>
      <c r="B50" s="4" t="s">
        <v>105</v>
      </c>
      <c r="C50" s="34"/>
      <c r="D50" s="323">
        <f>(C40*D40)+(C41*D41)</f>
        <v>0</v>
      </c>
      <c r="E50" s="169">
        <f>'Var Vorgaben'!$C$36</f>
        <v>32.700000000000003</v>
      </c>
      <c r="F50" s="33">
        <f t="shared" si="2"/>
        <v>0</v>
      </c>
      <c r="G50" s="783">
        <f t="shared" si="3"/>
        <v>0</v>
      </c>
      <c r="H50" s="15"/>
    </row>
    <row r="51" spans="1:13" x14ac:dyDescent="0.2">
      <c r="A51" s="14"/>
      <c r="B51" s="364" t="str">
        <f>'Var Vorgaben'!E89</f>
        <v>Behangsregulierung (von Hand)</v>
      </c>
      <c r="C51" s="1"/>
      <c r="D51" s="112">
        <f>'Var Vorgaben'!E91</f>
        <v>100</v>
      </c>
      <c r="E51" s="169">
        <f>'Var Vorgaben'!$C$37</f>
        <v>22.75</v>
      </c>
      <c r="F51" s="33">
        <f t="shared" si="2"/>
        <v>2275</v>
      </c>
      <c r="G51" s="783">
        <f t="shared" si="3"/>
        <v>4.7640382259228051E-2</v>
      </c>
      <c r="H51" s="15"/>
    </row>
    <row r="52" spans="1:13" x14ac:dyDescent="0.2">
      <c r="A52" s="14"/>
      <c r="B52" s="670" t="s">
        <v>399</v>
      </c>
      <c r="C52" s="5">
        <f>'Var Vorgaben'!C177</f>
        <v>0</v>
      </c>
      <c r="D52" s="363">
        <v>15</v>
      </c>
      <c r="E52" s="169">
        <f>'Var Vorgaben'!$C$37</f>
        <v>22.75</v>
      </c>
      <c r="F52" s="33">
        <f>D52*E52*C52</f>
        <v>0</v>
      </c>
      <c r="G52" s="783">
        <f t="shared" si="3"/>
        <v>0</v>
      </c>
      <c r="H52" s="15"/>
    </row>
    <row r="53" spans="1:13" x14ac:dyDescent="0.2">
      <c r="A53" s="14"/>
      <c r="B53" s="670" t="s">
        <v>400</v>
      </c>
      <c r="C53" s="5">
        <f>'Var Vorgaben'!C177</f>
        <v>0</v>
      </c>
      <c r="D53" s="363">
        <v>10</v>
      </c>
      <c r="E53" s="169">
        <f>'Var Vorgaben'!$C$37</f>
        <v>22.75</v>
      </c>
      <c r="F53" s="33">
        <f>D53*E53*C53</f>
        <v>0</v>
      </c>
      <c r="G53" s="783">
        <f t="shared" si="3"/>
        <v>0</v>
      </c>
      <c r="H53" s="15"/>
    </row>
    <row r="54" spans="1:13" x14ac:dyDescent="0.2">
      <c r="A54" s="14"/>
      <c r="B54" s="670" t="s">
        <v>631</v>
      </c>
      <c r="C54" s="5">
        <f>'Var Vorgaben'!C181</f>
        <v>0</v>
      </c>
      <c r="D54" s="672">
        <v>60</v>
      </c>
      <c r="E54" s="169">
        <f>'Var Vorgaben'!$C$37</f>
        <v>22.75</v>
      </c>
      <c r="F54" s="33">
        <f>D54*E54*C54</f>
        <v>0</v>
      </c>
      <c r="G54" s="783"/>
      <c r="H54" s="15"/>
    </row>
    <row r="55" spans="1:13" x14ac:dyDescent="0.2">
      <c r="A55" s="14"/>
      <c r="B55" t="s">
        <v>457</v>
      </c>
      <c r="C55" s="5">
        <f>'Var Vorgaben'!C187</f>
        <v>1</v>
      </c>
      <c r="D55" s="672">
        <f>'Var Bewässerung'!E110</f>
        <v>10</v>
      </c>
      <c r="E55" s="169">
        <f>'Var Vorgaben'!C36</f>
        <v>32.700000000000003</v>
      </c>
      <c r="F55" s="33">
        <f>D55*E55*C55</f>
        <v>327</v>
      </c>
      <c r="G55" s="783">
        <f t="shared" si="3"/>
        <v>6.8476505489088232E-3</v>
      </c>
    </row>
    <row r="56" spans="1:13" x14ac:dyDescent="0.2">
      <c r="A56" s="14"/>
      <c r="B56" t="s">
        <v>458</v>
      </c>
      <c r="C56" s="5">
        <f>'Var Vorgaben'!C187</f>
        <v>1</v>
      </c>
      <c r="D56" s="672">
        <f>'Var Bewässerung'!E109</f>
        <v>4</v>
      </c>
      <c r="E56" s="169">
        <f>'Var Vorgaben'!C36</f>
        <v>32.700000000000003</v>
      </c>
      <c r="F56" s="33">
        <f>D56*E56*C56</f>
        <v>130.80000000000001</v>
      </c>
      <c r="G56" s="783">
        <f t="shared" si="3"/>
        <v>2.7390602195635294E-3</v>
      </c>
      <c r="M56" s="1212">
        <f>D59-D52-D53-D55-D56</f>
        <v>876</v>
      </c>
    </row>
    <row r="57" spans="1:13" x14ac:dyDescent="0.2">
      <c r="A57" s="14"/>
      <c r="B57" s="3" t="str">
        <f>'Var Vorgaben'!D68</f>
        <v>Ernte inkl. Sortieren</v>
      </c>
      <c r="C57" s="387">
        <f>'Var Vorgaben'!D85</f>
        <v>40</v>
      </c>
      <c r="D57" s="112">
        <f>D10/C57</f>
        <v>625</v>
      </c>
      <c r="E57" s="169">
        <f>'Var Vorgaben'!$C$35</f>
        <v>22.62</v>
      </c>
      <c r="F57" s="33">
        <f t="shared" si="2"/>
        <v>14137.5</v>
      </c>
      <c r="G57" s="783">
        <f t="shared" si="3"/>
        <v>0.29605094689663147</v>
      </c>
      <c r="H57" s="15"/>
    </row>
    <row r="58" spans="1:13" ht="13.5" thickBot="1" x14ac:dyDescent="0.25">
      <c r="A58" s="14"/>
      <c r="B58" s="4" t="s">
        <v>104</v>
      </c>
      <c r="C58" s="34"/>
      <c r="D58" s="90">
        <f>'Var Vorgaben'!F91+'Var Vorgaben'!G91</f>
        <v>40</v>
      </c>
      <c r="E58" s="48">
        <f>'Var Vorgaben'!$C$32</f>
        <v>41.4</v>
      </c>
      <c r="F58" s="160">
        <f t="shared" si="2"/>
        <v>1656</v>
      </c>
      <c r="G58" s="783">
        <f t="shared" si="3"/>
        <v>3.4678010119244679E-2</v>
      </c>
      <c r="H58" s="15"/>
    </row>
    <row r="59" spans="1:13" x14ac:dyDescent="0.2">
      <c r="A59" s="106" t="s">
        <v>95</v>
      </c>
      <c r="B59" s="365">
        <f>('Var Vorgaben'!F34*D51)+('Var Vorgaben'!F34*D57)</f>
        <v>652.5</v>
      </c>
      <c r="C59" s="124" t="s">
        <v>93</v>
      </c>
      <c r="D59" s="388">
        <f>SUM(D47:D51)+C52*D52+C53*D53+C54*D54+C55*D55+C56*D56+D57+D58</f>
        <v>915</v>
      </c>
      <c r="E59" s="48"/>
      <c r="F59" s="61">
        <f>SUM(F47:F58)</f>
        <v>22973.5</v>
      </c>
      <c r="G59" s="783">
        <f t="shared" si="3"/>
        <v>0.48108409750873654</v>
      </c>
      <c r="H59" s="15"/>
    </row>
    <row r="60" spans="1:13" x14ac:dyDescent="0.2">
      <c r="A60" s="14" t="s">
        <v>72</v>
      </c>
      <c r="B60" s="4" t="s">
        <v>69</v>
      </c>
      <c r="C60" s="34"/>
      <c r="E60" s="48"/>
      <c r="F60" s="33">
        <f>'Var Vorgaben'!C42</f>
        <v>660</v>
      </c>
      <c r="G60" s="783">
        <f t="shared" si="3"/>
        <v>1.3820946062017808E-2</v>
      </c>
      <c r="H60" s="15"/>
    </row>
    <row r="61" spans="1:13" ht="13.5" thickBot="1" x14ac:dyDescent="0.25">
      <c r="B61" s="1" t="s">
        <v>230</v>
      </c>
      <c r="C61" s="174">
        <f>'Var Vorgaben'!C41</f>
        <v>0.6</v>
      </c>
      <c r="D61" s="197">
        <f>'Var Vorgaben'!C40</f>
        <v>1.4999999999999999E-2</v>
      </c>
      <c r="E61" s="93">
        <f>C30</f>
        <v>93729.108058169775</v>
      </c>
      <c r="F61" s="160">
        <f>$D$61*E61*$C$61</f>
        <v>843.56197252352797</v>
      </c>
      <c r="G61" s="783">
        <f t="shared" si="3"/>
        <v>1.766488563972277E-2</v>
      </c>
      <c r="H61" s="15"/>
    </row>
    <row r="62" spans="1:13" x14ac:dyDescent="0.2">
      <c r="B62" s="1"/>
      <c r="C62" s="1"/>
      <c r="D62" s="1"/>
      <c r="E62" s="1"/>
      <c r="F62" s="162">
        <f>SUM(F60:F61)</f>
        <v>1503.5619725235279</v>
      </c>
      <c r="G62" s="783">
        <f t="shared" si="3"/>
        <v>3.1485831701740574E-2</v>
      </c>
      <c r="H62" s="15"/>
    </row>
    <row r="63" spans="1:13" ht="13.5" thickBot="1" x14ac:dyDescent="0.25">
      <c r="A63" s="353" t="s">
        <v>35</v>
      </c>
      <c r="B63" s="354"/>
      <c r="C63" s="202"/>
      <c r="D63" s="389"/>
      <c r="E63" s="390"/>
      <c r="F63" s="784">
        <f>F62+F59+F45+F33</f>
        <v>31237.561972523526</v>
      </c>
      <c r="G63" s="820">
        <f t="shared" si="3"/>
        <v>0.65414039262300949</v>
      </c>
      <c r="H63" s="15"/>
    </row>
    <row r="64" spans="1:13" s="58" customFormat="1" ht="24.75" customHeight="1" thickBot="1" x14ac:dyDescent="0.35">
      <c r="A64" s="351" t="s">
        <v>254</v>
      </c>
      <c r="B64" s="22"/>
      <c r="C64" s="398"/>
      <c r="D64" s="399"/>
      <c r="E64" s="400"/>
      <c r="F64" s="785">
        <f>F63+F32</f>
        <v>47753.605074386811</v>
      </c>
      <c r="G64" s="820">
        <f t="shared" si="3"/>
        <v>1</v>
      </c>
      <c r="H64" s="811"/>
      <c r="I64" s="71">
        <f>F64-F30-F31</f>
        <v>40420.328872790189</v>
      </c>
      <c r="J64" s="138"/>
      <c r="K64" s="144"/>
    </row>
    <row r="65" spans="1:11" s="58" customFormat="1" ht="15" customHeight="1" x14ac:dyDescent="0.3">
      <c r="A65" s="2" t="s">
        <v>340</v>
      </c>
      <c r="B65" s="401"/>
      <c r="C65" s="402"/>
      <c r="D65" s="403"/>
      <c r="E65" s="404"/>
      <c r="F65" s="405">
        <f>F12-F64</f>
        <v>-5253.6050743867963</v>
      </c>
      <c r="G65" s="788"/>
      <c r="H65" s="811"/>
      <c r="I65" s="71"/>
      <c r="J65" s="138"/>
      <c r="K65" s="144"/>
    </row>
    <row r="66" spans="1:11" s="58" customFormat="1" ht="18.75" customHeight="1" x14ac:dyDescent="0.3">
      <c r="A66" s="367" t="s">
        <v>341</v>
      </c>
      <c r="B66" s="401"/>
      <c r="C66" s="402"/>
      <c r="D66" s="403"/>
      <c r="E66" s="404"/>
      <c r="F66" s="535">
        <f>F12/F64</f>
        <v>0.88998516308448039</v>
      </c>
      <c r="G66" s="788"/>
      <c r="H66" s="811"/>
      <c r="I66" s="71"/>
      <c r="J66" s="138"/>
      <c r="K66" s="144"/>
    </row>
    <row r="67" spans="1:11" s="58" customFormat="1" ht="18.75" customHeight="1" x14ac:dyDescent="0.3">
      <c r="A67" s="367" t="s">
        <v>342</v>
      </c>
      <c r="B67" s="401"/>
      <c r="C67" s="402"/>
      <c r="D67" s="403"/>
      <c r="E67" s="404"/>
      <c r="F67" s="407">
        <f>F65+F30</f>
        <v>1441.3312154824735</v>
      </c>
      <c r="G67" s="788"/>
      <c r="H67" s="811"/>
      <c r="I67" s="71"/>
      <c r="J67" s="138"/>
      <c r="K67" s="144"/>
    </row>
    <row r="68" spans="1:11" s="1" customFormat="1" ht="16.5" customHeight="1" x14ac:dyDescent="0.2">
      <c r="A68" s="391" t="s">
        <v>73</v>
      </c>
      <c r="B68" s="341"/>
      <c r="C68" s="392"/>
      <c r="D68" s="393"/>
      <c r="E68" s="342"/>
      <c r="F68" s="394">
        <f>F64-F59</f>
        <v>24780.105074386811</v>
      </c>
      <c r="G68" s="783"/>
      <c r="H68" s="812"/>
      <c r="J68" s="34"/>
      <c r="K68" s="141"/>
    </row>
    <row r="69" spans="1:11" ht="13.5" thickBot="1" x14ac:dyDescent="0.25">
      <c r="A69" s="395" t="s">
        <v>255</v>
      </c>
      <c r="B69" s="395"/>
      <c r="C69" s="395"/>
      <c r="D69" s="395"/>
      <c r="E69" s="395"/>
      <c r="F69" s="396">
        <f>F12-F68</f>
        <v>17719.894925613204</v>
      </c>
      <c r="G69" s="15"/>
      <c r="H69" s="813"/>
    </row>
    <row r="70" spans="1:11" ht="21" thickBot="1" x14ac:dyDescent="0.35">
      <c r="A70" s="397" t="s">
        <v>256</v>
      </c>
      <c r="B70" s="340"/>
      <c r="C70" s="340"/>
      <c r="D70" s="340"/>
      <c r="E70" s="340"/>
      <c r="F70" s="786">
        <f>F69/D59</f>
        <v>19.366005383183829</v>
      </c>
      <c r="G70" s="15"/>
      <c r="H70" s="15"/>
    </row>
    <row r="71" spans="1:11" s="18" customFormat="1" ht="15.75" x14ac:dyDescent="0.25">
      <c r="A71" s="340" t="s">
        <v>94</v>
      </c>
      <c r="B71" s="340"/>
      <c r="C71" s="340"/>
      <c r="D71" s="340"/>
      <c r="E71" s="340"/>
      <c r="F71" s="787">
        <f>(F69-(B59*'Var Vorgaben'!C34))/(D59-B59)</f>
        <v>14.061504478526491</v>
      </c>
      <c r="G71" s="74"/>
      <c r="H71" s="74"/>
      <c r="J71" s="139"/>
      <c r="K71" s="145"/>
    </row>
    <row r="72" spans="1:11" s="57" customFormat="1" ht="25.5" customHeight="1" x14ac:dyDescent="0.2">
      <c r="A72" s="368" t="s">
        <v>257</v>
      </c>
      <c r="B72" s="436" t="s">
        <v>258</v>
      </c>
      <c r="C72" s="437">
        <f>F72-F11</f>
        <v>24883.956898136727</v>
      </c>
      <c r="D72" s="438" t="s">
        <v>88</v>
      </c>
      <c r="E72" s="439"/>
      <c r="F72" s="94">
        <f>F12-F32</f>
        <v>25983.956898136727</v>
      </c>
      <c r="G72" s="814" t="s">
        <v>174</v>
      </c>
      <c r="H72" s="815"/>
      <c r="J72" s="140"/>
      <c r="K72" s="146"/>
    </row>
    <row r="73" spans="1:11" ht="15.75" customHeight="1" x14ac:dyDescent="0.2">
      <c r="A73" s="440" t="s">
        <v>129</v>
      </c>
      <c r="B73" s="1372" t="s">
        <v>398</v>
      </c>
      <c r="C73" s="1372"/>
      <c r="D73" s="1372"/>
      <c r="E73" s="1372"/>
      <c r="F73" s="441">
        <f>K44+F59+F29+F23+F18</f>
        <v>28033.96</v>
      </c>
      <c r="G73" s="46">
        <f>F12</f>
        <v>42500.000000000015</v>
      </c>
      <c r="H73" s="15"/>
      <c r="I73" t="s">
        <v>168</v>
      </c>
    </row>
    <row r="74" spans="1:11" x14ac:dyDescent="0.2">
      <c r="A74" s="80" t="s">
        <v>147</v>
      </c>
      <c r="B74" s="1" t="s">
        <v>259</v>
      </c>
      <c r="C74" s="1"/>
      <c r="D74" s="1"/>
      <c r="E74" s="1"/>
      <c r="F74" s="442">
        <f>F12/D59</f>
        <v>46.448087431694006</v>
      </c>
      <c r="G74" s="21"/>
      <c r="H74" s="15"/>
    </row>
    <row r="75" spans="1:11" x14ac:dyDescent="0.2">
      <c r="A75" s="80"/>
      <c r="B75" s="1" t="s">
        <v>209</v>
      </c>
      <c r="C75" s="1"/>
      <c r="D75" s="1"/>
      <c r="E75" s="1"/>
      <c r="F75" s="443">
        <f>D8/D59</f>
        <v>24.590163934426236</v>
      </c>
      <c r="G75" s="21"/>
      <c r="H75" s="15"/>
    </row>
    <row r="76" spans="1:11" s="1" customFormat="1" x14ac:dyDescent="0.2">
      <c r="A76" s="80" t="s">
        <v>148</v>
      </c>
      <c r="B76" s="1" t="s">
        <v>260</v>
      </c>
      <c r="F76" s="536">
        <f>(F65+F61)/E61</f>
        <v>-4.7050944932990564E-2</v>
      </c>
      <c r="G76" s="21"/>
      <c r="H76" s="21"/>
      <c r="I76" s="1" t="s">
        <v>169</v>
      </c>
      <c r="J76" s="34"/>
      <c r="K76" s="7">
        <f>F64-F62</f>
        <v>46250.043101863281</v>
      </c>
    </row>
    <row r="77" spans="1:11" ht="20.25" x14ac:dyDescent="0.3">
      <c r="A77" s="538" t="s">
        <v>89</v>
      </c>
      <c r="B77" s="340" t="s">
        <v>90</v>
      </c>
      <c r="C77" s="341"/>
      <c r="D77" s="341"/>
      <c r="E77" s="341"/>
      <c r="F77" s="539">
        <f>F64/D10</f>
        <v>1.9101442029754725</v>
      </c>
      <c r="G77" s="15"/>
      <c r="H77" s="15"/>
      <c r="I77" t="s">
        <v>170</v>
      </c>
      <c r="K77" s="16">
        <f>F12-K76</f>
        <v>-3750.0431018632662</v>
      </c>
    </row>
    <row r="78" spans="1:11" ht="15.75" x14ac:dyDescent="0.25">
      <c r="D78" s="29" t="s">
        <v>262</v>
      </c>
      <c r="E78" s="29" t="s">
        <v>74</v>
      </c>
      <c r="F78" s="99"/>
      <c r="G78" s="15"/>
      <c r="H78" s="816"/>
    </row>
    <row r="79" spans="1:11" ht="15.75" x14ac:dyDescent="0.25">
      <c r="A79" s="2" t="s">
        <v>128</v>
      </c>
      <c r="B79" s="411" t="s">
        <v>261</v>
      </c>
      <c r="C79" s="540" t="str">
        <f>B8</f>
        <v>Tafelzwetschgen 33 mm</v>
      </c>
      <c r="D79" s="413">
        <f>F8/F10</f>
        <v>1</v>
      </c>
      <c r="E79" s="414">
        <f>D79*F64</f>
        <v>47753.605074386811</v>
      </c>
      <c r="F79" s="408">
        <f>E79/D8</f>
        <v>2.1223824477505242</v>
      </c>
      <c r="G79" s="15"/>
      <c r="H79" s="15"/>
    </row>
    <row r="80" spans="1:11" s="1" customFormat="1" ht="15.75" x14ac:dyDescent="0.25">
      <c r="A80" s="415"/>
      <c r="B80" s="415"/>
      <c r="C80" s="541" t="str">
        <f>B9</f>
        <v>Sortierabgang</v>
      </c>
      <c r="D80" s="417">
        <f>F9/F10</f>
        <v>0</v>
      </c>
      <c r="E80" s="418">
        <f>D80*F64</f>
        <v>0</v>
      </c>
      <c r="F80" s="419">
        <f>E80/D9</f>
        <v>0</v>
      </c>
      <c r="G80" s="21"/>
      <c r="H80" s="21"/>
      <c r="J80" s="34"/>
      <c r="K80" s="141"/>
    </row>
    <row r="81" spans="1:11" s="15" customFormat="1" x14ac:dyDescent="0.2">
      <c r="J81" s="11"/>
      <c r="K81" s="119"/>
    </row>
    <row r="82" spans="1:11" x14ac:dyDescent="0.2">
      <c r="F82" s="36"/>
      <c r="G82" s="15"/>
      <c r="H82" s="15"/>
    </row>
    <row r="83" spans="1:11" ht="31.5" customHeight="1" x14ac:dyDescent="0.25">
      <c r="A83" s="1373" t="s">
        <v>422</v>
      </c>
      <c r="B83" s="1373"/>
      <c r="C83" s="1373"/>
      <c r="D83" s="1373"/>
      <c r="E83" s="1373"/>
      <c r="F83" s="1373"/>
      <c r="G83" s="21"/>
      <c r="H83" s="15"/>
    </row>
    <row r="84" spans="1:11" x14ac:dyDescent="0.2">
      <c r="F84" s="36"/>
      <c r="G84" s="15"/>
      <c r="H84" s="15"/>
    </row>
    <row r="85" spans="1:11" s="211" customFormat="1" ht="21.75" customHeight="1" x14ac:dyDescent="0.2">
      <c r="A85" s="210" t="s">
        <v>221</v>
      </c>
      <c r="B85" s="213" t="s">
        <v>206</v>
      </c>
      <c r="C85" s="212" t="s">
        <v>225</v>
      </c>
      <c r="G85" s="289"/>
      <c r="H85" s="289"/>
      <c r="J85" s="213"/>
      <c r="K85" s="214"/>
    </row>
    <row r="86" spans="1:11" x14ac:dyDescent="0.2">
      <c r="A86" s="1" t="s">
        <v>223</v>
      </c>
      <c r="B86" s="33">
        <f>F59</f>
        <v>22973.5</v>
      </c>
      <c r="C86" s="258">
        <f>B86/$B$89</f>
        <v>0.48108409750873654</v>
      </c>
      <c r="G86" s="15"/>
      <c r="H86" s="15"/>
    </row>
    <row r="87" spans="1:11" x14ac:dyDescent="0.2">
      <c r="A87" s="1" t="s">
        <v>224</v>
      </c>
      <c r="B87" s="33">
        <f>F62</f>
        <v>1503.5619725235279</v>
      </c>
      <c r="C87" s="258">
        <f>B87/$B$89</f>
        <v>3.1485831701740574E-2</v>
      </c>
      <c r="G87" s="15"/>
      <c r="H87" s="15"/>
    </row>
    <row r="88" spans="1:11" x14ac:dyDescent="0.2">
      <c r="A88" s="166" t="s">
        <v>222</v>
      </c>
      <c r="B88" s="91">
        <f>F64-B86-B87</f>
        <v>23276.543101863284</v>
      </c>
      <c r="C88" s="422">
        <f>B88/$B$89</f>
        <v>0.48743007078952294</v>
      </c>
      <c r="G88" s="15"/>
      <c r="H88" s="15"/>
    </row>
    <row r="89" spans="1:11" x14ac:dyDescent="0.2">
      <c r="A89" s="1" t="str">
        <f>A64</f>
        <v>Produktionskosten pro ha</v>
      </c>
      <c r="B89" s="33">
        <f>F64</f>
        <v>47753.605074386811</v>
      </c>
      <c r="C89" s="258">
        <f>B89/$B$89</f>
        <v>1</v>
      </c>
      <c r="D89" s="10"/>
    </row>
    <row r="90" spans="1:11" x14ac:dyDescent="0.2">
      <c r="A90" s="1"/>
      <c r="B90" s="1"/>
      <c r="C90" s="1"/>
      <c r="F90" s="36"/>
    </row>
    <row r="91" spans="1:11" s="211" customFormat="1" ht="30.75" customHeight="1" x14ac:dyDescent="0.2">
      <c r="A91" s="217" t="s">
        <v>279</v>
      </c>
      <c r="B91" s="213" t="s">
        <v>206</v>
      </c>
      <c r="C91" s="215" t="s">
        <v>325</v>
      </c>
      <c r="D91" s="216"/>
      <c r="J91" s="213"/>
      <c r="K91" s="214"/>
    </row>
    <row r="92" spans="1:11" x14ac:dyDescent="0.2">
      <c r="A92" s="73" t="str">
        <f>B60</f>
        <v>für Boden</v>
      </c>
      <c r="B92" s="33">
        <f>F60</f>
        <v>660</v>
      </c>
      <c r="C92" s="423">
        <f>B92/$B$94</f>
        <v>0.43895762998865834</v>
      </c>
    </row>
    <row r="93" spans="1:11" x14ac:dyDescent="0.2">
      <c r="A93" s="415" t="str">
        <f>B61</f>
        <v xml:space="preserve">für Investition Obstanlage </v>
      </c>
      <c r="B93" s="91">
        <f>F61</f>
        <v>843.56197252352797</v>
      </c>
      <c r="C93" s="424">
        <f>B93/$B$94</f>
        <v>0.56104237001134172</v>
      </c>
    </row>
    <row r="94" spans="1:11" x14ac:dyDescent="0.2">
      <c r="A94" s="425" t="s">
        <v>224</v>
      </c>
      <c r="B94" s="33">
        <f>SUM(B92:B93)</f>
        <v>1503.5619725235279</v>
      </c>
      <c r="C94" s="423">
        <f>B94/$B$94</f>
        <v>1</v>
      </c>
    </row>
    <row r="95" spans="1:11" x14ac:dyDescent="0.2">
      <c r="A95" s="1"/>
      <c r="B95" s="1"/>
      <c r="C95" s="1"/>
      <c r="F95" s="36"/>
    </row>
    <row r="96" spans="1:11" s="211" customFormat="1" ht="30.75" customHeight="1" x14ac:dyDescent="0.2">
      <c r="A96" s="217" t="s">
        <v>233</v>
      </c>
      <c r="B96" s="213" t="s">
        <v>206</v>
      </c>
      <c r="C96" s="215" t="s">
        <v>325</v>
      </c>
      <c r="D96" s="216"/>
      <c r="J96" s="213"/>
      <c r="K96" s="214"/>
    </row>
    <row r="97" spans="1:6" x14ac:dyDescent="0.2">
      <c r="A97" s="80" t="str">
        <f>B57</f>
        <v>Ernte inkl. Sortieren</v>
      </c>
      <c r="B97" s="33">
        <f>F57</f>
        <v>14137.5</v>
      </c>
      <c r="C97" s="423">
        <f t="shared" ref="C97:C103" si="4">B97/$F$59</f>
        <v>0.61538294121487802</v>
      </c>
    </row>
    <row r="98" spans="1:6" x14ac:dyDescent="0.2">
      <c r="A98" s="1" t="str">
        <f>B49</f>
        <v>Baumerziehung (Sommer+Winter)</v>
      </c>
      <c r="B98" s="33">
        <f>F49</f>
        <v>3270.0000000000005</v>
      </c>
      <c r="C98" s="81">
        <f t="shared" si="4"/>
        <v>0.14233791107145191</v>
      </c>
    </row>
    <row r="99" spans="1:6" x14ac:dyDescent="0.2">
      <c r="A99" s="426" t="str">
        <f>B51</f>
        <v>Behangsregulierung (von Hand)</v>
      </c>
      <c r="B99" s="33">
        <f>F51</f>
        <v>2275</v>
      </c>
      <c r="C99" s="81">
        <f t="shared" si="4"/>
        <v>9.9027139965612548E-2</v>
      </c>
    </row>
    <row r="100" spans="1:6" x14ac:dyDescent="0.2">
      <c r="A100" s="427" t="str">
        <f>B58</f>
        <v>Verwaltung + übrige Arbeiten</v>
      </c>
      <c r="B100" s="33">
        <f>F58</f>
        <v>1656</v>
      </c>
      <c r="C100" s="81">
        <f t="shared" si="4"/>
        <v>7.2083052212331605E-2</v>
      </c>
    </row>
    <row r="101" spans="1:6" x14ac:dyDescent="0.2">
      <c r="A101" s="427" t="str">
        <f>B48</f>
        <v>Pflanzenschutz inkl. Kontrolle und Mausen</v>
      </c>
      <c r="B101" s="33">
        <f>F48</f>
        <v>1046.4000000000001</v>
      </c>
      <c r="C101" s="81">
        <f t="shared" si="4"/>
        <v>4.5548131542864606E-2</v>
      </c>
    </row>
    <row r="102" spans="1:6" x14ac:dyDescent="0.2">
      <c r="A102" s="427" t="str">
        <f>B50</f>
        <v>Mulchen und Schnittholz hacken</v>
      </c>
      <c r="B102" s="33">
        <f>F50</f>
        <v>0</v>
      </c>
      <c r="C102" s="81">
        <f t="shared" si="4"/>
        <v>0</v>
      </c>
    </row>
    <row r="103" spans="1:6" x14ac:dyDescent="0.2">
      <c r="A103" s="428" t="str">
        <f>B47</f>
        <v>Düngung</v>
      </c>
      <c r="B103" s="91">
        <f>F47</f>
        <v>130.80000000000001</v>
      </c>
      <c r="C103" s="167">
        <f t="shared" si="4"/>
        <v>5.6935164428580758E-3</v>
      </c>
    </row>
    <row r="104" spans="1:6" x14ac:dyDescent="0.2">
      <c r="A104" s="427" t="str">
        <f>A86</f>
        <v>Arbeitskosten</v>
      </c>
      <c r="B104" s="33">
        <f>SUM(B97:B103)</f>
        <v>22515.7</v>
      </c>
      <c r="C104" s="81">
        <f>SUM(C97:C103)</f>
        <v>0.98007269244999673</v>
      </c>
    </row>
    <row r="107" spans="1:6" x14ac:dyDescent="0.2">
      <c r="A107" s="210" t="s">
        <v>234</v>
      </c>
      <c r="B107" s="213" t="s">
        <v>206</v>
      </c>
      <c r="C107" s="215" t="s">
        <v>325</v>
      </c>
    </row>
    <row r="108" spans="1:6" x14ac:dyDescent="0.2">
      <c r="A108" s="151" t="str">
        <f>A97</f>
        <v>Ernte inkl. Sortieren</v>
      </c>
      <c r="B108" s="33">
        <f>B97</f>
        <v>14137.5</v>
      </c>
      <c r="C108" s="258">
        <f>B108/$B$111</f>
        <v>0.62789520201459426</v>
      </c>
    </row>
    <row r="109" spans="1:6" x14ac:dyDescent="0.2">
      <c r="A109" s="151" t="str">
        <f>A98</f>
        <v>Baumerziehung (Sommer+Winter)</v>
      </c>
      <c r="B109" s="33">
        <f>B98</f>
        <v>3270.0000000000005</v>
      </c>
      <c r="C109" s="258">
        <f>B109/$B$111</f>
        <v>0.1452319936755242</v>
      </c>
    </row>
    <row r="110" spans="1:6" x14ac:dyDescent="0.2">
      <c r="A110" s="166" t="s">
        <v>229</v>
      </c>
      <c r="B110" s="91">
        <f>B99+B100+B101+B102+B103</f>
        <v>5108.2</v>
      </c>
      <c r="C110" s="422">
        <f>B110/$B$111</f>
        <v>0.22687280430988152</v>
      </c>
    </row>
    <row r="111" spans="1:6" x14ac:dyDescent="0.2">
      <c r="A111" s="427" t="str">
        <f>A86</f>
        <v>Arbeitskosten</v>
      </c>
      <c r="B111" s="33">
        <f>SUM(B108:B110)</f>
        <v>22515.7</v>
      </c>
      <c r="C111" s="258">
        <f>B111/$B$111</f>
        <v>1</v>
      </c>
    </row>
    <row r="112" spans="1:6" x14ac:dyDescent="0.2">
      <c r="F112" s="36"/>
    </row>
    <row r="113" spans="1:11" x14ac:dyDescent="0.2">
      <c r="F113" s="36"/>
    </row>
    <row r="114" spans="1:11" s="211" customFormat="1" ht="18" customHeight="1" x14ac:dyDescent="0.2">
      <c r="A114" s="210" t="s">
        <v>232</v>
      </c>
      <c r="B114" s="213" t="s">
        <v>206</v>
      </c>
      <c r="C114" s="212" t="s">
        <v>225</v>
      </c>
      <c r="D114" s="216"/>
      <c r="E114" s="216"/>
      <c r="F114" s="186"/>
      <c r="J114" s="213"/>
      <c r="K114" s="214"/>
    </row>
    <row r="115" spans="1:11" x14ac:dyDescent="0.2">
      <c r="A115" s="1" t="str">
        <f>A28</f>
        <v>Gebindekosten und Aktionsbeiträge</v>
      </c>
      <c r="B115" s="33">
        <f>F28</f>
        <v>3375.0000000000009</v>
      </c>
      <c r="C115" s="258">
        <f>B115/$B$119</f>
        <v>0.14499575754141225</v>
      </c>
    </row>
    <row r="116" spans="1:11" ht="15.75" customHeight="1" x14ac:dyDescent="0.2">
      <c r="A116" s="429" t="str">
        <f>A30</f>
        <v xml:space="preserve">Abschreibung Obstanlage </v>
      </c>
      <c r="B116" s="430">
        <f>F30</f>
        <v>6694.9362898692698</v>
      </c>
      <c r="C116" s="258">
        <f>B116/$B$119</f>
        <v>0.28762588416032192</v>
      </c>
      <c r="G116" s="1"/>
    </row>
    <row r="117" spans="1:11" x14ac:dyDescent="0.2">
      <c r="A117" s="1" t="str">
        <f>A35</f>
        <v>Maschinen und Geräte</v>
      </c>
      <c r="B117" s="33">
        <f>F45</f>
        <v>6315</v>
      </c>
      <c r="C117" s="258">
        <f>B117/$B$119</f>
        <v>0.27130317299970907</v>
      </c>
    </row>
    <row r="118" spans="1:11" x14ac:dyDescent="0.2">
      <c r="A118" s="166" t="s">
        <v>228</v>
      </c>
      <c r="B118" s="91">
        <f>B88-B115-B116-B117</f>
        <v>6891.6068119940137</v>
      </c>
      <c r="C118" s="422">
        <f>B118/$B$119</f>
        <v>0.2960751852985567</v>
      </c>
    </row>
    <row r="119" spans="1:11" x14ac:dyDescent="0.2">
      <c r="A119" s="1" t="str">
        <f>A88</f>
        <v>Sachkosten</v>
      </c>
      <c r="B119" s="33">
        <f>SUM(B115:B118)</f>
        <v>23276.543101863284</v>
      </c>
      <c r="C119" s="258">
        <f>B119/$B$119</f>
        <v>1</v>
      </c>
    </row>
    <row r="120" spans="1:11" x14ac:dyDescent="0.2">
      <c r="A120" s="1"/>
      <c r="B120" s="1"/>
      <c r="C120" s="1"/>
    </row>
    <row r="122" spans="1:11" s="211" customFormat="1" ht="33" customHeight="1" x14ac:dyDescent="0.2">
      <c r="A122" s="217" t="s">
        <v>227</v>
      </c>
      <c r="B122" s="213" t="s">
        <v>206</v>
      </c>
      <c r="C122" s="212" t="s">
        <v>225</v>
      </c>
      <c r="J122" s="213"/>
      <c r="K122" s="214"/>
    </row>
    <row r="123" spans="1:11" x14ac:dyDescent="0.2">
      <c r="A123" s="1" t="str">
        <f>A32</f>
        <v>Total Direktkosten</v>
      </c>
      <c r="B123" s="33">
        <f>F32</f>
        <v>16516.043101863288</v>
      </c>
      <c r="C123" s="258">
        <f>G32</f>
        <v>0.34585960737699062</v>
      </c>
    </row>
    <row r="124" spans="1:11" x14ac:dyDescent="0.2">
      <c r="A124" s="166" t="str">
        <f>A63</f>
        <v>Total Strukturkosten</v>
      </c>
      <c r="B124" s="91">
        <f>F63</f>
        <v>31237.561972523526</v>
      </c>
      <c r="C124" s="422">
        <f>G63</f>
        <v>0.65414039262300949</v>
      </c>
    </row>
    <row r="125" spans="1:11" x14ac:dyDescent="0.2">
      <c r="A125" s="1" t="str">
        <f>A64</f>
        <v>Produktionskosten pro ha</v>
      </c>
      <c r="B125" s="33">
        <f>SUM(B123:B124)</f>
        <v>47753.605074386811</v>
      </c>
      <c r="C125" s="258">
        <f>SUM(C123:C124)</f>
        <v>1</v>
      </c>
    </row>
    <row r="126" spans="1:11" x14ac:dyDescent="0.2">
      <c r="A126" s="1"/>
      <c r="B126" s="1"/>
      <c r="C126" s="1"/>
    </row>
    <row r="127" spans="1:11" x14ac:dyDescent="0.2">
      <c r="A127" s="1"/>
      <c r="B127" s="1"/>
      <c r="C127" s="1"/>
    </row>
    <row r="128" spans="1:11" ht="18" x14ac:dyDescent="0.25">
      <c r="A128" s="420" t="s">
        <v>284</v>
      </c>
      <c r="B128" s="341"/>
      <c r="C128" s="341"/>
      <c r="D128" s="1"/>
      <c r="E128" s="1"/>
      <c r="F128" s="219"/>
      <c r="G128" s="1"/>
    </row>
    <row r="129" spans="1:6" x14ac:dyDescent="0.2">
      <c r="B129" s="213" t="s">
        <v>206</v>
      </c>
      <c r="C129" s="212" t="s">
        <v>225</v>
      </c>
      <c r="D129" s="1"/>
      <c r="E129" s="1"/>
      <c r="F129" s="1"/>
    </row>
    <row r="130" spans="1:6" x14ac:dyDescent="0.2">
      <c r="A130" s="80" t="s">
        <v>280</v>
      </c>
      <c r="B130" s="1"/>
    </row>
    <row r="131" spans="1:6" x14ac:dyDescent="0.2">
      <c r="A131" s="85" t="s">
        <v>112</v>
      </c>
      <c r="B131" s="162">
        <f>F23</f>
        <v>0</v>
      </c>
      <c r="C131" s="277">
        <f>B131/$F$64</f>
        <v>0</v>
      </c>
    </row>
    <row r="132" spans="1:6" x14ac:dyDescent="0.2">
      <c r="A132" s="1"/>
      <c r="B132" s="33"/>
      <c r="C132" s="277"/>
    </row>
    <row r="133" spans="1:6" x14ac:dyDescent="0.2">
      <c r="A133" s="80" t="s">
        <v>23</v>
      </c>
      <c r="B133" s="34"/>
      <c r="C133" s="277"/>
    </row>
    <row r="134" spans="1:6" x14ac:dyDescent="0.2">
      <c r="A134" s="1" t="s">
        <v>106</v>
      </c>
      <c r="B134" s="33">
        <f>F35</f>
        <v>481</v>
      </c>
      <c r="C134" s="277">
        <f t="shared" ref="C134:C140" si="5">B134/$F$64</f>
        <v>1.0072537963379645E-2</v>
      </c>
    </row>
    <row r="135" spans="1:6" x14ac:dyDescent="0.2">
      <c r="A135" s="1" t="s">
        <v>661</v>
      </c>
      <c r="B135" s="33">
        <f>F36</f>
        <v>276</v>
      </c>
      <c r="C135" s="277">
        <f t="shared" si="5"/>
        <v>5.7796683532074468E-3</v>
      </c>
    </row>
    <row r="136" spans="1:6" x14ac:dyDescent="0.2">
      <c r="A136" s="1" t="s">
        <v>24</v>
      </c>
      <c r="B136" s="431">
        <f>((C35*D35)+(C36*D36))*E43</f>
        <v>697</v>
      </c>
      <c r="C136" s="278">
        <f t="shared" si="5"/>
        <v>1.4595756674585472E-2</v>
      </c>
    </row>
    <row r="137" spans="1:6" x14ac:dyDescent="0.2">
      <c r="A137" s="1"/>
      <c r="B137" s="162">
        <f>SUM(B134:B136)</f>
        <v>1454</v>
      </c>
      <c r="C137" s="277">
        <f t="shared" si="5"/>
        <v>3.0447962991172566E-2</v>
      </c>
    </row>
    <row r="138" spans="1:6" x14ac:dyDescent="0.2">
      <c r="A138" s="1"/>
      <c r="B138" s="34"/>
      <c r="C138" s="277"/>
    </row>
    <row r="139" spans="1:6" x14ac:dyDescent="0.2">
      <c r="A139" s="80" t="s">
        <v>28</v>
      </c>
      <c r="B139" s="34"/>
      <c r="C139" s="277"/>
    </row>
    <row r="140" spans="1:6" x14ac:dyDescent="0.2">
      <c r="A140" s="21" t="s">
        <v>167</v>
      </c>
      <c r="B140" s="94">
        <f>F48</f>
        <v>1046.4000000000001</v>
      </c>
      <c r="C140" s="277">
        <f t="shared" si="5"/>
        <v>2.1912481756508236E-2</v>
      </c>
    </row>
    <row r="141" spans="1:6" x14ac:dyDescent="0.2">
      <c r="A141" s="1"/>
      <c r="B141" s="1"/>
      <c r="C141" s="277"/>
    </row>
    <row r="142" spans="1:6" x14ac:dyDescent="0.2">
      <c r="A142" s="80" t="s">
        <v>285</v>
      </c>
      <c r="B142" s="162">
        <f>B131+B137+B140</f>
        <v>2500.4</v>
      </c>
      <c r="C142" s="284">
        <f>B142/$F$64</f>
        <v>5.2360444747680798E-2</v>
      </c>
    </row>
    <row r="143" spans="1:6" x14ac:dyDescent="0.2">
      <c r="A143" s="1" t="s">
        <v>282</v>
      </c>
      <c r="B143" s="33">
        <f>F64-B149</f>
        <v>45253.205074386809</v>
      </c>
      <c r="C143" s="277">
        <f>B143/$F$64</f>
        <v>0.94763955525231913</v>
      </c>
    </row>
    <row r="144" spans="1:6" x14ac:dyDescent="0.2">
      <c r="A144" s="1"/>
      <c r="B144" s="1"/>
    </row>
    <row r="145" spans="1:11" ht="25.5" x14ac:dyDescent="0.2">
      <c r="A145" s="80" t="s">
        <v>281</v>
      </c>
      <c r="B145" s="186"/>
      <c r="C145" s="283" t="s">
        <v>289</v>
      </c>
    </row>
    <row r="146" spans="1:11" x14ac:dyDescent="0.2">
      <c r="A146" s="1" t="s">
        <v>280</v>
      </c>
      <c r="B146" s="33">
        <f>B131</f>
        <v>0</v>
      </c>
      <c r="C146" s="277">
        <f>B146/$B$149</f>
        <v>0</v>
      </c>
    </row>
    <row r="147" spans="1:11" x14ac:dyDescent="0.2">
      <c r="A147" s="1" t="s">
        <v>23</v>
      </c>
      <c r="B147" s="33">
        <f>B137</f>
        <v>1454</v>
      </c>
      <c r="C147" s="277">
        <f>B147/$B$149</f>
        <v>0.58150695888657811</v>
      </c>
    </row>
    <row r="148" spans="1:11" x14ac:dyDescent="0.2">
      <c r="A148" s="166" t="s">
        <v>28</v>
      </c>
      <c r="B148" s="91">
        <f>B140</f>
        <v>1046.4000000000001</v>
      </c>
      <c r="C148" s="278">
        <f>B148/$B$149</f>
        <v>0.41849304111342189</v>
      </c>
    </row>
    <row r="149" spans="1:11" s="211" customFormat="1" ht="28.5" customHeight="1" x14ac:dyDescent="0.2">
      <c r="A149" s="432" t="s">
        <v>283</v>
      </c>
      <c r="B149" s="218">
        <f>SUM(B146:B148)</f>
        <v>2500.4</v>
      </c>
      <c r="C149" s="277">
        <f>B149/$B$149</f>
        <v>1</v>
      </c>
      <c r="J149" s="213"/>
      <c r="K149" s="214"/>
    </row>
    <row r="150" spans="1:11" x14ac:dyDescent="0.2">
      <c r="A150" s="1"/>
      <c r="B150" s="33"/>
      <c r="C150" s="81"/>
    </row>
    <row r="152" spans="1:11" ht="18" x14ac:dyDescent="0.25">
      <c r="A152" s="420" t="s">
        <v>343</v>
      </c>
      <c r="B152" s="341"/>
      <c r="C152" s="341"/>
      <c r="D152" s="1"/>
      <c r="E152" s="1"/>
      <c r="F152" s="219"/>
      <c r="G152" s="1"/>
    </row>
    <row r="153" spans="1:11" x14ac:dyDescent="0.2">
      <c r="B153" s="213" t="s">
        <v>206</v>
      </c>
      <c r="C153" s="212" t="s">
        <v>225</v>
      </c>
    </row>
    <row r="154" spans="1:11" x14ac:dyDescent="0.2">
      <c r="A154" s="1" t="s">
        <v>23</v>
      </c>
      <c r="B154" s="1"/>
    </row>
    <row r="155" spans="1:11" x14ac:dyDescent="0.2">
      <c r="A155" s="85" t="str">
        <f>B38</f>
        <v>Pneuwagen 2achsig (Ernte)</v>
      </c>
      <c r="B155" s="33">
        <f>F38</f>
        <v>1562.5</v>
      </c>
      <c r="C155" s="277">
        <f>B155/$F$64</f>
        <v>3.2720042760458826E-2</v>
      </c>
    </row>
    <row r="156" spans="1:11" x14ac:dyDescent="0.2">
      <c r="A156" s="85" t="s">
        <v>24</v>
      </c>
      <c r="B156" s="130">
        <f>D38*E43</f>
        <v>2562.5</v>
      </c>
      <c r="C156" s="277">
        <f t="shared" ref="C156:C161" si="6">B156/$F$64</f>
        <v>5.3660870127152475E-2</v>
      </c>
    </row>
    <row r="157" spans="1:11" x14ac:dyDescent="0.2">
      <c r="A157" s="1" t="s">
        <v>28</v>
      </c>
      <c r="B157" s="34"/>
      <c r="C157" s="277"/>
    </row>
    <row r="158" spans="1:11" x14ac:dyDescent="0.2">
      <c r="A158" s="154" t="str">
        <f>B57</f>
        <v>Ernte inkl. Sortieren</v>
      </c>
      <c r="B158" s="46">
        <f>F57</f>
        <v>14137.5</v>
      </c>
      <c r="C158" s="277">
        <f t="shared" si="6"/>
        <v>0.29605094689663147</v>
      </c>
    </row>
    <row r="159" spans="1:11" x14ac:dyDescent="0.2">
      <c r="A159" s="537"/>
      <c r="B159" s="91"/>
      <c r="C159" s="278"/>
    </row>
    <row r="160" spans="1:11" x14ac:dyDescent="0.2">
      <c r="A160" s="80" t="s">
        <v>286</v>
      </c>
      <c r="B160" s="162">
        <f>B155+B156+B158</f>
        <v>18262.5</v>
      </c>
      <c r="C160" s="277">
        <f t="shared" si="6"/>
        <v>0.38243185978424277</v>
      </c>
    </row>
    <row r="161" spans="1:3" x14ac:dyDescent="0.2">
      <c r="A161" s="1" t="s">
        <v>282</v>
      </c>
      <c r="B161" s="33">
        <f>F64-B160</f>
        <v>29491.105074386811</v>
      </c>
      <c r="C161" s="277">
        <f t="shared" si="6"/>
        <v>0.61756814021575723</v>
      </c>
    </row>
    <row r="162" spans="1:3" x14ac:dyDescent="0.2">
      <c r="A162" s="1"/>
      <c r="B162" s="1"/>
    </row>
    <row r="163" spans="1:3" x14ac:dyDescent="0.2">
      <c r="A163" s="80" t="s">
        <v>281</v>
      </c>
      <c r="B163" s="186"/>
      <c r="C163" s="212" t="s">
        <v>291</v>
      </c>
    </row>
    <row r="164" spans="1:3" x14ac:dyDescent="0.2">
      <c r="A164" s="1" t="s">
        <v>23</v>
      </c>
      <c r="B164" s="33">
        <f>B155+B156</f>
        <v>4125</v>
      </c>
      <c r="C164" s="277">
        <f>B164/$B$166</f>
        <v>0.22587268993839835</v>
      </c>
    </row>
    <row r="165" spans="1:3" x14ac:dyDescent="0.2">
      <c r="A165" s="166" t="s">
        <v>28</v>
      </c>
      <c r="B165" s="91">
        <f>B158</f>
        <v>14137.5</v>
      </c>
      <c r="C165" s="278">
        <f>B165/$B$166</f>
        <v>0.77412731006160163</v>
      </c>
    </row>
    <row r="166" spans="1:3" x14ac:dyDescent="0.2">
      <c r="A166" t="s">
        <v>286</v>
      </c>
      <c r="B166" s="178">
        <f>SUM(B164:B165)</f>
        <v>18262.5</v>
      </c>
      <c r="C166" s="277">
        <f>B166/$B$166</f>
        <v>1</v>
      </c>
    </row>
  </sheetData>
  <mergeCells count="2">
    <mergeCell ref="B73:E73"/>
    <mergeCell ref="A83:F83"/>
  </mergeCells>
  <phoneticPr fontId="23" type="noConversion"/>
  <printOptions gridLines="1" gridLinesSet="0"/>
  <pageMargins left="0.78740157480314965" right="0.59055118110236227" top="0.59055118110236227" bottom="0.39370078740157483" header="0.51181102362204722" footer="0.51181102362204722"/>
  <pageSetup paperSize="9" scale="65" orientation="portrait" r:id="rId1"/>
  <headerFooter alignWithMargins="0">
    <oddFooter>&amp;L&amp;6Arbokost Zwetschgen 2005 - Variante&amp;C&amp;6&amp;A  &amp;D&amp;R&amp;6Matthias Zürcher, Yvonne Leuenberger</oddFooter>
  </headerFooter>
  <rowBreaks count="1" manualBreakCount="1">
    <brk id="80" max="16383" man="1"/>
  </rowBreaks>
  <cellWatches>
    <cellWatch r="D10"/>
  </cellWatche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VarCashflow">
    <tabColor indexed="17"/>
  </sheetPr>
  <dimension ref="A1:L44"/>
  <sheetViews>
    <sheetView zoomScale="75" workbookViewId="0">
      <selection activeCell="H8" sqref="H8"/>
    </sheetView>
  </sheetViews>
  <sheetFormatPr baseColWidth="10" defaultRowHeight="12.75" x14ac:dyDescent="0.2"/>
  <cols>
    <col min="1" max="1" width="33.5703125" customWidth="1"/>
    <col min="2" max="2" width="13.42578125" customWidth="1"/>
    <col min="3" max="3" width="22" customWidth="1"/>
    <col min="4" max="4" width="19" customWidth="1"/>
    <col min="5" max="5" width="19.28515625" customWidth="1"/>
    <col min="6" max="6" width="17.42578125" customWidth="1"/>
    <col min="7" max="7" width="18.28515625" customWidth="1"/>
    <col min="11" max="11" width="14.7109375" customWidth="1"/>
  </cols>
  <sheetData>
    <row r="1" spans="1:12" ht="26.25" x14ac:dyDescent="0.4">
      <c r="A1" s="199" t="str">
        <f>'Standard Vorgaben'!$A$1</f>
        <v>Arbokost 2023</v>
      </c>
      <c r="B1" s="611"/>
      <c r="C1" s="607" t="str">
        <f>'Var Erstellung'!$B$1</f>
        <v>Tafelzwetschge</v>
      </c>
      <c r="D1" s="611"/>
      <c r="E1" s="611"/>
      <c r="F1" s="611"/>
      <c r="G1" s="611"/>
      <c r="H1" s="611"/>
    </row>
    <row r="2" spans="1:12" ht="18" x14ac:dyDescent="0.25">
      <c r="A2" s="648" t="s">
        <v>206</v>
      </c>
      <c r="B2" s="611"/>
      <c r="C2" s="613">
        <f>'Var Erstellung'!$B$2</f>
        <v>1125</v>
      </c>
      <c r="D2" s="611"/>
      <c r="E2" s="611"/>
      <c r="F2" s="611"/>
      <c r="G2" s="611"/>
      <c r="H2" s="611"/>
    </row>
    <row r="3" spans="1:12" ht="18" customHeight="1" x14ac:dyDescent="0.4">
      <c r="A3" s="434"/>
      <c r="B3" s="620"/>
      <c r="C3" s="621"/>
      <c r="D3" s="621"/>
      <c r="E3" s="621"/>
      <c r="F3" s="611"/>
      <c r="G3" s="649"/>
      <c r="H3" s="611"/>
    </row>
    <row r="4" spans="1:12" ht="21.75" customHeight="1" x14ac:dyDescent="0.3">
      <c r="A4" s="604" t="s">
        <v>327</v>
      </c>
      <c r="B4" s="604"/>
      <c r="C4" s="605"/>
      <c r="D4" s="605"/>
      <c r="E4" s="200"/>
      <c r="F4" s="200"/>
      <c r="G4" s="200"/>
      <c r="H4" s="200"/>
      <c r="I4" s="200"/>
      <c r="J4" s="200"/>
    </row>
    <row r="5" spans="1:12" s="1" customFormat="1" ht="15" x14ac:dyDescent="0.2">
      <c r="A5"/>
      <c r="B5" s="602"/>
      <c r="C5" s="602"/>
      <c r="D5" s="602"/>
      <c r="E5" s="602"/>
    </row>
    <row r="6" spans="1:12" s="1" customFormat="1" ht="20.25" x14ac:dyDescent="0.3">
      <c r="A6" s="104"/>
      <c r="B6" s="56"/>
    </row>
    <row r="7" spans="1:12" s="1" customFormat="1" ht="20.25" x14ac:dyDescent="0.3">
      <c r="A7" s="104"/>
      <c r="B7" s="56"/>
      <c r="G7" s="105"/>
    </row>
    <row r="8" spans="1:12" s="1" customFormat="1" ht="408" customHeight="1" x14ac:dyDescent="0.3">
      <c r="A8" s="104"/>
      <c r="B8" s="56"/>
      <c r="G8" s="105"/>
    </row>
    <row r="9" spans="1:12" s="1" customFormat="1" ht="20.25" x14ac:dyDescent="0.3">
      <c r="A9" s="104"/>
      <c r="B9" s="56"/>
      <c r="G9" s="105"/>
    </row>
    <row r="10" spans="1:12" s="1" customFormat="1" ht="18" customHeight="1" x14ac:dyDescent="0.3">
      <c r="A10" s="56"/>
      <c r="B10" s="56"/>
      <c r="E10" s="21"/>
      <c r="F10" s="21"/>
      <c r="G10" s="873"/>
    </row>
    <row r="11" spans="1:12" x14ac:dyDescent="0.2">
      <c r="A11" s="3" t="s">
        <v>39</v>
      </c>
      <c r="B11" s="3"/>
      <c r="C11" s="1"/>
      <c r="D11" s="1"/>
      <c r="E11" s="44"/>
      <c r="F11" s="44"/>
      <c r="G11" s="44"/>
    </row>
    <row r="12" spans="1:12" ht="18.75" x14ac:dyDescent="0.3">
      <c r="A12" s="3" t="s">
        <v>40</v>
      </c>
      <c r="B12" s="435">
        <f>'Var Erstellung'!$B$2</f>
        <v>1125</v>
      </c>
      <c r="C12" s="1"/>
      <c r="E12" s="48"/>
      <c r="F12" s="48"/>
      <c r="G12" s="48"/>
    </row>
    <row r="13" spans="1:12" ht="31.5" x14ac:dyDescent="0.25">
      <c r="A13" s="823"/>
      <c r="B13" s="824"/>
      <c r="C13" s="825" t="s">
        <v>328</v>
      </c>
      <c r="D13" s="824"/>
      <c r="E13" s="824"/>
      <c r="F13" s="824"/>
      <c r="G13" s="824"/>
      <c r="H13" s="824"/>
      <c r="I13" s="824"/>
      <c r="J13" s="826"/>
    </row>
    <row r="14" spans="1:12" ht="15" x14ac:dyDescent="0.25">
      <c r="A14" s="827"/>
      <c r="B14" s="828"/>
      <c r="C14" s="829" t="s">
        <v>196</v>
      </c>
      <c r="D14" s="830" t="s">
        <v>277</v>
      </c>
      <c r="E14" s="830" t="s">
        <v>278</v>
      </c>
      <c r="F14" s="830" t="s">
        <v>329</v>
      </c>
      <c r="G14" s="830" t="s">
        <v>193</v>
      </c>
      <c r="H14" s="830" t="s">
        <v>57</v>
      </c>
      <c r="I14" s="830" t="s">
        <v>76</v>
      </c>
      <c r="J14" s="831" t="s">
        <v>71</v>
      </c>
    </row>
    <row r="15" spans="1:12" ht="15" x14ac:dyDescent="0.25">
      <c r="A15" s="832" t="s">
        <v>77</v>
      </c>
      <c r="B15" s="748">
        <v>0</v>
      </c>
      <c r="C15" s="833">
        <f>'Var 1.-16. Standjahr'!F71</f>
        <v>-63543.933666666664</v>
      </c>
      <c r="D15" s="834">
        <v>0</v>
      </c>
      <c r="E15" s="834">
        <f>C15*(-1)</f>
        <v>63543.933666666664</v>
      </c>
      <c r="F15" s="834">
        <f t="shared" ref="F15:F31" si="0">D15-E15</f>
        <v>-63543.933666666664</v>
      </c>
      <c r="G15" s="835">
        <f t="shared" ref="G15:G31" si="1">D15/E15</f>
        <v>0</v>
      </c>
      <c r="H15" s="834"/>
      <c r="I15" s="834"/>
      <c r="J15" s="836">
        <f>('Var 1.-16. Standjahr'!F71)*(-1)</f>
        <v>63543.933666666664</v>
      </c>
      <c r="K15" s="7"/>
      <c r="L15" s="7"/>
    </row>
    <row r="16" spans="1:12" ht="15" x14ac:dyDescent="0.25">
      <c r="A16" s="832" t="s">
        <v>78</v>
      </c>
      <c r="B16" s="748">
        <v>1</v>
      </c>
      <c r="C16" s="833">
        <f>'Var 1.-16. Standjahr'!F72</f>
        <v>-71905.145969933335</v>
      </c>
      <c r="D16" s="834">
        <f>'Var 1.-16. Standjahr'!F12</f>
        <v>1100</v>
      </c>
      <c r="E16" s="834">
        <f>'Var 1.-16. Standjahr'!F68</f>
        <v>9461.2123032666677</v>
      </c>
      <c r="F16" s="834">
        <f t="shared" si="0"/>
        <v>-8361.2123032666677</v>
      </c>
      <c r="G16" s="835">
        <f t="shared" si="1"/>
        <v>0.11626417046155951</v>
      </c>
      <c r="H16" s="837">
        <f>'Var 1.-16. Standjahr'!D10</f>
        <v>0</v>
      </c>
      <c r="I16" s="838">
        <f>H16/B12</f>
        <v>0</v>
      </c>
      <c r="J16" s="839">
        <f>'Var 1.-16. Standjahr'!F73</f>
        <v>71905.145969933335</v>
      </c>
      <c r="K16" s="8"/>
      <c r="L16" s="6"/>
    </row>
    <row r="17" spans="1:12" ht="15" x14ac:dyDescent="0.25">
      <c r="A17" s="832" t="s">
        <v>42</v>
      </c>
      <c r="B17" s="748">
        <v>2</v>
      </c>
      <c r="C17" s="833">
        <f>'Var 1.-16. Standjahr'!M72</f>
        <v>-77931.559183929407</v>
      </c>
      <c r="D17" s="834">
        <f>'Var 1.-16. Standjahr'!M12</f>
        <v>7724</v>
      </c>
      <c r="E17" s="834">
        <f>'Var 1.-16. Standjahr'!M68</f>
        <v>13750.413213996067</v>
      </c>
      <c r="F17" s="834">
        <f t="shared" si="0"/>
        <v>-6026.4132139960675</v>
      </c>
      <c r="G17" s="835">
        <f t="shared" si="1"/>
        <v>0.56172857351937677</v>
      </c>
      <c r="H17" s="837">
        <f>'Var 1.-16. Standjahr'!K10</f>
        <v>4000</v>
      </c>
      <c r="I17" s="838">
        <f>H17/B12</f>
        <v>3.5555555555555554</v>
      </c>
      <c r="J17" s="839">
        <f>'Var 1.-16. Standjahr'!M73</f>
        <v>77931.559183929407</v>
      </c>
      <c r="K17" s="8"/>
      <c r="L17" s="6"/>
    </row>
    <row r="18" spans="1:12" ht="15" x14ac:dyDescent="0.25">
      <c r="A18" s="832" t="s">
        <v>43</v>
      </c>
      <c r="B18" s="840">
        <v>3</v>
      </c>
      <c r="C18" s="833">
        <f>'Var 1.-16. Standjahr'!T72</f>
        <v>-87214.56011685144</v>
      </c>
      <c r="D18" s="834">
        <f>'Var 1.-16. Standjahr'!T12</f>
        <v>11036</v>
      </c>
      <c r="E18" s="834">
        <f>'Var 1.-16. Standjahr'!T68</f>
        <v>20319.000932922034</v>
      </c>
      <c r="F18" s="834">
        <f t="shared" si="0"/>
        <v>-9283.0009329220338</v>
      </c>
      <c r="G18" s="835">
        <f t="shared" si="1"/>
        <v>0.54313694046437233</v>
      </c>
      <c r="H18" s="837">
        <f>'Var 1.-16. Standjahr'!R10</f>
        <v>6000</v>
      </c>
      <c r="I18" s="838">
        <f>H18/B12</f>
        <v>5.333333333333333</v>
      </c>
      <c r="J18" s="839">
        <f>'Var 1.-16. Standjahr'!T73</f>
        <v>87214.56011685144</v>
      </c>
      <c r="K18" s="8"/>
      <c r="L18" s="6"/>
    </row>
    <row r="19" spans="1:12" ht="15" x14ac:dyDescent="0.25">
      <c r="A19" s="841" t="s">
        <v>44</v>
      </c>
      <c r="B19" s="840">
        <v>4</v>
      </c>
      <c r="C19" s="833">
        <f>'Var 1.-16. Standjahr'!AA72</f>
        <v>-93729.108058169775</v>
      </c>
      <c r="D19" s="842">
        <f>'Var 1.-16. Standjahr'!AA12</f>
        <v>17660</v>
      </c>
      <c r="E19" s="842">
        <f>'Var 1.-16. Standjahr'!AA68</f>
        <v>24174.547941318328</v>
      </c>
      <c r="F19" s="842">
        <f t="shared" si="0"/>
        <v>-6514.5479413183275</v>
      </c>
      <c r="G19" s="843">
        <f t="shared" si="1"/>
        <v>0.73052038213364556</v>
      </c>
      <c r="H19" s="844">
        <f>'Var 1.-16. Standjahr'!Y10</f>
        <v>10000</v>
      </c>
      <c r="I19" s="845">
        <f>H19/B12</f>
        <v>8.8888888888888893</v>
      </c>
      <c r="J19" s="846">
        <f>'Var 1.-16. Standjahr'!AA73</f>
        <v>93729.108058169775</v>
      </c>
      <c r="K19" s="8"/>
      <c r="L19" s="6"/>
    </row>
    <row r="20" spans="1:12" ht="15" x14ac:dyDescent="0.25">
      <c r="A20" s="832" t="s">
        <v>45</v>
      </c>
      <c r="B20" s="748">
        <v>5</v>
      </c>
      <c r="C20" s="833">
        <f>'Var 1.-16. Standjahr'!AH72</f>
        <v>-97715.936930959972</v>
      </c>
      <c r="D20" s="834">
        <f>'Var 1.-16. Standjahr'!AH12</f>
        <v>30908</v>
      </c>
      <c r="E20" s="834">
        <f>'Var 1.-16. Standjahr'!AH68</f>
        <v>34894.828872790196</v>
      </c>
      <c r="F20" s="834">
        <f t="shared" si="0"/>
        <v>-3986.8288727901963</v>
      </c>
      <c r="G20" s="835">
        <f t="shared" si="1"/>
        <v>0.88574728687381554</v>
      </c>
      <c r="H20" s="837">
        <f>'Var 1.-16. Standjahr'!AF10</f>
        <v>18000</v>
      </c>
      <c r="I20" s="838">
        <f>H20/B12</f>
        <v>16</v>
      </c>
      <c r="J20" s="839">
        <f>'Var 1.-16. Standjahr'!AH73</f>
        <v>87034.171768300512</v>
      </c>
      <c r="K20" s="8"/>
      <c r="L20" s="6"/>
    </row>
    <row r="21" spans="1:12" ht="15" x14ac:dyDescent="0.25">
      <c r="A21" s="832" t="s">
        <v>46</v>
      </c>
      <c r="B21" s="748">
        <v>6</v>
      </c>
      <c r="C21" s="833">
        <f>'Var 1.-16. Standjahr'!AO72</f>
        <v>-98576.647263605264</v>
      </c>
      <c r="D21" s="834">
        <f>'Var 1.-16. Standjahr'!AO12</f>
        <v>37532</v>
      </c>
      <c r="E21" s="834">
        <f>'Var 1.-16. Standjahr'!AO68</f>
        <v>38392.710332645307</v>
      </c>
      <c r="F21" s="834">
        <f t="shared" si="0"/>
        <v>-860.71033264530706</v>
      </c>
      <c r="G21" s="835">
        <f t="shared" si="1"/>
        <v>0.97758141258619491</v>
      </c>
      <c r="H21" s="837">
        <f>'Var 1.-16. Standjahr'!AM10</f>
        <v>22000</v>
      </c>
      <c r="I21" s="838">
        <f>H21/B12</f>
        <v>19.555555555555557</v>
      </c>
      <c r="J21" s="839">
        <f>'Var 1.-16. Standjahr'!AO73</f>
        <v>80339.235478431248</v>
      </c>
      <c r="K21" s="8"/>
      <c r="L21" s="6"/>
    </row>
    <row r="22" spans="1:12" ht="15" x14ac:dyDescent="0.25">
      <c r="A22" s="832" t="s">
        <v>47</v>
      </c>
      <c r="B22" s="748">
        <v>7</v>
      </c>
      <c r="C22" s="833">
        <f>'Var 1.-16. Standjahr'!AV72</f>
        <v>-96283.103989244381</v>
      </c>
      <c r="D22" s="834">
        <f>'Var 1.-16. Standjahr'!AV12</f>
        <v>44156</v>
      </c>
      <c r="E22" s="834">
        <f>'Var 1.-16. Standjahr'!AV68</f>
        <v>41862.456725639116</v>
      </c>
      <c r="F22" s="834">
        <f t="shared" si="0"/>
        <v>2293.5432743608835</v>
      </c>
      <c r="G22" s="835">
        <f t="shared" si="1"/>
        <v>1.0547875937953775</v>
      </c>
      <c r="H22" s="837">
        <f>'Var 1.-16. Standjahr'!AT10</f>
        <v>26000</v>
      </c>
      <c r="I22" s="838">
        <f>H22/B12</f>
        <v>23.111111111111111</v>
      </c>
      <c r="J22" s="839">
        <f>'Var 1.-16. Standjahr'!AV73</f>
        <v>73644.299188561985</v>
      </c>
      <c r="K22" s="8"/>
      <c r="L22" s="6"/>
    </row>
    <row r="23" spans="1:12" ht="15" x14ac:dyDescent="0.25">
      <c r="A23" s="832" t="s">
        <v>48</v>
      </c>
      <c r="B23" s="748">
        <v>8</v>
      </c>
      <c r="C23" s="833">
        <f>'Var 1.-16. Standjahr'!BC72</f>
        <v>-93968.918825414265</v>
      </c>
      <c r="D23" s="834">
        <f>'Var 1.-16. Standjahr'!BC12</f>
        <v>44156</v>
      </c>
      <c r="E23" s="834">
        <f>'Var 1.-16. Standjahr'!BC68</f>
        <v>41841.81483616987</v>
      </c>
      <c r="F23" s="834">
        <f t="shared" si="0"/>
        <v>2314.1851638301305</v>
      </c>
      <c r="G23" s="835">
        <f t="shared" si="1"/>
        <v>1.055307953846917</v>
      </c>
      <c r="H23" s="837">
        <f>'Var 1.-16. Standjahr'!BA10</f>
        <v>26000</v>
      </c>
      <c r="I23" s="838">
        <f>H23/B12</f>
        <v>23.111111111111111</v>
      </c>
      <c r="J23" s="839">
        <f>'Var 1.-16. Standjahr'!BC73</f>
        <v>66949.362898692722</v>
      </c>
      <c r="K23" s="8"/>
      <c r="L23" s="6"/>
    </row>
    <row r="24" spans="1:12" ht="15" x14ac:dyDescent="0.25">
      <c r="A24" s="832" t="s">
        <v>49</v>
      </c>
      <c r="B24" s="748">
        <v>9</v>
      </c>
      <c r="C24" s="833">
        <f>'Var 1.-16. Standjahr'!BJ72</f>
        <v>-91633.905995109642</v>
      </c>
      <c r="D24" s="834">
        <f>'Var 1.-16. Standjahr'!BJ12</f>
        <v>44156</v>
      </c>
      <c r="E24" s="834">
        <f>'Var 1.-16. Standjahr'!BJ68</f>
        <v>41820.987169695392</v>
      </c>
      <c r="F24" s="834">
        <f t="shared" si="0"/>
        <v>2335.0128303046076</v>
      </c>
      <c r="G24" s="835">
        <f t="shared" si="1"/>
        <v>1.055833517770155</v>
      </c>
      <c r="H24" s="837">
        <f>'Var 1.-16. Standjahr'!BH10</f>
        <v>26000</v>
      </c>
      <c r="I24" s="838">
        <f>H24/B12</f>
        <v>23.111111111111111</v>
      </c>
      <c r="J24" s="839">
        <f>'Var 1.-16. Standjahr'!BJ73</f>
        <v>60254.426608823451</v>
      </c>
      <c r="K24" s="8"/>
      <c r="L24" s="6"/>
    </row>
    <row r="25" spans="1:12" ht="15" x14ac:dyDescent="0.25">
      <c r="A25" s="832" t="s">
        <v>50</v>
      </c>
      <c r="B25" s="748">
        <v>10</v>
      </c>
      <c r="C25" s="833">
        <f>'Var 1.-16. Standjahr'!BQ72</f>
        <v>-89277.878049332299</v>
      </c>
      <c r="D25" s="834">
        <f>'Var 1.-16. Standjahr'!BQ12</f>
        <v>44156</v>
      </c>
      <c r="E25" s="834">
        <f>'Var 1.-16. Standjahr'!BQ68</f>
        <v>41799.972054222657</v>
      </c>
      <c r="F25" s="834">
        <f t="shared" si="0"/>
        <v>2356.0279457773431</v>
      </c>
      <c r="G25" s="835">
        <f t="shared" si="1"/>
        <v>1.0563643426058065</v>
      </c>
      <c r="H25" s="837">
        <f>'Var 1.-16. Standjahr'!BO10</f>
        <v>26000</v>
      </c>
      <c r="I25" s="838">
        <f>H25/B12</f>
        <v>23.111111111111111</v>
      </c>
      <c r="J25" s="839">
        <f>'Var 1.-16. Standjahr'!BQ73</f>
        <v>53559.49031895418</v>
      </c>
      <c r="K25" s="8"/>
      <c r="L25" s="6"/>
    </row>
    <row r="26" spans="1:12" ht="15" x14ac:dyDescent="0.25">
      <c r="A26" s="832" t="s">
        <v>51</v>
      </c>
      <c r="B26" s="748">
        <v>11</v>
      </c>
      <c r="C26" s="833">
        <f>'Var 1.-16. Standjahr'!BX72</f>
        <v>-86900.645852042959</v>
      </c>
      <c r="D26" s="834">
        <f>'Var 1.-16. Standjahr'!BX12</f>
        <v>44156</v>
      </c>
      <c r="E26" s="834">
        <f>'Var 1.-16. Standjahr'!BX68</f>
        <v>41778.767802710659</v>
      </c>
      <c r="F26" s="834">
        <f t="shared" si="0"/>
        <v>2377.2321972893405</v>
      </c>
      <c r="G26" s="835">
        <f t="shared" si="1"/>
        <v>1.0569004861157036</v>
      </c>
      <c r="H26" s="837">
        <f>'Var 1.-16. Standjahr'!BV10</f>
        <v>26000</v>
      </c>
      <c r="I26" s="838">
        <f>H26/B12</f>
        <v>23.111111111111111</v>
      </c>
      <c r="J26" s="839">
        <f>'Var 1.-16. Standjahr'!BX73</f>
        <v>46864.554029084909</v>
      </c>
      <c r="K26" s="8"/>
      <c r="L26" s="6"/>
    </row>
    <row r="27" spans="1:12" ht="15" x14ac:dyDescent="0.25">
      <c r="A27" s="832" t="s">
        <v>52</v>
      </c>
      <c r="B27" s="748">
        <v>12</v>
      </c>
      <c r="C27" s="833">
        <f>'Var 1.-16. Standjahr'!CE72</f>
        <v>-84502.018564978003</v>
      </c>
      <c r="D27" s="834">
        <f>'Var 1.-16. Standjahr'!CE12</f>
        <v>44156</v>
      </c>
      <c r="E27" s="834">
        <f>'Var 1.-16. Standjahr'!CE68</f>
        <v>41757.372712935052</v>
      </c>
      <c r="F27" s="834">
        <f t="shared" si="0"/>
        <v>2398.6272870649482</v>
      </c>
      <c r="G27" s="835">
        <f t="shared" si="1"/>
        <v>1.0574420067937351</v>
      </c>
      <c r="H27" s="837">
        <f>'Var 1.-16. Standjahr'!CC10</f>
        <v>26000</v>
      </c>
      <c r="I27" s="838">
        <f>H27/B12</f>
        <v>23.111111111111111</v>
      </c>
      <c r="J27" s="839">
        <f>'Var 1.-16. Standjahr'!CE73</f>
        <v>40169.617739215639</v>
      </c>
      <c r="K27" s="8"/>
      <c r="L27" s="6"/>
    </row>
    <row r="28" spans="1:12" ht="15" x14ac:dyDescent="0.25">
      <c r="A28" s="832" t="s">
        <v>53</v>
      </c>
      <c r="B28" s="840">
        <v>13</v>
      </c>
      <c r="C28" s="833">
        <f>'Var 1.-16. Standjahr'!CL72</f>
        <v>-82081.80363232948</v>
      </c>
      <c r="D28" s="834">
        <f>'Var 1.-16. Standjahr'!CL12</f>
        <v>44156</v>
      </c>
      <c r="E28" s="834">
        <f>'Var 1.-16. Standjahr'!CL68</f>
        <v>41735.785067351469</v>
      </c>
      <c r="F28" s="834">
        <f t="shared" si="0"/>
        <v>2420.2149326485305</v>
      </c>
      <c r="G28" s="835">
        <f t="shared" si="1"/>
        <v>1.0579889638769917</v>
      </c>
      <c r="H28" s="837">
        <f>'Var 1.-16. Standjahr'!CJ10</f>
        <v>26000</v>
      </c>
      <c r="I28" s="838">
        <f>H28/B12</f>
        <v>23.111111111111111</v>
      </c>
      <c r="J28" s="839">
        <f>'Var 1.-16. Standjahr'!CL73</f>
        <v>33474.681449346368</v>
      </c>
      <c r="K28" s="8"/>
      <c r="L28" s="6"/>
    </row>
    <row r="29" spans="1:12" ht="15" x14ac:dyDescent="0.25">
      <c r="A29" s="832" t="s">
        <v>54</v>
      </c>
      <c r="B29" s="748">
        <v>14</v>
      </c>
      <c r="C29" s="833">
        <f>'Var 1.-16. Standjahr'!CS72</f>
        <v>-79639.80676528711</v>
      </c>
      <c r="D29" s="834">
        <f>'Var 1.-16. Standjahr'!CS12</f>
        <v>44156</v>
      </c>
      <c r="E29" s="834">
        <f>'Var 1.-16. Standjahr'!CS68</f>
        <v>41714.00313295763</v>
      </c>
      <c r="F29" s="834">
        <f t="shared" si="0"/>
        <v>2441.9968670423696</v>
      </c>
      <c r="G29" s="835">
        <f t="shared" si="1"/>
        <v>1.0585414173571124</v>
      </c>
      <c r="H29" s="837">
        <f>'Var 1.-16. Standjahr'!CQ10</f>
        <v>26000</v>
      </c>
      <c r="I29" s="838">
        <f>H29/B12</f>
        <v>23.111111111111111</v>
      </c>
      <c r="J29" s="839">
        <f>'Var 1.-16. Standjahr'!CS73</f>
        <v>26779.745159477097</v>
      </c>
      <c r="K29" s="8"/>
      <c r="L29" s="6"/>
    </row>
    <row r="30" spans="1:12" ht="15" x14ac:dyDescent="0.25">
      <c r="A30" s="832" t="s">
        <v>55</v>
      </c>
      <c r="B30" s="748">
        <v>15</v>
      </c>
      <c r="C30" s="833">
        <f>'Var 1.-16. Standjahr'!CZ72</f>
        <v>-77175.831926441359</v>
      </c>
      <c r="D30" s="834">
        <f>'Var 1.-16. Standjahr'!CZ12</f>
        <v>44156</v>
      </c>
      <c r="E30" s="834">
        <f>'Var 1.-16. Standjahr'!CZ68</f>
        <v>41692.025161154248</v>
      </c>
      <c r="F30" s="834">
        <f t="shared" si="0"/>
        <v>2463.9748388457519</v>
      </c>
      <c r="G30" s="835">
        <f t="shared" si="1"/>
        <v>1.0590994279918433</v>
      </c>
      <c r="H30" s="837">
        <f>'Var 1.-16. Standjahr'!CX10</f>
        <v>26000</v>
      </c>
      <c r="I30" s="838">
        <f>H30/$B$12</f>
        <v>23.111111111111111</v>
      </c>
      <c r="J30" s="839">
        <f>'Var 1.-16. Standjahr'!CZ73</f>
        <v>20084.808869607827</v>
      </c>
      <c r="K30" s="8"/>
      <c r="L30" s="6"/>
    </row>
    <row r="31" spans="1:12" ht="15" x14ac:dyDescent="0.25">
      <c r="A31" s="847" t="s">
        <v>154</v>
      </c>
      <c r="B31" s="848">
        <v>16</v>
      </c>
      <c r="C31" s="849">
        <f>'Var 1.-16. Standjahr'!DG72</f>
        <v>-80689.681314046</v>
      </c>
      <c r="D31" s="850">
        <f>'Var 1.-16. Standjahr'!DG12</f>
        <v>44156</v>
      </c>
      <c r="E31" s="850">
        <f>'Var 1.-16. Standjahr'!DG68</f>
        <v>47669.849387604641</v>
      </c>
      <c r="F31" s="850">
        <f t="shared" si="0"/>
        <v>-3513.8493876046414</v>
      </c>
      <c r="G31" s="851">
        <f t="shared" si="1"/>
        <v>0.92628780177102199</v>
      </c>
      <c r="H31" s="850">
        <f>'Var 1.-16. Standjahr'!DE10</f>
        <v>26000</v>
      </c>
      <c r="I31" s="852">
        <f>H31/$B$12</f>
        <v>23.111111111111111</v>
      </c>
      <c r="J31" s="853">
        <f>'Var 1.-16. Standjahr'!DG73</f>
        <v>13389.872579738556</v>
      </c>
    </row>
    <row r="32" spans="1:12" ht="15" x14ac:dyDescent="0.2">
      <c r="A32" s="22" t="s">
        <v>198</v>
      </c>
      <c r="B32" s="22"/>
      <c r="C32" s="854"/>
      <c r="D32" s="855"/>
      <c r="E32" s="855"/>
      <c r="F32" s="855"/>
      <c r="G32" s="7"/>
    </row>
    <row r="34" spans="1:5" ht="25.5" customHeight="1" x14ac:dyDescent="0.3">
      <c r="A34" s="644" t="s">
        <v>163</v>
      </c>
      <c r="B34" s="867"/>
      <c r="C34" s="867"/>
      <c r="D34" s="868">
        <f>$C$31</f>
        <v>-80689.681314046</v>
      </c>
    </row>
    <row r="35" spans="1:5" ht="15.75" customHeight="1" x14ac:dyDescent="0.25">
      <c r="A35" s="869"/>
      <c r="B35" s="870"/>
      <c r="C35" s="790"/>
      <c r="D35" s="871"/>
    </row>
    <row r="36" spans="1:5" ht="22.5" customHeight="1" x14ac:dyDescent="0.25">
      <c r="A36" s="863" t="s">
        <v>81</v>
      </c>
      <c r="B36" s="645"/>
      <c r="C36" s="790"/>
      <c r="D36" s="872">
        <f>'Var Ertragsphase'!$F$70</f>
        <v>19.366005383183829</v>
      </c>
    </row>
    <row r="37" spans="1:5" ht="15" customHeight="1" x14ac:dyDescent="0.2">
      <c r="A37" s="64" t="s">
        <v>82</v>
      </c>
      <c r="B37" s="120"/>
      <c r="D37" s="16">
        <f>'Var Ertragsphase'!$D$59</f>
        <v>915</v>
      </c>
      <c r="E37" s="481"/>
    </row>
    <row r="38" spans="1:5" ht="15" customHeight="1" x14ac:dyDescent="0.2">
      <c r="A38" s="64" t="s">
        <v>83</v>
      </c>
      <c r="B38" s="64"/>
      <c r="D38" s="25">
        <f>2700/$D$37</f>
        <v>2.9508196721311477</v>
      </c>
      <c r="E38" s="862" t="s">
        <v>197</v>
      </c>
    </row>
    <row r="39" spans="1:5" ht="9.75" customHeight="1" x14ac:dyDescent="0.2"/>
    <row r="40" spans="1:5" ht="22.5" customHeight="1" x14ac:dyDescent="0.25">
      <c r="A40" s="863" t="s">
        <v>424</v>
      </c>
      <c r="B40" s="645"/>
      <c r="C40" s="790"/>
      <c r="D40" s="864"/>
    </row>
    <row r="41" spans="1:5" ht="15.75" x14ac:dyDescent="0.25">
      <c r="A41" s="645" t="s">
        <v>423</v>
      </c>
      <c r="B41" s="645" t="str">
        <f>'Var Vorgaben'!$B$14</f>
        <v>Tafelzwetschgen 33 mm</v>
      </c>
      <c r="C41" s="790"/>
      <c r="D41" s="864">
        <f>'Var Ertragsphase'!$F$79</f>
        <v>2.1223824477505242</v>
      </c>
    </row>
    <row r="42" spans="1:5" ht="15.75" x14ac:dyDescent="0.25">
      <c r="A42" s="790"/>
      <c r="B42" s="865" t="str">
        <f>'Var Vorgaben'!$C$14</f>
        <v>Sortierabgang</v>
      </c>
      <c r="C42" s="866"/>
      <c r="D42" s="864">
        <f>'Var Ertragsphase'!$F$80</f>
        <v>0</v>
      </c>
      <c r="E42" s="79"/>
    </row>
    <row r="44" spans="1:5" x14ac:dyDescent="0.2">
      <c r="C44" s="78"/>
      <c r="D44" s="78"/>
      <c r="E44" s="79"/>
    </row>
  </sheetData>
  <phoneticPr fontId="23" type="noConversion"/>
  <printOptions gridLines="1" gridLinesSet="0"/>
  <pageMargins left="0.78740157480314965" right="0.78740157480314965" top="0.59055118110236227" bottom="0.59055118110236227" header="0.51181102362204722" footer="0.51181102362204722"/>
  <pageSetup paperSize="9" scale="75" orientation="portrait" r:id="rId1"/>
  <headerFooter alignWithMargins="0">
    <oddFooter>&amp;L&amp;6Arbokost Zwetschgen 2005 - Variante&amp;C&amp;6&amp;A  &amp;D&amp;R&amp;6Matthias Zürcher, Yvonne Leuenberger</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vt:i4>
      </vt:variant>
    </vt:vector>
  </HeadingPairs>
  <TitlesOfParts>
    <vt:vector size="18" baseType="lpstr">
      <vt:lpstr>Varianten eingeben</vt:lpstr>
      <vt:lpstr>Var Vorgaben</vt:lpstr>
      <vt:lpstr>Var Hagel</vt:lpstr>
      <vt:lpstr>Var Regendach</vt:lpstr>
      <vt:lpstr>Var Bewässerung</vt:lpstr>
      <vt:lpstr>Var Erstellung</vt:lpstr>
      <vt:lpstr>Var 1.-16. Standjahr</vt:lpstr>
      <vt:lpstr>Var Ertragsphase</vt:lpstr>
      <vt:lpstr>Var Cashflow</vt:lpstr>
      <vt:lpstr>Standard Vorgaben</vt:lpstr>
      <vt:lpstr>Standard Hagel</vt:lpstr>
      <vt:lpstr>Standard Regendach</vt:lpstr>
      <vt:lpstr>Standard Bewässerung</vt:lpstr>
      <vt:lpstr>Standard Erstellung</vt:lpstr>
      <vt:lpstr>Standard 1.-16. Standjahr</vt:lpstr>
      <vt:lpstr>Standard Ertragsphase</vt:lpstr>
      <vt:lpstr>Standard Cashflow</vt:lpstr>
      <vt:lpstr>'Var Ertragsphase'!Druckbereich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Arbokost für Apfel</dc:title>
  <dc:subject>Entwicklung</dc:subject>
  <dc:creator>Obstbau</dc:creator>
  <cp:lastModifiedBy>Prevost Martina</cp:lastModifiedBy>
  <cp:lastPrinted>2010-02-23T10:17:23Z</cp:lastPrinted>
  <dcterms:created xsi:type="dcterms:W3CDTF">1999-04-12T09:35:11Z</dcterms:created>
  <dcterms:modified xsi:type="dcterms:W3CDTF">2024-12-10T10:54:18Z</dcterms:modified>
</cp:coreProperties>
</file>