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comments10.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O:\Data-Work\22_Plant_Production-CH\226.14_Ökonomie\01_Projekte\011_CH_Projekte\Arbokost\Endversionen_Internet\Arbokost_Internet_2023\Versionen_2023_ff\Deutsch\"/>
    </mc:Choice>
  </mc:AlternateContent>
  <bookViews>
    <workbookView xWindow="0" yWindow="0" windowWidth="19200" windowHeight="7050" tabRatio="932"/>
  </bookViews>
  <sheets>
    <sheet name="Eingabeseite" sheetId="22715" r:id="rId1"/>
    <sheet name="Var Vorgaben" sheetId="4" r:id="rId2"/>
    <sheet name="Var Erstellung" sheetId="22714" r:id="rId3"/>
    <sheet name="Var 1.-16. Standjahr" sheetId="22723" r:id="rId4"/>
    <sheet name="Var Ertragsphase" sheetId="22725" r:id="rId5"/>
    <sheet name="Var Cashflow" sheetId="22726" r:id="rId6"/>
    <sheet name="Standard Vorgaben" sheetId="16" r:id="rId7"/>
    <sheet name="Standard Erstellung" sheetId="1" r:id="rId8"/>
    <sheet name="Standard 1.-16. Standjahr" sheetId="2" r:id="rId9"/>
    <sheet name="Standard Ertragsphase" sheetId="3" r:id="rId10"/>
    <sheet name="Standard Cashflow" sheetId="5" r:id="rId11"/>
    <sheet name="Abbildung" sheetId="22727" r:id="rId12"/>
    <sheet name="Berechnungen" sheetId="22729" r:id="rId13"/>
    <sheet name="Daten_Psm" sheetId="22728" r:id="rId14"/>
  </sheets>
  <definedNames>
    <definedName name="_xlnm._FilterDatabase" localSheetId="13" hidden="1">Daten_Psm!$A$1:$O$150</definedName>
    <definedName name="Andere">Berechnungen!$G$6:$G$30</definedName>
    <definedName name="Andere_Auswahl">OFFSET(Andere,0,0,COUNTIF(Andere,"&gt; "),1)</definedName>
    <definedName name="Anzahl_Behandlungen">Berechnungen!$B$34:$B$64</definedName>
    <definedName name="Anzahl_Behandlungen2">Berechnungen!$C$34:$C$46</definedName>
    <definedName name="Behang">Berechnungen!$B$6:$B$30</definedName>
    <definedName name="Behang_Auswahl">OFFSET(Behang,0,0,COUNTIF(Behang,"&gt; "),1)</definedName>
    <definedName name="Duenger">Berechnungen!$C$6:$C$30</definedName>
    <definedName name="Duenger_Auswahl">OFFSET(Duenger,0,0,COUNTIF(Duenger,"&gt; "),1)</definedName>
    <definedName name="Fungizid">Berechnungen!$D$6:$D$30</definedName>
    <definedName name="Fungizid_Auswahl">OFFSET(Fungizid,0,0,COUNTIF(Fungizid,"&gt; "),1)</definedName>
    <definedName name="Herbizid">Berechnungen!$E$6:$E$30</definedName>
    <definedName name="Herbizid_Auswahl">OFFSET(Herbizid,0,0,COUNTIF(Herbizid,"&gt; "),1)</definedName>
    <definedName name="Insektizid">Berechnungen!$F$6:$F$30</definedName>
    <definedName name="Insektizid_Auswahl">OFFSET(Insektizid,0,0,COUNTIF(Insektizid,"&gt; "),1)</definedName>
  </definedNames>
  <calcPr calcId="162913"/>
</workbook>
</file>

<file path=xl/calcChain.xml><?xml version="1.0" encoding="utf-8"?>
<calcChain xmlns="http://schemas.openxmlformats.org/spreadsheetml/2006/main">
  <c r="F75" i="3" l="1"/>
  <c r="B137" i="22725"/>
  <c r="E83" i="22725"/>
  <c r="F83" i="22725"/>
  <c r="F75" i="22725"/>
  <c r="H176" i="22715"/>
  <c r="B137" i="3"/>
  <c r="F35" i="3" l="1"/>
  <c r="G34" i="22725"/>
  <c r="F35" i="22725"/>
  <c r="F65" i="22725"/>
  <c r="DH26" i="22723"/>
  <c r="DA26" i="22723"/>
  <c r="CT26" i="22723"/>
  <c r="CM26" i="22723"/>
  <c r="BY26" i="22723"/>
  <c r="BQ27" i="22723"/>
  <c r="AI28" i="22723"/>
  <c r="AB26" i="22723"/>
  <c r="U26" i="22723"/>
  <c r="U27" i="22723"/>
  <c r="G26" i="22723"/>
  <c r="AB37" i="22723"/>
  <c r="U37" i="22723"/>
  <c r="N37" i="22723"/>
  <c r="G37" i="22723"/>
  <c r="G36" i="22723"/>
  <c r="G35" i="22723"/>
  <c r="G34" i="22723"/>
  <c r="G33" i="22723"/>
  <c r="G28" i="22723"/>
  <c r="G19" i="22723"/>
  <c r="D25" i="22714" l="1"/>
  <c r="E29" i="1"/>
  <c r="E26" i="22714"/>
  <c r="M13" i="22723"/>
  <c r="M38" i="22723"/>
  <c r="E110" i="1"/>
  <c r="E109" i="1"/>
  <c r="E113" i="1"/>
  <c r="F117" i="1"/>
  <c r="D151" i="1"/>
  <c r="D155" i="1"/>
  <c r="F155" i="1"/>
  <c r="F154" i="1"/>
  <c r="F153" i="1"/>
  <c r="F142" i="1"/>
  <c r="F141" i="1"/>
  <c r="F140" i="1"/>
  <c r="F139" i="1"/>
  <c r="F130" i="1"/>
  <c r="F127" i="1"/>
  <c r="E116" i="1"/>
  <c r="E115" i="1"/>
  <c r="E114" i="1"/>
  <c r="F99" i="1"/>
  <c r="F141" i="22714"/>
  <c r="F140" i="22714"/>
  <c r="F139" i="22714"/>
  <c r="E116" i="22714"/>
  <c r="E115" i="22714"/>
  <c r="E114" i="22714"/>
  <c r="E113" i="22714"/>
  <c r="E110" i="22714"/>
  <c r="E109" i="22714"/>
  <c r="F100" i="1"/>
  <c r="E98" i="1"/>
  <c r="E97" i="1"/>
  <c r="E96" i="1"/>
  <c r="E95" i="1"/>
  <c r="E94" i="1"/>
  <c r="E91" i="1"/>
  <c r="E90" i="1"/>
  <c r="E89" i="1"/>
  <c r="E88" i="1"/>
  <c r="E87" i="1"/>
  <c r="F99" i="22714"/>
  <c r="E98" i="22714"/>
  <c r="E97" i="22714"/>
  <c r="E96" i="22714"/>
  <c r="E95" i="22714"/>
  <c r="E94" i="22714"/>
  <c r="E91" i="22714"/>
  <c r="D63" i="1"/>
  <c r="D62" i="1"/>
  <c r="D61" i="1"/>
  <c r="D60" i="1"/>
  <c r="D59" i="1"/>
  <c r="D58" i="1"/>
  <c r="D57" i="1"/>
  <c r="D21" i="1"/>
  <c r="D21" i="22714"/>
  <c r="E90" i="22714"/>
  <c r="E89" i="22714"/>
  <c r="E88" i="22714"/>
  <c r="E87" i="22714"/>
  <c r="D63" i="22714"/>
  <c r="D62" i="22714"/>
  <c r="D61" i="22714"/>
  <c r="D60" i="22714"/>
  <c r="D59" i="22714"/>
  <c r="D58" i="22714"/>
  <c r="D57" i="22714"/>
  <c r="D126" i="4" l="1"/>
  <c r="F17" i="3" l="1"/>
  <c r="DF18" i="22723"/>
  <c r="DE18" i="22723"/>
  <c r="DD18" i="22723"/>
  <c r="DC18" i="22723"/>
  <c r="CX18" i="22723"/>
  <c r="CZ18" i="22723" s="1"/>
  <c r="CW18" i="22723"/>
  <c r="CV18" i="22723"/>
  <c r="CQ18" i="22723"/>
  <c r="CS18" i="22723" s="1"/>
  <c r="CP18" i="22723"/>
  <c r="CO18" i="22723"/>
  <c r="CK18" i="22723"/>
  <c r="CJ18" i="22723"/>
  <c r="CL18" i="22723" s="1"/>
  <c r="CI18" i="22723"/>
  <c r="CH18" i="22723"/>
  <c r="CC18" i="22723"/>
  <c r="CE18" i="22723" s="1"/>
  <c r="CB18" i="22723"/>
  <c r="CA18" i="22723"/>
  <c r="BV18" i="22723"/>
  <c r="BX18" i="22723" s="1"/>
  <c r="BU18" i="22723"/>
  <c r="BT18" i="22723"/>
  <c r="BP18" i="22723"/>
  <c r="BO18" i="22723"/>
  <c r="BQ18" i="22723" s="1"/>
  <c r="BN18" i="22723"/>
  <c r="BM18" i="22723"/>
  <c r="BH18" i="22723"/>
  <c r="BJ18" i="22723" s="1"/>
  <c r="BG18" i="22723"/>
  <c r="BF18" i="22723"/>
  <c r="BA18" i="22723"/>
  <c r="BC18" i="22723" s="1"/>
  <c r="AZ18" i="22723"/>
  <c r="AY18" i="22723"/>
  <c r="AU18" i="22723"/>
  <c r="AT18" i="22723"/>
  <c r="AV18" i="22723" s="1"/>
  <c r="AS18" i="22723"/>
  <c r="AR18" i="22723"/>
  <c r="AM18" i="22723"/>
  <c r="AO18" i="22723" s="1"/>
  <c r="AK18" i="22723"/>
  <c r="X18" i="22723"/>
  <c r="AF18" i="22723"/>
  <c r="AH18" i="22723" s="1"/>
  <c r="AD18" i="22723"/>
  <c r="Z18" i="22723"/>
  <c r="Y18" i="22723"/>
  <c r="AA18" i="22723" s="1"/>
  <c r="W18" i="22723"/>
  <c r="X19" i="2"/>
  <c r="X43" i="2"/>
  <c r="E12" i="2"/>
  <c r="Q42" i="2"/>
  <c r="Q41" i="2"/>
  <c r="X42" i="2"/>
  <c r="X41" i="2"/>
  <c r="J42" i="2"/>
  <c r="J41" i="2"/>
  <c r="C42" i="2"/>
  <c r="C41" i="2"/>
  <c r="AE42" i="2"/>
  <c r="AE41" i="2"/>
  <c r="AL42" i="2"/>
  <c r="AL41" i="2"/>
  <c r="AS42" i="2"/>
  <c r="AS41" i="2"/>
  <c r="AZ42" i="2"/>
  <c r="AZ41" i="2"/>
  <c r="BG42" i="2"/>
  <c r="BG41" i="2"/>
  <c r="BN42" i="2"/>
  <c r="BN41" i="2"/>
  <c r="BU42" i="2"/>
  <c r="BU41" i="2"/>
  <c r="CB42" i="2"/>
  <c r="CB41" i="2"/>
  <c r="CI42" i="2"/>
  <c r="CI41" i="2"/>
  <c r="CP42" i="2"/>
  <c r="CP41" i="2"/>
  <c r="CW42" i="2"/>
  <c r="CW41" i="2"/>
  <c r="DD42" i="2"/>
  <c r="DD41" i="2"/>
  <c r="C39" i="3"/>
  <c r="C38" i="3"/>
  <c r="F22" i="3"/>
  <c r="A22" i="3"/>
  <c r="F21" i="3"/>
  <c r="A21" i="3"/>
  <c r="F20" i="3"/>
  <c r="A20" i="3"/>
  <c r="F19" i="3"/>
  <c r="A19" i="3"/>
  <c r="F18" i="3"/>
  <c r="F23" i="3" s="1"/>
  <c r="B30" i="22715" s="1"/>
  <c r="A18" i="3"/>
  <c r="DG25" i="2"/>
  <c r="DB25" i="2"/>
  <c r="DG24" i="2"/>
  <c r="DB24" i="2"/>
  <c r="DG23" i="2"/>
  <c r="DB23" i="2"/>
  <c r="DG22" i="2"/>
  <c r="DB22" i="2"/>
  <c r="DG21" i="2"/>
  <c r="DG26" i="2" s="1"/>
  <c r="DB21" i="2"/>
  <c r="CZ25" i="2"/>
  <c r="CU25" i="2"/>
  <c r="CZ24" i="2"/>
  <c r="CU24" i="2"/>
  <c r="CZ23" i="2"/>
  <c r="CU23" i="2"/>
  <c r="CZ22" i="2"/>
  <c r="CU22" i="2"/>
  <c r="CZ21" i="2"/>
  <c r="CZ26" i="2" s="1"/>
  <c r="CU21" i="2"/>
  <c r="CS25" i="2"/>
  <c r="CN25" i="2"/>
  <c r="CS24" i="2"/>
  <c r="CN24" i="2"/>
  <c r="CS23" i="2"/>
  <c r="CN23" i="2"/>
  <c r="CS22" i="2"/>
  <c r="CN22" i="2"/>
  <c r="CS21" i="2"/>
  <c r="CS26" i="2" s="1"/>
  <c r="CN21" i="2"/>
  <c r="CL25" i="2"/>
  <c r="CG25" i="2"/>
  <c r="CL24" i="2"/>
  <c r="CG24" i="2"/>
  <c r="CL23" i="2"/>
  <c r="CG23" i="2"/>
  <c r="CL22" i="2"/>
  <c r="CG22" i="2"/>
  <c r="CL21" i="2"/>
  <c r="CL26" i="2" s="1"/>
  <c r="CG21" i="2"/>
  <c r="CE25" i="2"/>
  <c r="BZ25" i="2"/>
  <c r="CE24" i="2"/>
  <c r="BZ24" i="2"/>
  <c r="CE23" i="2"/>
  <c r="BZ23" i="2"/>
  <c r="CE22" i="2"/>
  <c r="BZ22" i="2"/>
  <c r="CE21" i="2"/>
  <c r="CE26" i="2" s="1"/>
  <c r="BZ21" i="2"/>
  <c r="BX25" i="2"/>
  <c r="BS25" i="2"/>
  <c r="BX24" i="2"/>
  <c r="BS24" i="2"/>
  <c r="BX23" i="2"/>
  <c r="BS23" i="2"/>
  <c r="BX22" i="2"/>
  <c r="BS22" i="2"/>
  <c r="BX21" i="2"/>
  <c r="BX26" i="2" s="1"/>
  <c r="BS21" i="2"/>
  <c r="BQ25" i="2"/>
  <c r="BL25" i="2"/>
  <c r="BQ24" i="2"/>
  <c r="BL24" i="2"/>
  <c r="BQ23" i="2"/>
  <c r="BL23" i="2"/>
  <c r="BQ22" i="2"/>
  <c r="BL22" i="2"/>
  <c r="BQ21" i="2"/>
  <c r="BQ26" i="2" s="1"/>
  <c r="BL21" i="2"/>
  <c r="BJ25" i="2"/>
  <c r="BE25" i="2"/>
  <c r="BJ24" i="2"/>
  <c r="BE24" i="2"/>
  <c r="BJ23" i="2"/>
  <c r="BE23" i="2"/>
  <c r="BJ22" i="2"/>
  <c r="BE22" i="2"/>
  <c r="BJ21" i="2"/>
  <c r="BJ26" i="2" s="1"/>
  <c r="BE21" i="2"/>
  <c r="BC25" i="2"/>
  <c r="AX25" i="2"/>
  <c r="BC24" i="2"/>
  <c r="AX24" i="2"/>
  <c r="BC23" i="2"/>
  <c r="AX23" i="2"/>
  <c r="BC22" i="2"/>
  <c r="AX22" i="2"/>
  <c r="BC21" i="2"/>
  <c r="BC26" i="2" s="1"/>
  <c r="AX21" i="2"/>
  <c r="AV25" i="2"/>
  <c r="AQ25" i="2"/>
  <c r="AV24" i="2"/>
  <c r="AQ24" i="2"/>
  <c r="AV23" i="2"/>
  <c r="AQ23" i="2"/>
  <c r="AV22" i="2"/>
  <c r="AQ22" i="2"/>
  <c r="AV21" i="2"/>
  <c r="AV26" i="2" s="1"/>
  <c r="AQ21" i="2"/>
  <c r="AO25" i="2"/>
  <c r="AJ25" i="2"/>
  <c r="AO24" i="2"/>
  <c r="AJ24" i="2"/>
  <c r="AO23" i="2"/>
  <c r="AJ23" i="2"/>
  <c r="AO22" i="2"/>
  <c r="AJ22" i="2"/>
  <c r="AO21" i="2"/>
  <c r="AO26" i="2" s="1"/>
  <c r="AJ21" i="2"/>
  <c r="AH25" i="2"/>
  <c r="AC25" i="2"/>
  <c r="AH24" i="2"/>
  <c r="AC24" i="2"/>
  <c r="AH23" i="2"/>
  <c r="AC23" i="2"/>
  <c r="AH22" i="2"/>
  <c r="AC22" i="2"/>
  <c r="AH21" i="2"/>
  <c r="AH26" i="2" s="1"/>
  <c r="AC21" i="2"/>
  <c r="AA25" i="2"/>
  <c r="V25" i="2"/>
  <c r="AA24" i="2"/>
  <c r="V24" i="2"/>
  <c r="AA23" i="2"/>
  <c r="V23" i="2"/>
  <c r="AA22" i="2"/>
  <c r="V22" i="2"/>
  <c r="AA21" i="2"/>
  <c r="AA26" i="2" s="1"/>
  <c r="V21" i="2"/>
  <c r="T25" i="2"/>
  <c r="T26" i="2" s="1"/>
  <c r="T24" i="2"/>
  <c r="T23" i="2"/>
  <c r="T22" i="2"/>
  <c r="T21" i="2"/>
  <c r="O25" i="2"/>
  <c r="O24" i="2"/>
  <c r="O23" i="2"/>
  <c r="O22" i="2"/>
  <c r="O21" i="2"/>
  <c r="M25" i="2"/>
  <c r="M24" i="2"/>
  <c r="M23" i="2"/>
  <c r="M22" i="2"/>
  <c r="M21" i="2"/>
  <c r="H25" i="2"/>
  <c r="H24" i="2"/>
  <c r="H23" i="2"/>
  <c r="H22" i="2"/>
  <c r="M26" i="2"/>
  <c r="H21" i="2"/>
  <c r="A25" i="2"/>
  <c r="A24" i="2"/>
  <c r="A23" i="2"/>
  <c r="A22" i="2"/>
  <c r="A21" i="2"/>
  <c r="F26" i="2"/>
  <c r="F27" i="2"/>
  <c r="F22" i="2"/>
  <c r="F23" i="2"/>
  <c r="F24" i="2"/>
  <c r="F25" i="2"/>
  <c r="F21" i="2"/>
  <c r="J41" i="22723"/>
  <c r="J40" i="22723"/>
  <c r="C41" i="22723"/>
  <c r="C40" i="22723"/>
  <c r="Q41" i="22723"/>
  <c r="Q40" i="22723"/>
  <c r="X41" i="22723"/>
  <c r="X40" i="22723"/>
  <c r="AE41" i="22723"/>
  <c r="AE40" i="22723"/>
  <c r="AL41" i="22723"/>
  <c r="AL40" i="22723"/>
  <c r="AS41" i="22723"/>
  <c r="AS40" i="22723"/>
  <c r="AZ41" i="22723"/>
  <c r="AZ40" i="22723"/>
  <c r="BG41" i="22723"/>
  <c r="BG40" i="22723"/>
  <c r="BN41" i="22723"/>
  <c r="BN40" i="22723"/>
  <c r="BU41" i="22723"/>
  <c r="BU40" i="22723"/>
  <c r="CB41" i="22723"/>
  <c r="CB40" i="22723"/>
  <c r="CI41" i="22723"/>
  <c r="CI40" i="22723"/>
  <c r="CP41" i="22723"/>
  <c r="CP40" i="22723"/>
  <c r="CW41" i="22723"/>
  <c r="CW40" i="22723"/>
  <c r="DD41" i="22723"/>
  <c r="DD40" i="22723"/>
  <c r="C39" i="22725"/>
  <c r="C38" i="22725"/>
  <c r="A22" i="22725"/>
  <c r="A21" i="22725"/>
  <c r="A20" i="22725"/>
  <c r="A19" i="22725"/>
  <c r="A18" i="22725"/>
  <c r="DB25" i="22723"/>
  <c r="DB24" i="22723"/>
  <c r="DB23" i="22723"/>
  <c r="DB22" i="22723"/>
  <c r="DB21" i="22723"/>
  <c r="CU25" i="22723"/>
  <c r="CU24" i="22723"/>
  <c r="CU23" i="22723"/>
  <c r="CU22" i="22723"/>
  <c r="CU21" i="22723"/>
  <c r="CN25" i="22723"/>
  <c r="CN24" i="22723"/>
  <c r="CN23" i="22723"/>
  <c r="CN22" i="22723"/>
  <c r="CN21" i="22723"/>
  <c r="CG25" i="22723"/>
  <c r="CG24" i="22723"/>
  <c r="CG23" i="22723"/>
  <c r="CG22" i="22723"/>
  <c r="CG21" i="22723"/>
  <c r="BZ25" i="22723"/>
  <c r="BZ24" i="22723"/>
  <c r="BZ23" i="22723"/>
  <c r="BZ22" i="22723"/>
  <c r="BZ21" i="22723"/>
  <c r="BS25" i="22723"/>
  <c r="BS24" i="22723"/>
  <c r="BS23" i="22723"/>
  <c r="BS22" i="22723"/>
  <c r="BS21" i="22723"/>
  <c r="BL25" i="22723"/>
  <c r="BL24" i="22723"/>
  <c r="BL23" i="22723"/>
  <c r="BL22" i="22723"/>
  <c r="BL21" i="22723"/>
  <c r="BE25" i="22723"/>
  <c r="BE24" i="22723"/>
  <c r="BE23" i="22723"/>
  <c r="BE22" i="22723"/>
  <c r="BE21" i="22723"/>
  <c r="AX25" i="22723"/>
  <c r="AX24" i="22723"/>
  <c r="AX23" i="22723"/>
  <c r="AX22" i="22723"/>
  <c r="AX21" i="22723"/>
  <c r="AQ25" i="22723"/>
  <c r="AQ24" i="22723"/>
  <c r="AQ23" i="22723"/>
  <c r="AQ22" i="22723"/>
  <c r="AQ21" i="22723"/>
  <c r="AJ25" i="22723"/>
  <c r="AJ24" i="22723"/>
  <c r="AJ23" i="22723"/>
  <c r="AJ22" i="22723"/>
  <c r="AJ21" i="22723"/>
  <c r="AC25" i="22723"/>
  <c r="AC24" i="22723"/>
  <c r="AC23" i="22723"/>
  <c r="AC22" i="22723"/>
  <c r="AC21" i="22723"/>
  <c r="V25" i="22723"/>
  <c r="V24" i="22723"/>
  <c r="V23" i="22723"/>
  <c r="V22" i="22723"/>
  <c r="V21" i="22723"/>
  <c r="O25" i="22723"/>
  <c r="O24" i="22723"/>
  <c r="O23" i="22723"/>
  <c r="O22" i="22723"/>
  <c r="O21" i="22723"/>
  <c r="H25" i="22723"/>
  <c r="H24" i="22723"/>
  <c r="H23" i="22723"/>
  <c r="H22" i="22723"/>
  <c r="H21" i="22723"/>
  <c r="F28" i="22723"/>
  <c r="A25" i="22723"/>
  <c r="A24" i="22723"/>
  <c r="A23" i="22723"/>
  <c r="A22" i="22723"/>
  <c r="A21" i="22723"/>
  <c r="D134" i="4" l="1"/>
  <c r="D141" i="4"/>
  <c r="L32" i="2" l="1"/>
  <c r="D44" i="3"/>
  <c r="W47" i="2"/>
  <c r="AD47" i="2" s="1"/>
  <c r="AK47" i="2" s="1"/>
  <c r="AR47" i="2" s="1"/>
  <c r="AY47" i="2" s="1"/>
  <c r="BF47" i="2" s="1"/>
  <c r="BM47" i="2" s="1"/>
  <c r="BT47" i="2" s="1"/>
  <c r="CA47" i="2" s="1"/>
  <c r="CH47" i="2" s="1"/>
  <c r="CO47" i="2" s="1"/>
  <c r="CV47" i="2" s="1"/>
  <c r="DC47" i="2" s="1"/>
  <c r="R47" i="2"/>
  <c r="DE47" i="2" s="1"/>
  <c r="R46" i="22723"/>
  <c r="D44" i="22725"/>
  <c r="DE46" i="22723"/>
  <c r="DC46" i="22723"/>
  <c r="CX46" i="22723"/>
  <c r="CV46" i="22723"/>
  <c r="CQ46" i="22723"/>
  <c r="CO46" i="22723"/>
  <c r="CJ46" i="22723"/>
  <c r="CH46" i="22723"/>
  <c r="CC46" i="22723"/>
  <c r="CA46" i="22723"/>
  <c r="BV46" i="22723"/>
  <c r="BT46" i="22723"/>
  <c r="BO46" i="22723"/>
  <c r="BM46" i="22723"/>
  <c r="BH46" i="22723"/>
  <c r="BF46" i="22723"/>
  <c r="BA46" i="22723"/>
  <c r="AY46" i="22723"/>
  <c r="AT46" i="22723"/>
  <c r="AR46" i="22723"/>
  <c r="AM46" i="22723"/>
  <c r="AK46" i="22723"/>
  <c r="AF46" i="22723"/>
  <c r="Y46" i="22723"/>
  <c r="AD46" i="22723"/>
  <c r="D128" i="1"/>
  <c r="D128" i="22714"/>
  <c r="B128" i="1"/>
  <c r="B128" i="22714"/>
  <c r="D120" i="22714"/>
  <c r="D136" i="4"/>
  <c r="Y47" i="2" l="1"/>
  <c r="AF47" i="2"/>
  <c r="AM47" i="2"/>
  <c r="AT47" i="2"/>
  <c r="BA47" i="2"/>
  <c r="BH47" i="2"/>
  <c r="BO47" i="2"/>
  <c r="BV47" i="2"/>
  <c r="CC47" i="2"/>
  <c r="CJ47" i="2"/>
  <c r="CQ47" i="2"/>
  <c r="CX47" i="2"/>
  <c r="DF39" i="2"/>
  <c r="CY39" i="2"/>
  <c r="CR39" i="2"/>
  <c r="CK39" i="2"/>
  <c r="CD39" i="2"/>
  <c r="BW39" i="2"/>
  <c r="BP39" i="2"/>
  <c r="BI39" i="2"/>
  <c r="BB39" i="2"/>
  <c r="AU39" i="2"/>
  <c r="AN39" i="2"/>
  <c r="AG39" i="2"/>
  <c r="Z39" i="2"/>
  <c r="L39" i="2"/>
  <c r="S39" i="2" s="1"/>
  <c r="DF38" i="22723"/>
  <c r="CY38" i="22723"/>
  <c r="CR38" i="22723"/>
  <c r="CK38" i="22723"/>
  <c r="CD38" i="22723"/>
  <c r="BW38" i="22723"/>
  <c r="BP38" i="22723"/>
  <c r="BI38" i="22723"/>
  <c r="BB38" i="22723"/>
  <c r="AU38" i="22723"/>
  <c r="AN38" i="22723"/>
  <c r="AG38" i="22723"/>
  <c r="Z38" i="22723"/>
  <c r="S38" i="22723"/>
  <c r="L38" i="22723"/>
  <c r="F110" i="1"/>
  <c r="D109" i="1"/>
  <c r="F109" i="1" s="1"/>
  <c r="D109" i="22714"/>
  <c r="F110" i="22714"/>
  <c r="F112" i="1" l="1"/>
  <c r="F122" i="1" s="1"/>
  <c r="M39" i="2"/>
  <c r="F34" i="3"/>
  <c r="A34" i="3"/>
  <c r="DG37" i="2"/>
  <c r="DB37" i="2"/>
  <c r="CZ37" i="2"/>
  <c r="CU37" i="2"/>
  <c r="CS37" i="2"/>
  <c r="CN37" i="2"/>
  <c r="CL37" i="2"/>
  <c r="CG37" i="2"/>
  <c r="CE37" i="2"/>
  <c r="BZ37" i="2"/>
  <c r="BX37" i="2"/>
  <c r="BS37" i="2"/>
  <c r="BQ37" i="2"/>
  <c r="BL37" i="2"/>
  <c r="BJ37" i="2"/>
  <c r="BE37" i="2"/>
  <c r="BC37" i="2"/>
  <c r="AX37" i="2"/>
  <c r="AV37" i="2"/>
  <c r="AQ37" i="2"/>
  <c r="AO37" i="2"/>
  <c r="AJ37" i="2"/>
  <c r="AH37" i="2"/>
  <c r="AC37" i="2"/>
  <c r="V37" i="2"/>
  <c r="O37" i="2"/>
  <c r="H37" i="2"/>
  <c r="A37" i="2"/>
  <c r="F34" i="22725"/>
  <c r="A34" i="22725"/>
  <c r="DG36" i="22723" l="1"/>
  <c r="DB36" i="22723"/>
  <c r="CZ36" i="22723"/>
  <c r="CU36" i="22723"/>
  <c r="CS36" i="22723"/>
  <c r="CN36" i="22723"/>
  <c r="CL36" i="22723"/>
  <c r="CG36" i="22723"/>
  <c r="CE36" i="22723"/>
  <c r="BZ36" i="22723"/>
  <c r="BX36" i="22723"/>
  <c r="BS36" i="22723"/>
  <c r="BQ36" i="22723"/>
  <c r="BL36" i="22723"/>
  <c r="BJ36" i="22723"/>
  <c r="BE36" i="22723"/>
  <c r="BC36" i="22723"/>
  <c r="AX36" i="22723"/>
  <c r="AV36" i="22723"/>
  <c r="AQ36" i="22723"/>
  <c r="AO36" i="22723"/>
  <c r="AJ36" i="22723"/>
  <c r="AH36" i="22723"/>
  <c r="AC36" i="22723"/>
  <c r="V36" i="22723"/>
  <c r="O36" i="22723"/>
  <c r="H36" i="22723"/>
  <c r="A36" i="22723"/>
  <c r="Z18" i="2" l="1"/>
  <c r="CK18" i="2" s="1"/>
  <c r="Y18" i="2"/>
  <c r="X18" i="2"/>
  <c r="CI18" i="2" s="1"/>
  <c r="W18" i="2"/>
  <c r="CH18" i="2" s="1"/>
  <c r="D150" i="4"/>
  <c r="B40" i="16"/>
  <c r="C40" i="16"/>
  <c r="D40" i="16"/>
  <c r="E40" i="16"/>
  <c r="B63" i="16"/>
  <c r="AA18" i="2" l="1"/>
  <c r="AT18" i="2"/>
  <c r="BO18" i="2"/>
  <c r="CJ18" i="2"/>
  <c r="CL18" i="2" s="1"/>
  <c r="AU18" i="2"/>
  <c r="BP18" i="2"/>
  <c r="AR18" i="2"/>
  <c r="BM18" i="2"/>
  <c r="AS18" i="2"/>
  <c r="BN18" i="2"/>
  <c r="D131" i="16"/>
  <c r="BQ18" i="2" l="1"/>
  <c r="AV18" i="2"/>
  <c r="F24" i="22725"/>
  <c r="H11" i="22728"/>
  <c r="F25" i="22725" l="1"/>
  <c r="I15" i="22728" l="1"/>
  <c r="I11" i="22728"/>
  <c r="I10" i="22728"/>
  <c r="G6" i="22729" l="1" a="1"/>
  <c r="G6" i="22729" s="1"/>
  <c r="F6" i="22729" a="1"/>
  <c r="F6" i="22729" s="1"/>
  <c r="F7" i="22729" s="1" a="1"/>
  <c r="F7" i="22729" s="1"/>
  <c r="E6" i="22729" a="1"/>
  <c r="E6" i="22729" s="1"/>
  <c r="D6" i="22729" a="1"/>
  <c r="D6" i="22729" s="1"/>
  <c r="C6" i="22729" a="1"/>
  <c r="C6" i="22729" s="1"/>
  <c r="B6" i="22729" a="1"/>
  <c r="B6" i="22729" s="1"/>
  <c r="B7" i="22729" s="1" a="1"/>
  <c r="B7" i="22729" s="1"/>
  <c r="J216" i="22715"/>
  <c r="J214" i="22715"/>
  <c r="H214" i="22715"/>
  <c r="DG31" i="2"/>
  <c r="CZ31" i="2"/>
  <c r="CS31" i="2"/>
  <c r="CL31" i="2"/>
  <c r="CE31" i="2"/>
  <c r="BX31" i="2"/>
  <c r="BQ31" i="2"/>
  <c r="BJ31" i="2"/>
  <c r="BC31" i="2"/>
  <c r="AV31" i="2"/>
  <c r="AO31" i="2"/>
  <c r="AH31" i="2"/>
  <c r="AA31" i="2"/>
  <c r="T31" i="2"/>
  <c r="M31" i="2"/>
  <c r="F31" i="2"/>
  <c r="DG30" i="22723"/>
  <c r="CZ30" i="22723"/>
  <c r="CS30" i="22723"/>
  <c r="CL30" i="22723"/>
  <c r="BX30" i="22723"/>
  <c r="BQ30" i="22723"/>
  <c r="BJ30" i="22723"/>
  <c r="BC30" i="22723"/>
  <c r="AV30" i="22723"/>
  <c r="AO30" i="22723"/>
  <c r="AH30" i="22723"/>
  <c r="AA30" i="22723"/>
  <c r="T30" i="22723"/>
  <c r="M30" i="22723"/>
  <c r="F30" i="22723"/>
  <c r="F25" i="3"/>
  <c r="E104" i="22714"/>
  <c r="E120" i="22714" s="1"/>
  <c r="DF47" i="2"/>
  <c r="CY47" i="2"/>
  <c r="CR47" i="2"/>
  <c r="CK47" i="2"/>
  <c r="CD47" i="2"/>
  <c r="BW47" i="2"/>
  <c r="BP47" i="2"/>
  <c r="BI47" i="2"/>
  <c r="BB47" i="2"/>
  <c r="BC47" i="2" s="1"/>
  <c r="AU47" i="2"/>
  <c r="AN47" i="2"/>
  <c r="AG47" i="2"/>
  <c r="Z47" i="2"/>
  <c r="S47" i="2"/>
  <c r="E104" i="1"/>
  <c r="E120" i="1" s="1"/>
  <c r="E44" i="3"/>
  <c r="D132" i="16"/>
  <c r="D133" i="16"/>
  <c r="E43" i="2" s="1"/>
  <c r="D134" i="16"/>
  <c r="D137" i="16"/>
  <c r="I135" i="4"/>
  <c r="D135" i="4" s="1"/>
  <c r="D142" i="4"/>
  <c r="DF33" i="2"/>
  <c r="DC33" i="2"/>
  <c r="CY33" i="2"/>
  <c r="CV33" i="2"/>
  <c r="CR33" i="2"/>
  <c r="CO33" i="2"/>
  <c r="CK33" i="2"/>
  <c r="CH33" i="2"/>
  <c r="CD33" i="2"/>
  <c r="CA33" i="2"/>
  <c r="BW33" i="2"/>
  <c r="BT33" i="2"/>
  <c r="BP33" i="2"/>
  <c r="BM33" i="2"/>
  <c r="BI33" i="2"/>
  <c r="BF33" i="2"/>
  <c r="BB33" i="2"/>
  <c r="AY33" i="2"/>
  <c r="AU33" i="2"/>
  <c r="AR33" i="2"/>
  <c r="AN33" i="2"/>
  <c r="AK33" i="2"/>
  <c r="AG33" i="2"/>
  <c r="AD33" i="2"/>
  <c r="Z33" i="2"/>
  <c r="W33" i="2"/>
  <c r="S33" i="2"/>
  <c r="P33" i="2"/>
  <c r="L33" i="2"/>
  <c r="I33" i="2"/>
  <c r="DB31" i="2"/>
  <c r="CU31" i="2"/>
  <c r="CN31" i="2"/>
  <c r="CG31" i="2"/>
  <c r="BZ31" i="2"/>
  <c r="BS31" i="2"/>
  <c r="BL31" i="2"/>
  <c r="BE31" i="2"/>
  <c r="AX31" i="2"/>
  <c r="AQ31" i="2"/>
  <c r="AJ31" i="2"/>
  <c r="AC31" i="2"/>
  <c r="V31" i="2"/>
  <c r="O31" i="2"/>
  <c r="H31" i="2"/>
  <c r="E33" i="2"/>
  <c r="B33" i="2"/>
  <c r="E27" i="3"/>
  <c r="B27" i="3"/>
  <c r="B27" i="22725"/>
  <c r="DC32" i="22723"/>
  <c r="CV32" i="22723"/>
  <c r="CO32" i="22723"/>
  <c r="CH32" i="22723"/>
  <c r="CA32" i="22723"/>
  <c r="BT32" i="22723"/>
  <c r="BM32" i="22723"/>
  <c r="BF32" i="22723"/>
  <c r="AY32" i="22723"/>
  <c r="AR32" i="22723"/>
  <c r="AK32" i="22723"/>
  <c r="AD32" i="22723"/>
  <c r="W32" i="22723"/>
  <c r="P32" i="22723"/>
  <c r="I32" i="22723"/>
  <c r="B32" i="22723"/>
  <c r="H30" i="22723"/>
  <c r="V30" i="22723" s="1"/>
  <c r="G34" i="4"/>
  <c r="AG32" i="22723" s="1"/>
  <c r="B19" i="22715"/>
  <c r="C19" i="22715" s="1"/>
  <c r="F16" i="22714"/>
  <c r="B10" i="4" s="1"/>
  <c r="B2" i="22714" s="1"/>
  <c r="B5" i="22723" s="1"/>
  <c r="D143" i="16"/>
  <c r="D32" i="1" s="1"/>
  <c r="C32" i="16"/>
  <c r="C25" i="1"/>
  <c r="D25" i="1"/>
  <c r="B25" i="1"/>
  <c r="C25" i="22714"/>
  <c r="B25" i="22714"/>
  <c r="A12" i="22715"/>
  <c r="A13" i="22715"/>
  <c r="A14" i="22715"/>
  <c r="A15" i="22715"/>
  <c r="DC75" i="2"/>
  <c r="B34" i="22715"/>
  <c r="C34" i="22715" s="1"/>
  <c r="AS34" i="22723" s="1"/>
  <c r="S34" i="22723"/>
  <c r="B64" i="4"/>
  <c r="B79" i="4" s="1"/>
  <c r="DH8" i="22723" s="1"/>
  <c r="B11" i="16"/>
  <c r="F46" i="16" s="1"/>
  <c r="C64" i="4"/>
  <c r="G9" i="22723" s="1"/>
  <c r="D64" i="4"/>
  <c r="S31" i="22723"/>
  <c r="D15" i="3"/>
  <c r="E15" i="3"/>
  <c r="D16" i="3"/>
  <c r="E16" i="3"/>
  <c r="R16" i="22723"/>
  <c r="R17" i="22723"/>
  <c r="T28" i="22723"/>
  <c r="F10" i="22714"/>
  <c r="D113" i="22714"/>
  <c r="F113" i="22714"/>
  <c r="E11" i="22714"/>
  <c r="D114" i="22714"/>
  <c r="F114" i="22714"/>
  <c r="D39" i="3"/>
  <c r="F69" i="16"/>
  <c r="F70" i="16"/>
  <c r="F71" i="16"/>
  <c r="AS63" i="2" s="1"/>
  <c r="F72" i="16"/>
  <c r="AZ63" i="2" s="1"/>
  <c r="F73" i="16"/>
  <c r="F74" i="16"/>
  <c r="BN63" i="2"/>
  <c r="F75" i="16"/>
  <c r="BU63" i="2"/>
  <c r="F76" i="16"/>
  <c r="CB63" i="2"/>
  <c r="F77" i="16"/>
  <c r="CI63" i="2"/>
  <c r="F78" i="16"/>
  <c r="CP63" i="2"/>
  <c r="F79" i="16"/>
  <c r="CW63" i="2"/>
  <c r="F80" i="16"/>
  <c r="C4" i="22727"/>
  <c r="B4" i="22727"/>
  <c r="C30" i="16"/>
  <c r="CR63" i="2" s="1"/>
  <c r="CY63" i="2"/>
  <c r="C31" i="16"/>
  <c r="AG57" i="2" s="1"/>
  <c r="C70" i="1"/>
  <c r="C71" i="1" s="1"/>
  <c r="C32" i="1"/>
  <c r="C33" i="1"/>
  <c r="C43" i="1" s="1"/>
  <c r="C34" i="1"/>
  <c r="C35" i="1"/>
  <c r="D50" i="1"/>
  <c r="C36" i="1"/>
  <c r="E39" i="1"/>
  <c r="C23" i="1"/>
  <c r="D23" i="1"/>
  <c r="C24" i="1"/>
  <c r="D24" i="1"/>
  <c r="D20" i="1"/>
  <c r="D104" i="1"/>
  <c r="D66" i="2"/>
  <c r="C66" i="2"/>
  <c r="F65" i="2"/>
  <c r="C16" i="2"/>
  <c r="C17" i="2"/>
  <c r="D43" i="2"/>
  <c r="D56" i="2"/>
  <c r="C46" i="2"/>
  <c r="D46" i="2"/>
  <c r="C48" i="2"/>
  <c r="D48" i="2"/>
  <c r="D61" i="2"/>
  <c r="E62" i="2"/>
  <c r="D62" i="2"/>
  <c r="C63" i="2"/>
  <c r="F51" i="2"/>
  <c r="D41" i="2"/>
  <c r="D42" i="2"/>
  <c r="C44" i="2"/>
  <c r="C35" i="2"/>
  <c r="E35" i="2"/>
  <c r="G8" i="2"/>
  <c r="G9" i="2"/>
  <c r="G10" i="2"/>
  <c r="E32" i="2"/>
  <c r="G11" i="2"/>
  <c r="D11" i="2" s="1"/>
  <c r="F29" i="2"/>
  <c r="D16" i="2"/>
  <c r="E16" i="2"/>
  <c r="D17" i="2"/>
  <c r="E17" i="2"/>
  <c r="E8" i="2"/>
  <c r="E22" i="5" s="1"/>
  <c r="E9" i="2"/>
  <c r="F22" i="5" s="1"/>
  <c r="E10" i="2"/>
  <c r="G22" i="5" s="1"/>
  <c r="E11" i="2"/>
  <c r="H22" i="5" s="1"/>
  <c r="F13" i="2"/>
  <c r="K66" i="2"/>
  <c r="J66" i="2"/>
  <c r="M65" i="2"/>
  <c r="J16" i="2"/>
  <c r="J17" i="2"/>
  <c r="K43" i="2"/>
  <c r="K56" i="2"/>
  <c r="J46" i="2"/>
  <c r="K46" i="2"/>
  <c r="J48" i="2"/>
  <c r="K48" i="2"/>
  <c r="L58" i="2"/>
  <c r="K42" i="2"/>
  <c r="L59" i="2"/>
  <c r="M59" i="2" s="1"/>
  <c r="K61" i="2"/>
  <c r="L62" i="2"/>
  <c r="K62" i="2"/>
  <c r="F66" i="16"/>
  <c r="J63" i="2" s="1"/>
  <c r="M51" i="2"/>
  <c r="K41" i="2"/>
  <c r="J44" i="2"/>
  <c r="J35" i="2"/>
  <c r="L35" i="2"/>
  <c r="B66" i="16"/>
  <c r="C66" i="16"/>
  <c r="M29" i="2"/>
  <c r="K16" i="2"/>
  <c r="L16" i="2"/>
  <c r="K17" i="2"/>
  <c r="L17" i="2"/>
  <c r="L8" i="2"/>
  <c r="L9" i="2"/>
  <c r="L10" i="2"/>
  <c r="L11" i="2"/>
  <c r="M13" i="2"/>
  <c r="R66" i="2"/>
  <c r="Q66" i="2"/>
  <c r="T65" i="2"/>
  <c r="Q16" i="2"/>
  <c r="Q17" i="2"/>
  <c r="R43" i="2"/>
  <c r="R56" i="2"/>
  <c r="Q46" i="2"/>
  <c r="R46" i="2"/>
  <c r="Q48" i="2"/>
  <c r="R48" i="2"/>
  <c r="R42" i="2"/>
  <c r="R59" i="2"/>
  <c r="R60" i="2"/>
  <c r="R61" i="2"/>
  <c r="S62" i="2"/>
  <c r="R62" i="2"/>
  <c r="F67" i="16"/>
  <c r="T51" i="2"/>
  <c r="R41" i="2"/>
  <c r="Q44" i="2"/>
  <c r="D120" i="1"/>
  <c r="Q35" i="2"/>
  <c r="S35" i="2"/>
  <c r="B67" i="16"/>
  <c r="U8" i="2" s="1"/>
  <c r="C67" i="16"/>
  <c r="U9" i="2" s="1"/>
  <c r="S32" i="2"/>
  <c r="T29" i="2"/>
  <c r="R16" i="2"/>
  <c r="S16" i="2"/>
  <c r="R17" i="2"/>
  <c r="S17" i="2"/>
  <c r="S8" i="2"/>
  <c r="S9" i="2"/>
  <c r="S10" i="2"/>
  <c r="S11" i="2"/>
  <c r="T13" i="2"/>
  <c r="Y66" i="2"/>
  <c r="X66" i="2"/>
  <c r="AA65" i="2"/>
  <c r="X16" i="2"/>
  <c r="X17" i="2"/>
  <c r="Y43" i="2"/>
  <c r="Y56" i="2"/>
  <c r="X46" i="2"/>
  <c r="Y46" i="2"/>
  <c r="X48" i="2"/>
  <c r="Y48" i="2"/>
  <c r="Y42" i="2"/>
  <c r="Y59" i="2"/>
  <c r="Y60" i="2"/>
  <c r="Y61" i="2"/>
  <c r="Z62" i="2"/>
  <c r="Y62" i="2"/>
  <c r="F68" i="16"/>
  <c r="AA51" i="2"/>
  <c r="Y41" i="2"/>
  <c r="X44" i="2"/>
  <c r="X35" i="2"/>
  <c r="Z35" i="2"/>
  <c r="B68" i="16"/>
  <c r="AB8" i="2" s="1"/>
  <c r="C68" i="16"/>
  <c r="AB9" i="2" s="1"/>
  <c r="Z32" i="2"/>
  <c r="AA29" i="2"/>
  <c r="Y16" i="2"/>
  <c r="Z16" i="2"/>
  <c r="Y17" i="2"/>
  <c r="Z17" i="2"/>
  <c r="Z8" i="2"/>
  <c r="Z9" i="2"/>
  <c r="Z10" i="2"/>
  <c r="Z11" i="2"/>
  <c r="AA13" i="2"/>
  <c r="D63" i="3"/>
  <c r="C63" i="3"/>
  <c r="F62" i="3"/>
  <c r="B95" i="3" s="1"/>
  <c r="H98" i="22715" s="1"/>
  <c r="C15" i="3"/>
  <c r="C16" i="3"/>
  <c r="D40" i="3"/>
  <c r="H216" i="22715"/>
  <c r="D38" i="3"/>
  <c r="D53" i="3"/>
  <c r="C43" i="3"/>
  <c r="D43" i="3"/>
  <c r="C45" i="3"/>
  <c r="D45" i="3"/>
  <c r="D57" i="3"/>
  <c r="D58" i="3"/>
  <c r="D59" i="3"/>
  <c r="E60" i="3"/>
  <c r="D60" i="3"/>
  <c r="F48" i="3"/>
  <c r="K48" i="3" s="1"/>
  <c r="C41" i="3"/>
  <c r="C32" i="3"/>
  <c r="E32" i="3"/>
  <c r="B69" i="16"/>
  <c r="AI8" i="2" s="1"/>
  <c r="B70" i="16"/>
  <c r="AP8" i="2" s="1"/>
  <c r="B71" i="16"/>
  <c r="AW8" i="2" s="1"/>
  <c r="B72" i="16"/>
  <c r="BD8" i="2" s="1"/>
  <c r="B73" i="16"/>
  <c r="BK8" i="2" s="1"/>
  <c r="B74" i="16"/>
  <c r="B75" i="16"/>
  <c r="BY8" i="2" s="1"/>
  <c r="B76" i="16"/>
  <c r="B77" i="16"/>
  <c r="CM8" i="2" s="1"/>
  <c r="B78" i="16"/>
  <c r="CT8" i="2" s="1"/>
  <c r="B79" i="16"/>
  <c r="DA8" i="2" s="1"/>
  <c r="B80" i="16"/>
  <c r="DH8" i="2" s="1"/>
  <c r="C69" i="16"/>
  <c r="AI9" i="2"/>
  <c r="C70" i="16"/>
  <c r="AP9" i="2" s="1"/>
  <c r="C71" i="16"/>
  <c r="AW9" i="2" s="1"/>
  <c r="C72" i="16"/>
  <c r="BD9" i="2" s="1"/>
  <c r="C73" i="16"/>
  <c r="BK9" i="2"/>
  <c r="C74" i="16"/>
  <c r="BR9" i="2" s="1"/>
  <c r="C75" i="16"/>
  <c r="BY9" i="2" s="1"/>
  <c r="C76" i="16"/>
  <c r="CF9" i="2" s="1"/>
  <c r="C77" i="16"/>
  <c r="CM9" i="2" s="1"/>
  <c r="C78" i="16"/>
  <c r="CT9" i="2" s="1"/>
  <c r="C79" i="16"/>
  <c r="DA9" i="2" s="1"/>
  <c r="C80" i="16"/>
  <c r="B13" i="22715" s="1"/>
  <c r="C13" i="22715" s="1"/>
  <c r="E26" i="3"/>
  <c r="F24" i="3"/>
  <c r="E7" i="3"/>
  <c r="E8" i="3"/>
  <c r="E9" i="3"/>
  <c r="E10" i="3"/>
  <c r="F12" i="3"/>
  <c r="B49" i="22715" s="1"/>
  <c r="E40" i="4"/>
  <c r="L11" i="22723" s="1"/>
  <c r="D40" i="4"/>
  <c r="D42" i="4" s="1"/>
  <c r="C40" i="4"/>
  <c r="BP9" i="22723" s="1"/>
  <c r="B40" i="4"/>
  <c r="E7" i="22725" s="1"/>
  <c r="C25" i="4"/>
  <c r="D20" i="22714" s="1"/>
  <c r="C23" i="22714"/>
  <c r="C24" i="22714"/>
  <c r="C32" i="22714"/>
  <c r="C42" i="22714" s="1"/>
  <c r="C33" i="22714"/>
  <c r="C43" i="22714" s="1"/>
  <c r="C34" i="22714"/>
  <c r="C44" i="22714" s="1"/>
  <c r="C35" i="22714"/>
  <c r="C49" i="22714" s="1"/>
  <c r="C36" i="22714"/>
  <c r="E39" i="22714"/>
  <c r="C26" i="4"/>
  <c r="AN61" i="22723" s="1"/>
  <c r="C27" i="4"/>
  <c r="C70" i="22714"/>
  <c r="C71" i="22714" s="1"/>
  <c r="E10" i="22714"/>
  <c r="C57" i="22714"/>
  <c r="D104" i="22714"/>
  <c r="D65" i="22723"/>
  <c r="C65" i="22723"/>
  <c r="F64" i="22723"/>
  <c r="F64" i="4"/>
  <c r="C62" i="22723" s="1"/>
  <c r="F27" i="4"/>
  <c r="C28" i="4"/>
  <c r="C16" i="22723"/>
  <c r="C17" i="22723"/>
  <c r="D42" i="22723"/>
  <c r="D55" i="22723"/>
  <c r="C45" i="22723"/>
  <c r="D45" i="22723"/>
  <c r="C47" i="22723"/>
  <c r="D47" i="22723"/>
  <c r="D60" i="22723"/>
  <c r="D61" i="22723"/>
  <c r="C43" i="22723"/>
  <c r="D40" i="22723"/>
  <c r="D41" i="22723"/>
  <c r="E34" i="22723"/>
  <c r="E31" i="22723"/>
  <c r="D16" i="22723"/>
  <c r="E16" i="22723"/>
  <c r="D17" i="22723"/>
  <c r="E17" i="22723"/>
  <c r="E64" i="4"/>
  <c r="E72" i="4" s="1"/>
  <c r="BK11" i="22723" s="1"/>
  <c r="F13" i="22723"/>
  <c r="K65" i="22723"/>
  <c r="J65" i="22723"/>
  <c r="M64" i="22723"/>
  <c r="J16" i="22723"/>
  <c r="J17" i="22723"/>
  <c r="K42" i="22723"/>
  <c r="K55" i="22723"/>
  <c r="J45" i="22723"/>
  <c r="K45" i="22723"/>
  <c r="J47" i="22723"/>
  <c r="K47" i="22723"/>
  <c r="K41" i="22723"/>
  <c r="K60" i="22723"/>
  <c r="K61" i="22723"/>
  <c r="J43" i="22723"/>
  <c r="K40" i="22723"/>
  <c r="L34" i="22723"/>
  <c r="L31" i="22723"/>
  <c r="K16" i="22723"/>
  <c r="K17" i="22723"/>
  <c r="M28" i="22723"/>
  <c r="R65" i="22723"/>
  <c r="Q65" i="22723"/>
  <c r="T64" i="22723"/>
  <c r="Q16" i="22723"/>
  <c r="Q17" i="22723"/>
  <c r="R42" i="22723"/>
  <c r="R55" i="22723"/>
  <c r="Q45" i="22723"/>
  <c r="R45" i="22723"/>
  <c r="Q47" i="22723"/>
  <c r="R47" i="22723"/>
  <c r="R41" i="22723"/>
  <c r="R58" i="22723"/>
  <c r="R59" i="22723"/>
  <c r="R60" i="22723"/>
  <c r="R61" i="22723"/>
  <c r="Q43" i="22723"/>
  <c r="R40" i="22723"/>
  <c r="T13" i="22723"/>
  <c r="Y65" i="22723"/>
  <c r="X65" i="22723"/>
  <c r="AA64" i="22723"/>
  <c r="X16" i="22723"/>
  <c r="X19" i="22723" s="1"/>
  <c r="X42" i="22723" s="1"/>
  <c r="X17" i="22723"/>
  <c r="Y42" i="22723"/>
  <c r="Y55" i="22723"/>
  <c r="X45" i="22723"/>
  <c r="Y45" i="22723"/>
  <c r="X47" i="22723"/>
  <c r="Y47" i="22723"/>
  <c r="Y41" i="22723"/>
  <c r="Y58" i="22723"/>
  <c r="Y59" i="22723"/>
  <c r="Y60" i="22723"/>
  <c r="Y61" i="22723"/>
  <c r="X43" i="22723"/>
  <c r="Y40" i="22723"/>
  <c r="Z34" i="22723"/>
  <c r="Z31" i="22723"/>
  <c r="Y16" i="22723"/>
  <c r="Y17" i="22723"/>
  <c r="AA28" i="22723"/>
  <c r="AA13" i="22723"/>
  <c r="D63" i="22725"/>
  <c r="C63" i="22725"/>
  <c r="F62" i="22725"/>
  <c r="B95" i="22725" s="1"/>
  <c r="J98" i="22715" s="1"/>
  <c r="D11" i="22725"/>
  <c r="C41" i="22725"/>
  <c r="D38" i="22725"/>
  <c r="D39" i="22725"/>
  <c r="C15" i="22725"/>
  <c r="C16" i="22725"/>
  <c r="D40" i="22725"/>
  <c r="C43" i="22725"/>
  <c r="D43" i="22725"/>
  <c r="C45" i="22725"/>
  <c r="D45" i="22725"/>
  <c r="F48" i="22725"/>
  <c r="K48" i="22725" s="1"/>
  <c r="D53" i="22725"/>
  <c r="D57" i="22725"/>
  <c r="D58" i="22725"/>
  <c r="D60" i="22725"/>
  <c r="E32" i="22725"/>
  <c r="D15" i="22725"/>
  <c r="D16" i="22725"/>
  <c r="E26" i="22725"/>
  <c r="C34" i="4"/>
  <c r="F12" i="22725"/>
  <c r="D49" i="22715" s="1"/>
  <c r="A1" i="22715"/>
  <c r="A1" i="4" s="1"/>
  <c r="B23" i="4"/>
  <c r="B14" i="22714" s="1"/>
  <c r="D29" i="22725" s="1"/>
  <c r="F80" i="22714"/>
  <c r="D39" i="4"/>
  <c r="CA10" i="22723" s="1"/>
  <c r="C39" i="4"/>
  <c r="B9" i="22723" s="1"/>
  <c r="B39" i="4"/>
  <c r="AY8" i="22723" s="1"/>
  <c r="J38" i="22725"/>
  <c r="J39" i="22725"/>
  <c r="J40" i="22725"/>
  <c r="J41" i="22725"/>
  <c r="J43" i="22725"/>
  <c r="J45" i="22725"/>
  <c r="J47" i="22725"/>
  <c r="AF65" i="22723"/>
  <c r="AE65" i="22723"/>
  <c r="AH64" i="22723"/>
  <c r="AE16" i="22723"/>
  <c r="AE19" i="22723" s="1"/>
  <c r="AE17" i="22723"/>
  <c r="AF42" i="22723"/>
  <c r="AF55" i="22723"/>
  <c r="AE45" i="22723"/>
  <c r="AF45" i="22723"/>
  <c r="AE47" i="22723"/>
  <c r="AF47" i="22723"/>
  <c r="AF41" i="22723"/>
  <c r="AF58" i="22723"/>
  <c r="AF59" i="22723"/>
  <c r="AF60" i="22723"/>
  <c r="AF61" i="22723"/>
  <c r="AE43" i="22723"/>
  <c r="AF40" i="22723"/>
  <c r="AF16" i="22723"/>
  <c r="AF17" i="22723"/>
  <c r="AG31" i="22723"/>
  <c r="AG34" i="22723"/>
  <c r="AH28" i="22723"/>
  <c r="AH13" i="22723"/>
  <c r="AM65" i="22723"/>
  <c r="AL65" i="22723"/>
  <c r="AO64" i="22723"/>
  <c r="AL16" i="22723"/>
  <c r="AL19" i="22723" s="1"/>
  <c r="AL17" i="22723"/>
  <c r="AM42" i="22723"/>
  <c r="AM55" i="22723"/>
  <c r="AL45" i="22723"/>
  <c r="AM45" i="22723"/>
  <c r="AL47" i="22723"/>
  <c r="AM47" i="22723"/>
  <c r="AM41" i="22723"/>
  <c r="AM58" i="22723"/>
  <c r="AM59" i="22723"/>
  <c r="AM60" i="22723"/>
  <c r="AM61" i="22723"/>
  <c r="AL43" i="22723"/>
  <c r="AM40" i="22723"/>
  <c r="AM16" i="22723"/>
  <c r="AM17" i="22723"/>
  <c r="AN31" i="22723"/>
  <c r="AN34" i="22723"/>
  <c r="AO28" i="22723"/>
  <c r="AO13" i="22723"/>
  <c r="AT65" i="22723"/>
  <c r="AS65" i="22723"/>
  <c r="AV64" i="22723"/>
  <c r="AS16" i="22723"/>
  <c r="AS19" i="22723" s="1"/>
  <c r="AS17" i="22723"/>
  <c r="AT42" i="22723"/>
  <c r="AT55" i="22723"/>
  <c r="AS45" i="22723"/>
  <c r="AT45" i="22723"/>
  <c r="AS47" i="22723"/>
  <c r="AT47" i="22723"/>
  <c r="AT41" i="22723"/>
  <c r="AT58" i="22723"/>
  <c r="AT59" i="22723"/>
  <c r="AT60" i="22723"/>
  <c r="AT61" i="22723"/>
  <c r="AS43" i="22723"/>
  <c r="AT40" i="22723"/>
  <c r="AT16" i="22723"/>
  <c r="AT17" i="22723"/>
  <c r="AU31" i="22723"/>
  <c r="AU34" i="22723"/>
  <c r="AV28" i="22723"/>
  <c r="AV13" i="22723"/>
  <c r="BA65" i="22723"/>
  <c r="AZ65" i="22723"/>
  <c r="BC64" i="22723"/>
  <c r="AZ16" i="22723"/>
  <c r="AZ17" i="22723"/>
  <c r="BA42" i="22723"/>
  <c r="BA55" i="22723"/>
  <c r="AZ45" i="22723"/>
  <c r="BA45" i="22723"/>
  <c r="AZ47" i="22723"/>
  <c r="BA47" i="22723"/>
  <c r="BA41" i="22723"/>
  <c r="BA58" i="22723"/>
  <c r="BA59" i="22723"/>
  <c r="BA60" i="22723"/>
  <c r="BA61" i="22723"/>
  <c r="AZ43" i="22723"/>
  <c r="BA40" i="22723"/>
  <c r="BA16" i="22723"/>
  <c r="BA17" i="22723"/>
  <c r="BB31" i="22723"/>
  <c r="BB34" i="22723"/>
  <c r="BC28" i="22723"/>
  <c r="BC13" i="22723"/>
  <c r="BH65" i="22723"/>
  <c r="BG65" i="22723"/>
  <c r="BJ64" i="22723"/>
  <c r="BG16" i="22723"/>
  <c r="BG17" i="22723"/>
  <c r="BH42" i="22723"/>
  <c r="BH55" i="22723"/>
  <c r="BG45" i="22723"/>
  <c r="BH45" i="22723"/>
  <c r="BG47" i="22723"/>
  <c r="BH47" i="22723"/>
  <c r="BH41" i="22723"/>
  <c r="BH58" i="22723"/>
  <c r="BH59" i="22723"/>
  <c r="BH60" i="22723"/>
  <c r="BH61" i="22723"/>
  <c r="BG43" i="22723"/>
  <c r="BH40" i="22723"/>
  <c r="BH16" i="22723"/>
  <c r="BH17" i="22723"/>
  <c r="BI31" i="22723"/>
  <c r="BI34" i="22723"/>
  <c r="BJ28" i="22723"/>
  <c r="BJ13" i="22723"/>
  <c r="BO65" i="22723"/>
  <c r="BN65" i="22723"/>
  <c r="BQ64" i="22723"/>
  <c r="BN16" i="22723"/>
  <c r="BN19" i="22723" s="1"/>
  <c r="BN17" i="22723"/>
  <c r="BO42" i="22723"/>
  <c r="BO55" i="22723"/>
  <c r="BN45" i="22723"/>
  <c r="BO45" i="22723"/>
  <c r="BN47" i="22723"/>
  <c r="BO47" i="22723"/>
  <c r="BO41" i="22723"/>
  <c r="BO58" i="22723"/>
  <c r="BO59" i="22723"/>
  <c r="BO60" i="22723"/>
  <c r="BO61" i="22723"/>
  <c r="BN43" i="22723"/>
  <c r="BO40" i="22723"/>
  <c r="BO16" i="22723"/>
  <c r="BO17" i="22723"/>
  <c r="BP31" i="22723"/>
  <c r="BP34" i="22723"/>
  <c r="BQ28" i="22723"/>
  <c r="BQ13" i="22723"/>
  <c r="BV65" i="22723"/>
  <c r="BU65" i="22723"/>
  <c r="BX64" i="22723"/>
  <c r="BU16" i="22723"/>
  <c r="BU17" i="22723"/>
  <c r="BV42" i="22723"/>
  <c r="BV55" i="22723"/>
  <c r="BU45" i="22723"/>
  <c r="BV45" i="22723"/>
  <c r="BU47" i="22723"/>
  <c r="BV47" i="22723"/>
  <c r="BV41" i="22723"/>
  <c r="BV58" i="22723"/>
  <c r="BV59" i="22723"/>
  <c r="BV60" i="22723"/>
  <c r="BV61" i="22723"/>
  <c r="BU43" i="22723"/>
  <c r="BV40" i="22723"/>
  <c r="BV16" i="22723"/>
  <c r="BV17" i="22723"/>
  <c r="BW31" i="22723"/>
  <c r="BW34" i="22723"/>
  <c r="BX28" i="22723"/>
  <c r="BX13" i="22723"/>
  <c r="CC65" i="22723"/>
  <c r="CB65" i="22723"/>
  <c r="CE64" i="22723"/>
  <c r="CB16" i="22723"/>
  <c r="CB17" i="22723"/>
  <c r="CC42" i="22723"/>
  <c r="CC55" i="22723"/>
  <c r="CB45" i="22723"/>
  <c r="CC45" i="22723"/>
  <c r="CB47" i="22723"/>
  <c r="CC47" i="22723"/>
  <c r="CC41" i="22723"/>
  <c r="CC58" i="22723"/>
  <c r="CC59" i="22723"/>
  <c r="CC60" i="22723"/>
  <c r="CC61" i="22723"/>
  <c r="CB43" i="22723"/>
  <c r="CC40" i="22723"/>
  <c r="CC16" i="22723"/>
  <c r="CC17" i="22723"/>
  <c r="CE30" i="22723"/>
  <c r="CD31" i="22723"/>
  <c r="CD34" i="22723"/>
  <c r="CE28" i="22723"/>
  <c r="CE13" i="22723"/>
  <c r="CJ65" i="22723"/>
  <c r="CI65" i="22723"/>
  <c r="CL64" i="22723"/>
  <c r="CI16" i="22723"/>
  <c r="CI17" i="22723"/>
  <c r="CJ42" i="22723"/>
  <c r="CJ55" i="22723"/>
  <c r="CI45" i="22723"/>
  <c r="CJ45" i="22723"/>
  <c r="CI47" i="22723"/>
  <c r="CJ47" i="22723"/>
  <c r="CJ41" i="22723"/>
  <c r="CJ58" i="22723"/>
  <c r="CJ59" i="22723"/>
  <c r="CJ60" i="22723"/>
  <c r="CJ61" i="22723"/>
  <c r="CI43" i="22723"/>
  <c r="CJ40" i="22723"/>
  <c r="CJ16" i="22723"/>
  <c r="CJ17" i="22723"/>
  <c r="CK31" i="22723"/>
  <c r="CK34" i="22723"/>
  <c r="CL28" i="22723"/>
  <c r="CL13" i="22723"/>
  <c r="CQ65" i="22723"/>
  <c r="CP65" i="22723"/>
  <c r="CS64" i="22723"/>
  <c r="CP16" i="22723"/>
  <c r="CP17" i="22723"/>
  <c r="CQ42" i="22723"/>
  <c r="CQ55" i="22723"/>
  <c r="CP45" i="22723"/>
  <c r="CQ45" i="22723"/>
  <c r="CP47" i="22723"/>
  <c r="CQ47" i="22723"/>
  <c r="CQ41" i="22723"/>
  <c r="CQ58" i="22723"/>
  <c r="CQ59" i="22723"/>
  <c r="CQ60" i="22723"/>
  <c r="CQ61" i="22723"/>
  <c r="CP43" i="22723"/>
  <c r="CQ40" i="22723"/>
  <c r="CQ16" i="22723"/>
  <c r="CQ17" i="22723"/>
  <c r="CR31" i="22723"/>
  <c r="CR34" i="22723"/>
  <c r="CS28" i="22723"/>
  <c r="CS13" i="22723"/>
  <c r="CX65" i="22723"/>
  <c r="CW65" i="22723"/>
  <c r="CZ64" i="22723"/>
  <c r="CW16" i="22723"/>
  <c r="CW17" i="22723"/>
  <c r="CX42" i="22723"/>
  <c r="CX55" i="22723"/>
  <c r="CW45" i="22723"/>
  <c r="CX45" i="22723"/>
  <c r="CW47" i="22723"/>
  <c r="CX47" i="22723"/>
  <c r="CX41" i="22723"/>
  <c r="CX58" i="22723"/>
  <c r="CX59" i="22723"/>
  <c r="CX60" i="22723"/>
  <c r="CX61" i="22723"/>
  <c r="CW43" i="22723"/>
  <c r="CX40" i="22723"/>
  <c r="CX16" i="22723"/>
  <c r="CX17" i="22723"/>
  <c r="CY31" i="22723"/>
  <c r="CY34" i="22723"/>
  <c r="CZ28" i="22723"/>
  <c r="CZ13" i="22723"/>
  <c r="DE65" i="22723"/>
  <c r="DD65" i="22723"/>
  <c r="DG64" i="22723"/>
  <c r="DD16" i="22723"/>
  <c r="DD17" i="22723"/>
  <c r="DE42" i="22723"/>
  <c r="DE55" i="22723"/>
  <c r="DD45" i="22723"/>
  <c r="DE45" i="22723"/>
  <c r="DD47" i="22723"/>
  <c r="DE47" i="22723"/>
  <c r="DE41" i="22723"/>
  <c r="DE58" i="22723"/>
  <c r="DE59" i="22723"/>
  <c r="DE60" i="22723"/>
  <c r="DE61" i="22723"/>
  <c r="DD43" i="22723"/>
  <c r="DE40" i="22723"/>
  <c r="DE16" i="22723"/>
  <c r="DE17" i="22723"/>
  <c r="DF31" i="22723"/>
  <c r="DF34" i="22723"/>
  <c r="DG28" i="22723"/>
  <c r="DC74" i="22723"/>
  <c r="AF66" i="2"/>
  <c r="AE66" i="2"/>
  <c r="AH65" i="2"/>
  <c r="AE16" i="2"/>
  <c r="AE17" i="2"/>
  <c r="AF43" i="2"/>
  <c r="AF56" i="2"/>
  <c r="AE46" i="2"/>
  <c r="AF46" i="2"/>
  <c r="AE48" i="2"/>
  <c r="AF48" i="2"/>
  <c r="AF42" i="2"/>
  <c r="AF59" i="2"/>
  <c r="AF60" i="2"/>
  <c r="AF61" i="2"/>
  <c r="AF62" i="2"/>
  <c r="AG62" i="2"/>
  <c r="AH51" i="2"/>
  <c r="AF41" i="2"/>
  <c r="AE44" i="2"/>
  <c r="AE35" i="2"/>
  <c r="AG35" i="2"/>
  <c r="AG32" i="2"/>
  <c r="AH29" i="2"/>
  <c r="AF16" i="2"/>
  <c r="AG16" i="2"/>
  <c r="AF17" i="2"/>
  <c r="AG17" i="2"/>
  <c r="AG8" i="2"/>
  <c r="AG9" i="2"/>
  <c r="AG10" i="2"/>
  <c r="AG11" i="2"/>
  <c r="AH13" i="2"/>
  <c r="AM66" i="2"/>
  <c r="AL66" i="2"/>
  <c r="AO65" i="2"/>
  <c r="AL16" i="2"/>
  <c r="AL17" i="2"/>
  <c r="AM43" i="2"/>
  <c r="AM56" i="2"/>
  <c r="AL46" i="2"/>
  <c r="AM46" i="2"/>
  <c r="AL48" i="2"/>
  <c r="AM48" i="2"/>
  <c r="AM42" i="2"/>
  <c r="AN58" i="2"/>
  <c r="AM59" i="2"/>
  <c r="AN59" i="2"/>
  <c r="AM60" i="2"/>
  <c r="AN60" i="2"/>
  <c r="AM61" i="2"/>
  <c r="AM62" i="2"/>
  <c r="AN62" i="2"/>
  <c r="AL63" i="2"/>
  <c r="AO51" i="2"/>
  <c r="AM41" i="2"/>
  <c r="AL44" i="2"/>
  <c r="AL35" i="2"/>
  <c r="AN35" i="2"/>
  <c r="AN32" i="2"/>
  <c r="AO29" i="2"/>
  <c r="AM16" i="2"/>
  <c r="AN16" i="2"/>
  <c r="AM17" i="2"/>
  <c r="AN17" i="2"/>
  <c r="AN8" i="2"/>
  <c r="AN9" i="2"/>
  <c r="AN10" i="2"/>
  <c r="AN11" i="2"/>
  <c r="AO13" i="2"/>
  <c r="AT66" i="2"/>
  <c r="AS66" i="2"/>
  <c r="AV65" i="2"/>
  <c r="AS16" i="2"/>
  <c r="AS17" i="2"/>
  <c r="AT43" i="2"/>
  <c r="AT56" i="2"/>
  <c r="AS46" i="2"/>
  <c r="AT46" i="2"/>
  <c r="AS48" i="2"/>
  <c r="AT48" i="2"/>
  <c r="AT42" i="2"/>
  <c r="AT59" i="2"/>
  <c r="AT60" i="2"/>
  <c r="AT61" i="2"/>
  <c r="AT62" i="2"/>
  <c r="AU62" i="2"/>
  <c r="AV51" i="2"/>
  <c r="AT41" i="2"/>
  <c r="AS44" i="2"/>
  <c r="AS35" i="2"/>
  <c r="AU35" i="2"/>
  <c r="AU32" i="2"/>
  <c r="AV29" i="2"/>
  <c r="AT16" i="2"/>
  <c r="AU16" i="2"/>
  <c r="AT17" i="2"/>
  <c r="AU17" i="2"/>
  <c r="AU8" i="2"/>
  <c r="AU9" i="2"/>
  <c r="AU10" i="2"/>
  <c r="AU11" i="2"/>
  <c r="AV13" i="2"/>
  <c r="BA66" i="2"/>
  <c r="AZ66" i="2"/>
  <c r="BC65" i="2"/>
  <c r="AZ16" i="2"/>
  <c r="AZ17" i="2"/>
  <c r="BA43" i="2"/>
  <c r="BA56" i="2"/>
  <c r="AZ46" i="2"/>
  <c r="BA46" i="2"/>
  <c r="AZ48" i="2"/>
  <c r="BA48" i="2"/>
  <c r="BA42" i="2"/>
  <c r="BA59" i="2"/>
  <c r="BA60" i="2"/>
  <c r="BA61" i="2"/>
  <c r="BA62" i="2"/>
  <c r="BB62" i="2"/>
  <c r="BC51" i="2"/>
  <c r="BA41" i="2"/>
  <c r="AZ44" i="2"/>
  <c r="AZ35" i="2"/>
  <c r="BB35" i="2"/>
  <c r="BB32" i="2"/>
  <c r="BC29" i="2"/>
  <c r="BA16" i="2"/>
  <c r="BB16" i="2"/>
  <c r="BA17" i="2"/>
  <c r="BB17" i="2"/>
  <c r="BB8" i="2"/>
  <c r="BB9" i="2"/>
  <c r="BB10" i="2"/>
  <c r="BB11" i="2"/>
  <c r="BC13" i="2"/>
  <c r="BH66" i="2"/>
  <c r="BG66" i="2"/>
  <c r="BJ65" i="2"/>
  <c r="BG16" i="2"/>
  <c r="BG17" i="2"/>
  <c r="BH43" i="2"/>
  <c r="BH56" i="2"/>
  <c r="BG46" i="2"/>
  <c r="BH46" i="2"/>
  <c r="BG48" i="2"/>
  <c r="BH48" i="2"/>
  <c r="BH42" i="2"/>
  <c r="BH59" i="2"/>
  <c r="BH60" i="2"/>
  <c r="BH61" i="2"/>
  <c r="BH62" i="2"/>
  <c r="BI62" i="2"/>
  <c r="BG63" i="2"/>
  <c r="BJ51" i="2"/>
  <c r="BH41" i="2"/>
  <c r="BG44" i="2"/>
  <c r="BG35" i="2"/>
  <c r="BI35" i="2"/>
  <c r="BI32" i="2"/>
  <c r="BJ29" i="2"/>
  <c r="BH16" i="2"/>
  <c r="BI16" i="2"/>
  <c r="BH17" i="2"/>
  <c r="BI17" i="2"/>
  <c r="BI8" i="2"/>
  <c r="BI9" i="2"/>
  <c r="BI10" i="2"/>
  <c r="BI11" i="2"/>
  <c r="BJ13" i="2"/>
  <c r="BO66" i="2"/>
  <c r="BN66" i="2"/>
  <c r="BQ65" i="2"/>
  <c r="BN16" i="2"/>
  <c r="BN17" i="2"/>
  <c r="BO43" i="2"/>
  <c r="BO56" i="2"/>
  <c r="BN46" i="2"/>
  <c r="BO46" i="2"/>
  <c r="BN48" i="2"/>
  <c r="BO48" i="2"/>
  <c r="BO42" i="2"/>
  <c r="BP58" i="2"/>
  <c r="BO59" i="2"/>
  <c r="BP59" i="2"/>
  <c r="BO60" i="2"/>
  <c r="BP60" i="2"/>
  <c r="BO61" i="2"/>
  <c r="BO62" i="2"/>
  <c r="BP62" i="2"/>
  <c r="BQ51" i="2"/>
  <c r="BO41" i="2"/>
  <c r="BN44" i="2"/>
  <c r="BN35" i="2"/>
  <c r="BP35" i="2"/>
  <c r="BP32" i="2"/>
  <c r="BQ29" i="2"/>
  <c r="BO16" i="2"/>
  <c r="BP16" i="2"/>
  <c r="BO17" i="2"/>
  <c r="BP17" i="2"/>
  <c r="BP8" i="2"/>
  <c r="BP9" i="2"/>
  <c r="BP10" i="2"/>
  <c r="BP11" i="2"/>
  <c r="BQ13" i="2"/>
  <c r="BV66" i="2"/>
  <c r="BU66" i="2"/>
  <c r="BX65" i="2"/>
  <c r="BU16" i="2"/>
  <c r="BU17" i="2"/>
  <c r="BV43" i="2"/>
  <c r="BV56" i="2"/>
  <c r="BU46" i="2"/>
  <c r="BV46" i="2"/>
  <c r="BU48" i="2"/>
  <c r="BV48" i="2"/>
  <c r="BV42" i="2"/>
  <c r="BW58" i="2"/>
  <c r="BV59" i="2"/>
  <c r="BW59" i="2"/>
  <c r="BV60" i="2"/>
  <c r="BW60" i="2"/>
  <c r="BV61" i="2"/>
  <c r="BV62" i="2"/>
  <c r="BW62" i="2"/>
  <c r="BX51" i="2"/>
  <c r="BV41" i="2"/>
  <c r="BU44" i="2"/>
  <c r="BU35" i="2"/>
  <c r="BW35" i="2"/>
  <c r="BW32" i="2"/>
  <c r="BX29" i="2"/>
  <c r="BV16" i="2"/>
  <c r="BW16" i="2"/>
  <c r="BV17" i="2"/>
  <c r="BW17" i="2"/>
  <c r="BW8" i="2"/>
  <c r="BW9" i="2"/>
  <c r="BW10" i="2"/>
  <c r="BW11" i="2"/>
  <c r="BX13" i="2"/>
  <c r="CC66" i="2"/>
  <c r="CB66" i="2"/>
  <c r="CE65" i="2"/>
  <c r="CB16" i="2"/>
  <c r="CB17" i="2"/>
  <c r="CC43" i="2"/>
  <c r="CC56" i="2"/>
  <c r="CB46" i="2"/>
  <c r="CC46" i="2"/>
  <c r="CB48" i="2"/>
  <c r="CC48" i="2"/>
  <c r="CC42" i="2"/>
  <c r="CC59" i="2"/>
  <c r="CC60" i="2"/>
  <c r="CC61" i="2"/>
  <c r="CC62" i="2"/>
  <c r="CD62" i="2"/>
  <c r="CE51" i="2"/>
  <c r="CC41" i="2"/>
  <c r="CB44" i="2"/>
  <c r="CB35" i="2"/>
  <c r="CD35" i="2"/>
  <c r="CD32" i="2"/>
  <c r="CE29" i="2"/>
  <c r="CC16" i="2"/>
  <c r="CD16" i="2"/>
  <c r="CC17" i="2"/>
  <c r="CD17" i="2"/>
  <c r="CD8" i="2"/>
  <c r="CD9" i="2"/>
  <c r="CD10" i="2"/>
  <c r="CD11" i="2"/>
  <c r="CE13" i="2"/>
  <c r="CJ66" i="2"/>
  <c r="CI66" i="2"/>
  <c r="CL65" i="2"/>
  <c r="CI16" i="2"/>
  <c r="CI17" i="2"/>
  <c r="CJ43" i="2"/>
  <c r="CJ56" i="2"/>
  <c r="CI46" i="2"/>
  <c r="CJ46" i="2"/>
  <c r="CI48" i="2"/>
  <c r="CJ48" i="2"/>
  <c r="CJ42" i="2"/>
  <c r="CJ59" i="2"/>
  <c r="CJ60" i="2"/>
  <c r="CJ61" i="2"/>
  <c r="CJ62" i="2"/>
  <c r="CK62" i="2"/>
  <c r="CL51" i="2"/>
  <c r="CJ41" i="2"/>
  <c r="CI44" i="2"/>
  <c r="CI35" i="2"/>
  <c r="CK35" i="2"/>
  <c r="CK32" i="2"/>
  <c r="CL29" i="2"/>
  <c r="CJ16" i="2"/>
  <c r="CK16" i="2"/>
  <c r="CJ17" i="2"/>
  <c r="CK17" i="2"/>
  <c r="CK8" i="2"/>
  <c r="CK9" i="2"/>
  <c r="CK10" i="2"/>
  <c r="CK11" i="2"/>
  <c r="CL13" i="2"/>
  <c r="CQ66" i="2"/>
  <c r="CP66" i="2"/>
  <c r="CS65" i="2"/>
  <c r="CP16" i="2"/>
  <c r="CP17" i="2"/>
  <c r="CQ43" i="2"/>
  <c r="CQ56" i="2"/>
  <c r="CP46" i="2"/>
  <c r="CQ46" i="2"/>
  <c r="CP48" i="2"/>
  <c r="CQ48" i="2"/>
  <c r="CQ42" i="2"/>
  <c r="CQ59" i="2"/>
  <c r="CQ60" i="2"/>
  <c r="CQ61" i="2"/>
  <c r="CQ62" i="2"/>
  <c r="CR62" i="2"/>
  <c r="CS51" i="2"/>
  <c r="CQ41" i="2"/>
  <c r="CP44" i="2"/>
  <c r="CP35" i="2"/>
  <c r="CR35" i="2"/>
  <c r="CR32" i="2"/>
  <c r="CS29" i="2"/>
  <c r="CQ16" i="2"/>
  <c r="CR16" i="2"/>
  <c r="CQ17" i="2"/>
  <c r="CR17" i="2"/>
  <c r="CR8" i="2"/>
  <c r="CR9" i="2"/>
  <c r="CR10" i="2"/>
  <c r="CR11" i="2"/>
  <c r="CS13" i="2"/>
  <c r="CX66" i="2"/>
  <c r="CW66" i="2"/>
  <c r="CZ65" i="2"/>
  <c r="CW16" i="2"/>
  <c r="CW17" i="2"/>
  <c r="CX43" i="2"/>
  <c r="CX56" i="2"/>
  <c r="CW46" i="2"/>
  <c r="CX46" i="2"/>
  <c r="CW48" i="2"/>
  <c r="CX48" i="2"/>
  <c r="CX42" i="2"/>
  <c r="CX59" i="2"/>
  <c r="CX60" i="2"/>
  <c r="CX61" i="2"/>
  <c r="CX62" i="2"/>
  <c r="CY62" i="2"/>
  <c r="CZ51" i="2"/>
  <c r="CX41" i="2"/>
  <c r="CW44" i="2"/>
  <c r="CW35" i="2"/>
  <c r="CY35" i="2"/>
  <c r="CY32" i="2"/>
  <c r="CZ29" i="2"/>
  <c r="CX16" i="2"/>
  <c r="CY16" i="2"/>
  <c r="CX17" i="2"/>
  <c r="CY17" i="2"/>
  <c r="CY8" i="2"/>
  <c r="CY9" i="2"/>
  <c r="CY10" i="2"/>
  <c r="CY11" i="2"/>
  <c r="CZ13" i="2"/>
  <c r="DE66" i="2"/>
  <c r="DD66" i="2"/>
  <c r="DG65" i="2"/>
  <c r="DD16" i="2"/>
  <c r="DD17" i="2"/>
  <c r="DE43" i="2"/>
  <c r="DE56" i="2"/>
  <c r="DD46" i="2"/>
  <c r="DE46" i="2"/>
  <c r="DD48" i="2"/>
  <c r="DE48" i="2"/>
  <c r="DE42" i="2"/>
  <c r="DE59" i="2"/>
  <c r="DE60" i="2"/>
  <c r="DE61" i="2"/>
  <c r="DE62" i="2"/>
  <c r="DF62" i="2"/>
  <c r="DG51" i="2"/>
  <c r="DE41" i="2"/>
  <c r="DD44" i="2"/>
  <c r="DD35" i="2"/>
  <c r="DF35" i="2"/>
  <c r="DF32" i="2"/>
  <c r="DG29" i="2"/>
  <c r="DE16" i="2"/>
  <c r="DF16" i="2"/>
  <c r="DE17" i="2"/>
  <c r="DF17" i="2"/>
  <c r="G3" i="22715"/>
  <c r="D155" i="22714"/>
  <c r="D59" i="22725"/>
  <c r="F142" i="22714"/>
  <c r="D150" i="22714"/>
  <c r="D151" i="22714"/>
  <c r="D150" i="1"/>
  <c r="D127" i="22714"/>
  <c r="F116" i="22714"/>
  <c r="B120" i="22714"/>
  <c r="B119" i="22714"/>
  <c r="F94" i="22714"/>
  <c r="F95" i="22714"/>
  <c r="F96" i="22714"/>
  <c r="F97" i="22714"/>
  <c r="F98" i="22714"/>
  <c r="F87" i="22714"/>
  <c r="F88" i="22714"/>
  <c r="F89" i="22714"/>
  <c r="F90" i="22714"/>
  <c r="F91" i="22714"/>
  <c r="B104" i="22714"/>
  <c r="B103" i="22714"/>
  <c r="D145" i="4"/>
  <c r="D133" i="4"/>
  <c r="D132" i="4"/>
  <c r="D131" i="4"/>
  <c r="D130" i="4"/>
  <c r="F94" i="1"/>
  <c r="F95" i="1"/>
  <c r="F96" i="1"/>
  <c r="F97" i="1"/>
  <c r="F98" i="1"/>
  <c r="F101" i="1" s="1"/>
  <c r="F87" i="1"/>
  <c r="F88" i="1"/>
  <c r="F89" i="1"/>
  <c r="F90" i="1"/>
  <c r="F91" i="1"/>
  <c r="E125" i="1"/>
  <c r="F125" i="1" s="1"/>
  <c r="F15" i="1"/>
  <c r="D115" i="1"/>
  <c r="F115" i="1"/>
  <c r="D113" i="1"/>
  <c r="F113" i="1"/>
  <c r="D114" i="1"/>
  <c r="F114" i="1"/>
  <c r="F116" i="1"/>
  <c r="BQ30" i="2" s="1"/>
  <c r="C57" i="1"/>
  <c r="C59" i="1"/>
  <c r="E59" i="1"/>
  <c r="E60" i="1"/>
  <c r="E61" i="1"/>
  <c r="C62" i="1"/>
  <c r="E62" i="1"/>
  <c r="E63" i="1"/>
  <c r="E26" i="1"/>
  <c r="C20" i="1"/>
  <c r="C21" i="1"/>
  <c r="E21" i="1"/>
  <c r="D135" i="16"/>
  <c r="BI46" i="2" s="1"/>
  <c r="D136" i="16"/>
  <c r="D142" i="16"/>
  <c r="D38" i="1" s="1"/>
  <c r="E103" i="1" s="1"/>
  <c r="D146" i="16"/>
  <c r="D36" i="1" s="1"/>
  <c r="D70" i="1" s="1"/>
  <c r="A12" i="3"/>
  <c r="F39" i="2"/>
  <c r="E60" i="22714"/>
  <c r="E61" i="22714"/>
  <c r="E63" i="22714"/>
  <c r="F38" i="22723"/>
  <c r="F35" i="22723"/>
  <c r="F36" i="2"/>
  <c r="DG13" i="22723"/>
  <c r="M35" i="22723"/>
  <c r="T38" i="22723"/>
  <c r="T35" i="22723"/>
  <c r="AA38" i="22723"/>
  <c r="AA35" i="22723"/>
  <c r="AH38" i="22723"/>
  <c r="AH35" i="22723"/>
  <c r="AO38" i="22723"/>
  <c r="AO35" i="22723"/>
  <c r="AV38" i="22723"/>
  <c r="AV35" i="22723"/>
  <c r="BC38" i="22723"/>
  <c r="BC35" i="22723"/>
  <c r="BJ38" i="22723"/>
  <c r="BJ35" i="22723"/>
  <c r="BQ38" i="22723"/>
  <c r="BQ35" i="22723"/>
  <c r="BX38" i="22723"/>
  <c r="BX35" i="22723"/>
  <c r="CE38" i="22723"/>
  <c r="CE35" i="22723"/>
  <c r="CL38" i="22723"/>
  <c r="CL35" i="22723"/>
  <c r="CS38" i="22723"/>
  <c r="CS35" i="22723"/>
  <c r="CZ38" i="22723"/>
  <c r="CZ35" i="22723"/>
  <c r="DG38" i="22723"/>
  <c r="DG35" i="22723"/>
  <c r="A12" i="22725"/>
  <c r="B20" i="22715"/>
  <c r="C20" i="22715" s="1"/>
  <c r="M36" i="2"/>
  <c r="T39" i="2"/>
  <c r="T36" i="2"/>
  <c r="AA39" i="2"/>
  <c r="AA36" i="2"/>
  <c r="B36" i="22715"/>
  <c r="C36" i="22715" s="1"/>
  <c r="DG13" i="2"/>
  <c r="B22" i="22715"/>
  <c r="C22" i="22715" s="1"/>
  <c r="B21" i="22715"/>
  <c r="C21" i="22715" s="1"/>
  <c r="AH39" i="2"/>
  <c r="AH36" i="2"/>
  <c r="AO39" i="2"/>
  <c r="AO36" i="2"/>
  <c r="AV39" i="2"/>
  <c r="AV36" i="2"/>
  <c r="BC39" i="2"/>
  <c r="BC36" i="2"/>
  <c r="BJ39" i="2"/>
  <c r="BJ36" i="2"/>
  <c r="BQ39" i="2"/>
  <c r="BQ36" i="2"/>
  <c r="BX39" i="2"/>
  <c r="BX36" i="2"/>
  <c r="CE39" i="2"/>
  <c r="CE36" i="2"/>
  <c r="CL39" i="2"/>
  <c r="CL36" i="2"/>
  <c r="CS39" i="2"/>
  <c r="CS36" i="2"/>
  <c r="CZ39" i="2"/>
  <c r="CZ36" i="2"/>
  <c r="DG39" i="2"/>
  <c r="DG36" i="2"/>
  <c r="B5" i="2"/>
  <c r="B11" i="22715"/>
  <c r="C11" i="22715" s="1"/>
  <c r="DF8" i="2"/>
  <c r="DF9" i="2"/>
  <c r="DF10" i="2"/>
  <c r="DF11" i="2"/>
  <c r="J41" i="3"/>
  <c r="J47" i="3"/>
  <c r="J38" i="3"/>
  <c r="J39" i="3"/>
  <c r="J40" i="3"/>
  <c r="J43" i="3"/>
  <c r="J45" i="3"/>
  <c r="B56" i="22726"/>
  <c r="B55" i="22726"/>
  <c r="B54" i="22726"/>
  <c r="B53" i="22726"/>
  <c r="A122" i="22725"/>
  <c r="F36" i="22725"/>
  <c r="F79" i="22714"/>
  <c r="F79" i="1"/>
  <c r="F80" i="1"/>
  <c r="B13" i="22714"/>
  <c r="B12" i="22714"/>
  <c r="D66" i="16"/>
  <c r="N10" i="2" s="1"/>
  <c r="E66" i="16"/>
  <c r="D67" i="16"/>
  <c r="U10" i="2" s="1"/>
  <c r="E67" i="16"/>
  <c r="U11" i="2"/>
  <c r="D68" i="16"/>
  <c r="AB10" i="2" s="1"/>
  <c r="E68" i="16"/>
  <c r="AB11" i="2" s="1"/>
  <c r="B24" i="16"/>
  <c r="F36" i="3"/>
  <c r="D69" i="16"/>
  <c r="AI10" i="2" s="1"/>
  <c r="D70" i="16"/>
  <c r="AP10" i="2" s="1"/>
  <c r="D71" i="16"/>
  <c r="AW10" i="2" s="1"/>
  <c r="D72" i="16"/>
  <c r="BD10" i="2" s="1"/>
  <c r="D73" i="16"/>
  <c r="BK10" i="2" s="1"/>
  <c r="D74" i="16"/>
  <c r="BR10" i="2" s="1"/>
  <c r="D75" i="16"/>
  <c r="BY10" i="2" s="1"/>
  <c r="D76" i="16"/>
  <c r="CF10" i="2" s="1"/>
  <c r="D77" i="16"/>
  <c r="CM10" i="2" s="1"/>
  <c r="D78" i="16"/>
  <c r="CT10" i="2" s="1"/>
  <c r="D79" i="16"/>
  <c r="DA10" i="2"/>
  <c r="D80" i="16"/>
  <c r="B14" i="22715" s="1"/>
  <c r="C14" i="22715" s="1"/>
  <c r="E69" i="16"/>
  <c r="AI11" i="2" s="1"/>
  <c r="E70" i="16"/>
  <c r="AP11" i="2"/>
  <c r="E71" i="16"/>
  <c r="E72" i="16"/>
  <c r="BD11" i="2" s="1"/>
  <c r="E73" i="16"/>
  <c r="BK11" i="2"/>
  <c r="E74" i="16"/>
  <c r="BR11" i="2" s="1"/>
  <c r="E75" i="16"/>
  <c r="BY11" i="2" s="1"/>
  <c r="E76" i="16"/>
  <c r="CF11" i="2" s="1"/>
  <c r="E77" i="16"/>
  <c r="E78" i="16"/>
  <c r="CT11" i="2" s="1"/>
  <c r="E79" i="16"/>
  <c r="DA11" i="2" s="1"/>
  <c r="E80" i="16"/>
  <c r="B15" i="22715" s="1"/>
  <c r="C15" i="22715" s="1"/>
  <c r="B1" i="4"/>
  <c r="I45" i="22723"/>
  <c r="I47" i="22723"/>
  <c r="I49" i="22723"/>
  <c r="I50" i="22723"/>
  <c r="I55" i="22723"/>
  <c r="G199" i="22715"/>
  <c r="G100" i="22715"/>
  <c r="I88" i="22715"/>
  <c r="H21" i="22726"/>
  <c r="G21" i="22726"/>
  <c r="F21" i="22726"/>
  <c r="E21" i="22726"/>
  <c r="E39" i="4"/>
  <c r="DC11" i="22723" s="1"/>
  <c r="E62" i="4"/>
  <c r="B12" i="22715"/>
  <c r="C12" i="22715" s="1"/>
  <c r="B8" i="22715"/>
  <c r="C8" i="22715" s="1"/>
  <c r="F2" i="22715"/>
  <c r="B1" i="22714"/>
  <c r="B1" i="22725" s="1"/>
  <c r="B1" i="22723"/>
  <c r="B17" i="22723"/>
  <c r="B16" i="22723"/>
  <c r="A1" i="22723"/>
  <c r="C8" i="22714"/>
  <c r="C7" i="22714"/>
  <c r="A104" i="3"/>
  <c r="B11" i="2"/>
  <c r="H21" i="5" s="1"/>
  <c r="B9" i="2"/>
  <c r="F21" i="5" s="1"/>
  <c r="C2" i="5"/>
  <c r="B1" i="2"/>
  <c r="A1" i="5"/>
  <c r="B1" i="16"/>
  <c r="B25" i="22715"/>
  <c r="C25" i="22715"/>
  <c r="B2" i="3"/>
  <c r="B17" i="2"/>
  <c r="B16" i="2"/>
  <c r="B2" i="1"/>
  <c r="A2" i="5"/>
  <c r="A2" i="3"/>
  <c r="A2" i="1"/>
  <c r="C7" i="1"/>
  <c r="C8" i="1"/>
  <c r="B1" i="1"/>
  <c r="B56" i="5"/>
  <c r="B55" i="5"/>
  <c r="B54" i="5"/>
  <c r="B53" i="5"/>
  <c r="B10" i="3"/>
  <c r="C84" i="3" s="1"/>
  <c r="F12" i="1"/>
  <c r="G10" i="1"/>
  <c r="G10" i="22714"/>
  <c r="F12" i="22714"/>
  <c r="E12" i="1"/>
  <c r="F16" i="1"/>
  <c r="CV11" i="2"/>
  <c r="BT11" i="2"/>
  <c r="BF11" i="2"/>
  <c r="AY11" i="2"/>
  <c r="P11" i="2"/>
  <c r="E42" i="16"/>
  <c r="E43" i="16"/>
  <c r="E44" i="16"/>
  <c r="E45" i="16"/>
  <c r="E46" i="16"/>
  <c r="E47" i="16"/>
  <c r="E48" i="16"/>
  <c r="E49" i="16"/>
  <c r="E50" i="16"/>
  <c r="E51" i="16"/>
  <c r="E52" i="16"/>
  <c r="E53" i="16"/>
  <c r="E54" i="16"/>
  <c r="E55" i="16"/>
  <c r="E56" i="16"/>
  <c r="D42" i="16"/>
  <c r="D43" i="16"/>
  <c r="D44" i="16"/>
  <c r="D45" i="16"/>
  <c r="D46" i="16"/>
  <c r="D47" i="16"/>
  <c r="D48" i="16"/>
  <c r="D49" i="16"/>
  <c r="D50" i="16"/>
  <c r="D51" i="16"/>
  <c r="D52" i="16"/>
  <c r="D53" i="16"/>
  <c r="D54" i="16"/>
  <c r="D55" i="16"/>
  <c r="D56" i="16"/>
  <c r="B9" i="3"/>
  <c r="C83" i="3" s="1"/>
  <c r="B8" i="3"/>
  <c r="C82" i="3" s="1"/>
  <c r="B7" i="3"/>
  <c r="C81" i="3" s="1"/>
  <c r="E63" i="16"/>
  <c r="D63" i="16"/>
  <c r="B3" i="22715"/>
  <c r="B23" i="22715"/>
  <c r="C23" i="22715" s="1"/>
  <c r="G252" i="22715"/>
  <c r="G251" i="22715"/>
  <c r="G256" i="22715" s="1"/>
  <c r="G250" i="22715"/>
  <c r="G255" i="22715" s="1"/>
  <c r="G224" i="22715"/>
  <c r="G229" i="22715" s="1"/>
  <c r="G223" i="22715"/>
  <c r="G228" i="22715" s="1"/>
  <c r="G198" i="22715"/>
  <c r="G203" i="22715" s="1"/>
  <c r="G197" i="22715"/>
  <c r="G202" i="22715" s="1"/>
  <c r="G196" i="22715"/>
  <c r="G201" i="22715" s="1"/>
  <c r="G176" i="22715"/>
  <c r="G180" i="22715" s="1"/>
  <c r="G177" i="22715"/>
  <c r="G181" i="22715" s="1"/>
  <c r="G129" i="22715"/>
  <c r="G135" i="22715" s="1"/>
  <c r="G114" i="22715"/>
  <c r="G119" i="22715" s="1"/>
  <c r="G87" i="22715"/>
  <c r="G92" i="22715" s="1"/>
  <c r="G86" i="22715"/>
  <c r="G91" i="22715" s="1"/>
  <c r="G85" i="22715"/>
  <c r="G90" i="22715" s="1"/>
  <c r="B77" i="22715"/>
  <c r="B10" i="22715"/>
  <c r="C10" i="22715" s="1"/>
  <c r="B9" i="22715"/>
  <c r="C9" i="22715" s="1"/>
  <c r="A131" i="3"/>
  <c r="G156" i="22715" s="1"/>
  <c r="A125" i="3"/>
  <c r="G130" i="22715" s="1"/>
  <c r="A118" i="3"/>
  <c r="G115" i="22715" s="1"/>
  <c r="A130" i="3"/>
  <c r="G155" i="22715" s="1"/>
  <c r="G159" i="22715" s="1"/>
  <c r="A129" i="3"/>
  <c r="G154" i="22715" s="1"/>
  <c r="G158" i="22715" s="1"/>
  <c r="A123" i="3"/>
  <c r="G128" i="22715" s="1"/>
  <c r="G134" i="22715" s="1"/>
  <c r="A101" i="3"/>
  <c r="A115" i="3" s="1"/>
  <c r="G112" i="22715" s="1"/>
  <c r="G117" i="22715" s="1"/>
  <c r="A96" i="3"/>
  <c r="G99" i="22715"/>
  <c r="G103" i="22715" s="1"/>
  <c r="A95" i="3"/>
  <c r="G98" i="22715"/>
  <c r="G102" i="22715" s="1"/>
  <c r="A122" i="3"/>
  <c r="G127" i="22715"/>
  <c r="G133" i="22715" s="1"/>
  <c r="A102" i="3"/>
  <c r="A116" i="3"/>
  <c r="G113" i="22715" s="1"/>
  <c r="G118" i="22715" s="1"/>
  <c r="A1" i="2"/>
  <c r="W32" i="2"/>
  <c r="W31" i="2"/>
  <c r="P32" i="2"/>
  <c r="P31" i="2"/>
  <c r="I32" i="2"/>
  <c r="I31" i="2"/>
  <c r="B32" i="2"/>
  <c r="B31" i="2"/>
  <c r="DC32" i="2"/>
  <c r="DC31" i="2"/>
  <c r="CV32" i="2"/>
  <c r="CV31" i="2"/>
  <c r="CO32" i="2"/>
  <c r="CO31" i="2"/>
  <c r="CH32" i="2"/>
  <c r="CH31" i="2"/>
  <c r="CA32" i="2"/>
  <c r="CA31" i="2"/>
  <c r="BT32" i="2"/>
  <c r="BT31" i="2"/>
  <c r="BM32" i="2"/>
  <c r="BM31" i="2"/>
  <c r="BF32" i="2"/>
  <c r="BF31" i="2"/>
  <c r="AY32" i="2"/>
  <c r="AY31" i="2"/>
  <c r="AR32" i="2"/>
  <c r="AR31" i="2"/>
  <c r="AK32" i="2"/>
  <c r="AK31" i="2"/>
  <c r="AD31" i="2"/>
  <c r="AD32" i="2"/>
  <c r="DC56" i="2"/>
  <c r="CV56" i="2"/>
  <c r="CO56" i="2"/>
  <c r="CH56" i="2"/>
  <c r="CA56" i="2"/>
  <c r="BT56" i="2"/>
  <c r="BM56" i="2"/>
  <c r="BF56" i="2"/>
  <c r="AY56" i="2"/>
  <c r="AR56" i="2"/>
  <c r="AK56" i="2"/>
  <c r="AD56" i="2"/>
  <c r="W56" i="2"/>
  <c r="P56" i="2"/>
  <c r="I56" i="2"/>
  <c r="B56" i="2"/>
  <c r="DC51" i="2"/>
  <c r="DC50" i="2"/>
  <c r="DC48" i="2"/>
  <c r="DC46" i="2"/>
  <c r="DC44" i="2"/>
  <c r="DC43" i="2"/>
  <c r="DC42" i="2"/>
  <c r="DC41" i="2"/>
  <c r="CV51" i="2"/>
  <c r="CV50" i="2"/>
  <c r="CV48" i="2"/>
  <c r="CV46" i="2"/>
  <c r="CV44" i="2"/>
  <c r="CV43" i="2"/>
  <c r="CV42" i="2"/>
  <c r="CV41" i="2"/>
  <c r="CO51" i="2"/>
  <c r="CO50" i="2"/>
  <c r="CO48" i="2"/>
  <c r="CO46" i="2"/>
  <c r="CO44" i="2"/>
  <c r="CO43" i="2"/>
  <c r="CO42" i="2"/>
  <c r="CO41" i="2"/>
  <c r="CH51" i="2"/>
  <c r="CH50" i="2"/>
  <c r="CH48" i="2"/>
  <c r="CH46" i="2"/>
  <c r="CH44" i="2"/>
  <c r="CH43" i="2"/>
  <c r="CH42" i="2"/>
  <c r="CH41" i="2"/>
  <c r="CA51" i="2"/>
  <c r="CA50" i="2"/>
  <c r="CA48" i="2"/>
  <c r="CA46" i="2"/>
  <c r="CA44" i="2"/>
  <c r="CA43" i="2"/>
  <c r="CA42" i="2"/>
  <c r="CA41" i="2"/>
  <c r="BT51" i="2"/>
  <c r="BT50" i="2"/>
  <c r="BT48" i="2"/>
  <c r="BT46" i="2"/>
  <c r="BT44" i="2"/>
  <c r="BT43" i="2"/>
  <c r="BT42" i="2"/>
  <c r="BT41" i="2"/>
  <c r="BM51" i="2"/>
  <c r="BM50" i="2"/>
  <c r="BM48" i="2"/>
  <c r="BM46" i="2"/>
  <c r="BM44" i="2"/>
  <c r="BM43" i="2"/>
  <c r="BM42" i="2"/>
  <c r="BM41" i="2"/>
  <c r="BF51" i="2"/>
  <c r="BF50" i="2"/>
  <c r="BF48" i="2"/>
  <c r="BF46" i="2"/>
  <c r="BF44" i="2"/>
  <c r="BF43" i="2"/>
  <c r="BF42" i="2"/>
  <c r="BF41" i="2"/>
  <c r="AY51" i="2"/>
  <c r="AY50" i="2"/>
  <c r="AY48" i="2"/>
  <c r="AY46" i="2"/>
  <c r="AY44" i="2"/>
  <c r="AY43" i="2"/>
  <c r="AY42" i="2"/>
  <c r="AY41" i="2"/>
  <c r="AR51" i="2"/>
  <c r="AR50" i="2"/>
  <c r="AR48" i="2"/>
  <c r="AR46" i="2"/>
  <c r="AR44" i="2"/>
  <c r="AR43" i="2"/>
  <c r="AR42" i="2"/>
  <c r="AR41" i="2"/>
  <c r="AK51" i="2"/>
  <c r="AK50" i="2"/>
  <c r="AK48" i="2"/>
  <c r="AK46" i="2"/>
  <c r="AK44" i="2"/>
  <c r="AK43" i="2"/>
  <c r="AK42" i="2"/>
  <c r="AK41" i="2"/>
  <c r="AD51" i="2"/>
  <c r="AD50" i="2"/>
  <c r="AD48" i="2"/>
  <c r="AD46" i="2"/>
  <c r="AD44" i="2"/>
  <c r="AD43" i="2"/>
  <c r="AD42" i="2"/>
  <c r="AD41" i="2"/>
  <c r="W51" i="2"/>
  <c r="W50" i="2"/>
  <c r="W48" i="2"/>
  <c r="W46" i="2"/>
  <c r="W44" i="2"/>
  <c r="W43" i="2"/>
  <c r="W42" i="2"/>
  <c r="W41" i="2"/>
  <c r="P51" i="2"/>
  <c r="P50" i="2"/>
  <c r="P48" i="2"/>
  <c r="P46" i="2"/>
  <c r="P44" i="2"/>
  <c r="P43" i="2"/>
  <c r="P42" i="2"/>
  <c r="P41" i="2"/>
  <c r="I51" i="2"/>
  <c r="I50" i="2"/>
  <c r="I48" i="2"/>
  <c r="I46" i="2"/>
  <c r="I44" i="2"/>
  <c r="I43" i="2"/>
  <c r="I42" i="2"/>
  <c r="I41" i="2"/>
  <c r="B51" i="2"/>
  <c r="B50" i="2"/>
  <c r="B48" i="2"/>
  <c r="B46" i="2"/>
  <c r="B44" i="2"/>
  <c r="B43" i="2"/>
  <c r="B42" i="2"/>
  <c r="B41" i="2"/>
  <c r="DC17" i="2"/>
  <c r="CV17" i="2"/>
  <c r="CO17" i="2"/>
  <c r="CH17" i="2"/>
  <c r="CA17" i="2"/>
  <c r="BT17" i="2"/>
  <c r="BM17" i="2"/>
  <c r="BF17" i="2"/>
  <c r="AY17" i="2"/>
  <c r="AR17" i="2"/>
  <c r="AK17" i="2"/>
  <c r="AD17" i="2"/>
  <c r="W17" i="2"/>
  <c r="DC16" i="2"/>
  <c r="CV16" i="2"/>
  <c r="CO16" i="2"/>
  <c r="CH16" i="2"/>
  <c r="CA16" i="2"/>
  <c r="BT16" i="2"/>
  <c r="BM16" i="2"/>
  <c r="BF16" i="2"/>
  <c r="AY16" i="2"/>
  <c r="AR16" i="2"/>
  <c r="AK16" i="2"/>
  <c r="AD16" i="2"/>
  <c r="W16" i="2"/>
  <c r="P17" i="2"/>
  <c r="P16" i="2"/>
  <c r="I17" i="2"/>
  <c r="I16" i="2"/>
  <c r="I9" i="2"/>
  <c r="P9" i="2"/>
  <c r="W9" i="2"/>
  <c r="AD9" i="2"/>
  <c r="AK9" i="2"/>
  <c r="AR9" i="2"/>
  <c r="AY9" i="2"/>
  <c r="BF9" i="2"/>
  <c r="BM9" i="2"/>
  <c r="BT9" i="2"/>
  <c r="CA9" i="2"/>
  <c r="CH9" i="2"/>
  <c r="CO9" i="2"/>
  <c r="CV9" i="2"/>
  <c r="DC9" i="2"/>
  <c r="B10" i="1"/>
  <c r="B9" i="1"/>
  <c r="A9" i="1"/>
  <c r="A1" i="1"/>
  <c r="B120" i="1"/>
  <c r="B119" i="1"/>
  <c r="B104" i="1"/>
  <c r="B103" i="1"/>
  <c r="D127" i="1"/>
  <c r="B12" i="1"/>
  <c r="B13" i="1"/>
  <c r="B8" i="1"/>
  <c r="B36" i="1"/>
  <c r="B38" i="1"/>
  <c r="B35" i="1"/>
  <c r="B34" i="1"/>
  <c r="B33" i="1"/>
  <c r="B32" i="1"/>
  <c r="A164" i="3"/>
  <c r="B41" i="3"/>
  <c r="A161" i="3" s="1"/>
  <c r="A107" i="3"/>
  <c r="A105" i="3"/>
  <c r="A111" i="3"/>
  <c r="A110" i="3"/>
  <c r="A109" i="3"/>
  <c r="A108" i="3"/>
  <c r="A103" i="3"/>
  <c r="B45" i="3"/>
  <c r="A91" i="3"/>
  <c r="A1" i="3"/>
  <c r="B26" i="3"/>
  <c r="B25" i="3"/>
  <c r="B48" i="3"/>
  <c r="B16" i="3"/>
  <c r="B15" i="3"/>
  <c r="B47" i="3"/>
  <c r="B43" i="3"/>
  <c r="B40" i="3"/>
  <c r="B39" i="3"/>
  <c r="B38" i="3"/>
  <c r="B42" i="16"/>
  <c r="B43" i="16"/>
  <c r="B44" i="16"/>
  <c r="B45" i="16"/>
  <c r="B46" i="16"/>
  <c r="B47" i="16"/>
  <c r="B48" i="16"/>
  <c r="B49" i="16"/>
  <c r="B50" i="16"/>
  <c r="B51" i="16"/>
  <c r="B52" i="16"/>
  <c r="B53" i="16"/>
  <c r="B54" i="16"/>
  <c r="B55" i="16"/>
  <c r="B56" i="16"/>
  <c r="C63" i="16"/>
  <c r="C43" i="16"/>
  <c r="C44" i="16"/>
  <c r="C45" i="16"/>
  <c r="C46" i="16"/>
  <c r="C47" i="16"/>
  <c r="C48" i="16"/>
  <c r="C49" i="16"/>
  <c r="C50" i="16"/>
  <c r="C51" i="16"/>
  <c r="C52" i="16"/>
  <c r="C53" i="16"/>
  <c r="C54" i="16"/>
  <c r="C55" i="16"/>
  <c r="C56" i="16"/>
  <c r="C42" i="16"/>
  <c r="DC55" i="22723"/>
  <c r="CV55" i="22723"/>
  <c r="CO55" i="22723"/>
  <c r="CH55" i="22723"/>
  <c r="CA55" i="22723"/>
  <c r="BT55" i="22723"/>
  <c r="BM55" i="22723"/>
  <c r="BF55" i="22723"/>
  <c r="AY55" i="22723"/>
  <c r="AR55" i="22723"/>
  <c r="AK55" i="22723"/>
  <c r="AD55" i="22723"/>
  <c r="W55" i="22723"/>
  <c r="P55" i="22723"/>
  <c r="B55" i="22723"/>
  <c r="DC50" i="22723"/>
  <c r="CV50" i="22723"/>
  <c r="CO50" i="22723"/>
  <c r="CH50" i="22723"/>
  <c r="CA50" i="22723"/>
  <c r="BT50" i="22723"/>
  <c r="BM50" i="22723"/>
  <c r="BF50" i="22723"/>
  <c r="AY50" i="22723"/>
  <c r="AR50" i="22723"/>
  <c r="AK50" i="22723"/>
  <c r="AD50" i="22723"/>
  <c r="W50" i="22723"/>
  <c r="P50" i="22723"/>
  <c r="B50" i="22723"/>
  <c r="DC49" i="22723"/>
  <c r="CV49" i="22723"/>
  <c r="CO49" i="22723"/>
  <c r="CH49" i="22723"/>
  <c r="CA49" i="22723"/>
  <c r="BT49" i="22723"/>
  <c r="BM49" i="22723"/>
  <c r="BF49" i="22723"/>
  <c r="AY49" i="22723"/>
  <c r="AR49" i="22723"/>
  <c r="AK49" i="22723"/>
  <c r="AD49" i="22723"/>
  <c r="W49" i="22723"/>
  <c r="P49" i="22723"/>
  <c r="B49" i="22723"/>
  <c r="DC47" i="22723"/>
  <c r="CV47" i="22723"/>
  <c r="CO47" i="22723"/>
  <c r="CH47" i="22723"/>
  <c r="CA47" i="22723"/>
  <c r="BT47" i="22723"/>
  <c r="BM47" i="22723"/>
  <c r="BF47" i="22723"/>
  <c r="AY47" i="22723"/>
  <c r="AR47" i="22723"/>
  <c r="AK47" i="22723"/>
  <c r="AD47" i="22723"/>
  <c r="W47" i="22723"/>
  <c r="P47" i="22723"/>
  <c r="B47" i="22723"/>
  <c r="DC45" i="22723"/>
  <c r="CV45" i="22723"/>
  <c r="CO45" i="22723"/>
  <c r="CH45" i="22723"/>
  <c r="CA45" i="22723"/>
  <c r="BT45" i="22723"/>
  <c r="BM45" i="22723"/>
  <c r="BF45" i="22723"/>
  <c r="AY45" i="22723"/>
  <c r="AR45" i="22723"/>
  <c r="AK45" i="22723"/>
  <c r="AD45" i="22723"/>
  <c r="W45" i="22723"/>
  <c r="P45" i="22723"/>
  <c r="B45" i="22723"/>
  <c r="DC43" i="22723"/>
  <c r="CV43" i="22723"/>
  <c r="CO43" i="22723"/>
  <c r="CH43" i="22723"/>
  <c r="CA43" i="22723"/>
  <c r="BT43" i="22723"/>
  <c r="BM43" i="22723"/>
  <c r="BF43" i="22723"/>
  <c r="AY43" i="22723"/>
  <c r="AR43" i="22723"/>
  <c r="AK43" i="22723"/>
  <c r="AD43" i="22723"/>
  <c r="W43" i="22723"/>
  <c r="P43" i="22723"/>
  <c r="I43" i="22723"/>
  <c r="B43" i="22723"/>
  <c r="DC42" i="22723"/>
  <c r="CV42" i="22723"/>
  <c r="CO42" i="22723"/>
  <c r="CH42" i="22723"/>
  <c r="CA42" i="22723"/>
  <c r="BT42" i="22723"/>
  <c r="BM42" i="22723"/>
  <c r="BF42" i="22723"/>
  <c r="AY42" i="22723"/>
  <c r="AR42" i="22723"/>
  <c r="AK42" i="22723"/>
  <c r="AD42" i="22723"/>
  <c r="W42" i="22723"/>
  <c r="P42" i="22723"/>
  <c r="I42" i="22723"/>
  <c r="B42" i="22723"/>
  <c r="DC41" i="22723"/>
  <c r="CV41" i="22723"/>
  <c r="CO41" i="22723"/>
  <c r="CH41" i="22723"/>
  <c r="CA41" i="22723"/>
  <c r="BT41" i="22723"/>
  <c r="BM41" i="22723"/>
  <c r="BF41" i="22723"/>
  <c r="AY41" i="22723"/>
  <c r="AR41" i="22723"/>
  <c r="AK41" i="22723"/>
  <c r="AD41" i="22723"/>
  <c r="W41" i="22723"/>
  <c r="P41" i="22723"/>
  <c r="I41" i="22723"/>
  <c r="B41" i="22723"/>
  <c r="DC40" i="22723"/>
  <c r="CV40" i="22723"/>
  <c r="CO40" i="22723"/>
  <c r="CH40" i="22723"/>
  <c r="CA40" i="22723"/>
  <c r="BT40" i="22723"/>
  <c r="BM40" i="22723"/>
  <c r="BF40" i="22723"/>
  <c r="AY40" i="22723"/>
  <c r="AR40" i="22723"/>
  <c r="AK40" i="22723"/>
  <c r="AD40" i="22723"/>
  <c r="W40" i="22723"/>
  <c r="P40" i="22723"/>
  <c r="I40" i="22723"/>
  <c r="B40" i="22723"/>
  <c r="DC31" i="22723"/>
  <c r="CV31" i="22723"/>
  <c r="CO31" i="22723"/>
  <c r="CH31" i="22723"/>
  <c r="CA31" i="22723"/>
  <c r="BT31" i="22723"/>
  <c r="BM31" i="22723"/>
  <c r="BF31" i="22723"/>
  <c r="AY31" i="22723"/>
  <c r="AR31" i="22723"/>
  <c r="AK31" i="22723"/>
  <c r="AD31" i="22723"/>
  <c r="W31" i="22723"/>
  <c r="P31" i="22723"/>
  <c r="I31" i="22723"/>
  <c r="B31" i="22723"/>
  <c r="DC30" i="22723"/>
  <c r="CV30" i="22723"/>
  <c r="CO30" i="22723"/>
  <c r="CH30" i="22723"/>
  <c r="CA30" i="22723"/>
  <c r="BT30" i="22723"/>
  <c r="BM30" i="22723"/>
  <c r="BF30" i="22723"/>
  <c r="AY30" i="22723"/>
  <c r="AR30" i="22723"/>
  <c r="AK30" i="22723"/>
  <c r="AD30" i="22723"/>
  <c r="W30" i="22723"/>
  <c r="P30" i="22723"/>
  <c r="I30" i="22723"/>
  <c r="B30" i="22723"/>
  <c r="DC17" i="22723"/>
  <c r="CV17" i="22723"/>
  <c r="CO17" i="22723"/>
  <c r="CH17" i="22723"/>
  <c r="CA17" i="22723"/>
  <c r="BT17" i="22723"/>
  <c r="BM17" i="22723"/>
  <c r="BF17" i="22723"/>
  <c r="AY17" i="22723"/>
  <c r="AR17" i="22723"/>
  <c r="AK17" i="22723"/>
  <c r="AD17" i="22723"/>
  <c r="W17" i="22723"/>
  <c r="P17" i="22723"/>
  <c r="I17" i="22723"/>
  <c r="DC16" i="22723"/>
  <c r="CV16" i="22723"/>
  <c r="CO16" i="22723"/>
  <c r="CH16" i="22723"/>
  <c r="CA16" i="22723"/>
  <c r="BT16" i="22723"/>
  <c r="BM16" i="22723"/>
  <c r="BF16" i="22723"/>
  <c r="AY16" i="22723"/>
  <c r="AR16" i="22723"/>
  <c r="AK16" i="22723"/>
  <c r="AD16" i="22723"/>
  <c r="W16" i="22723"/>
  <c r="P16" i="22723"/>
  <c r="I16" i="22723"/>
  <c r="B38" i="22714"/>
  <c r="B36" i="22714"/>
  <c r="B35" i="22714"/>
  <c r="B34" i="22714"/>
  <c r="B33" i="22714"/>
  <c r="B32" i="22714"/>
  <c r="B10" i="22714"/>
  <c r="B9" i="22714"/>
  <c r="A9" i="22714"/>
  <c r="B8" i="22714"/>
  <c r="F11" i="22714"/>
  <c r="F13" i="22714"/>
  <c r="F14" i="22714"/>
  <c r="E12" i="22714"/>
  <c r="K15" i="22714"/>
  <c r="K16" i="22714"/>
  <c r="J12" i="22714"/>
  <c r="K12" i="22714"/>
  <c r="A102" i="22725"/>
  <c r="A116" i="22725" s="1"/>
  <c r="A164" i="22725"/>
  <c r="B41" i="22725"/>
  <c r="A161" i="22725" s="1"/>
  <c r="A131" i="22725"/>
  <c r="A130" i="22725"/>
  <c r="A129" i="22725"/>
  <c r="A125" i="22725"/>
  <c r="A123" i="22725"/>
  <c r="A118" i="22725"/>
  <c r="A101" i="22725"/>
  <c r="A115" i="22725" s="1"/>
  <c r="A111" i="22725"/>
  <c r="A110" i="22725"/>
  <c r="A109" i="22725"/>
  <c r="A108" i="22725"/>
  <c r="A105" i="22725"/>
  <c r="A104" i="22725"/>
  <c r="A103" i="22725"/>
  <c r="A96" i="22725"/>
  <c r="A95" i="22725"/>
  <c r="B15" i="22725"/>
  <c r="B48" i="22725"/>
  <c r="B47" i="22725"/>
  <c r="B45" i="22725"/>
  <c r="B43" i="22725"/>
  <c r="B40" i="22725"/>
  <c r="B39" i="22725"/>
  <c r="B38" i="22725"/>
  <c r="B26" i="22725"/>
  <c r="B25" i="22725"/>
  <c r="B16" i="22725"/>
  <c r="A91" i="22725"/>
  <c r="A2" i="22725"/>
  <c r="C62" i="4"/>
  <c r="D62" i="4"/>
  <c r="B62" i="4"/>
  <c r="A2" i="4"/>
  <c r="G12" i="1"/>
  <c r="I8" i="2"/>
  <c r="BM8" i="2"/>
  <c r="F81" i="22714"/>
  <c r="F15" i="22714"/>
  <c r="I11" i="2"/>
  <c r="W11" i="2"/>
  <c r="AK11" i="2"/>
  <c r="AR11" i="2"/>
  <c r="BM11" i="2"/>
  <c r="CA11" i="2"/>
  <c r="CO11" i="2"/>
  <c r="DC11" i="2"/>
  <c r="DF60" i="2"/>
  <c r="DF58" i="2"/>
  <c r="CK60" i="2"/>
  <c r="CK58" i="2"/>
  <c r="BI59" i="2"/>
  <c r="BB60" i="2"/>
  <c r="BB58" i="2"/>
  <c r="AG60" i="2"/>
  <c r="AG58" i="2"/>
  <c r="E124" i="22714"/>
  <c r="F124" i="22714" s="1"/>
  <c r="E57" i="3"/>
  <c r="Z59" i="2"/>
  <c r="L60" i="2"/>
  <c r="M60" i="2" s="1"/>
  <c r="E58" i="2"/>
  <c r="F58" i="2" s="1"/>
  <c r="I8" i="22723"/>
  <c r="D143" i="4"/>
  <c r="D144" i="4"/>
  <c r="N11" i="2"/>
  <c r="Z55" i="2"/>
  <c r="BP56" i="2"/>
  <c r="DF54" i="2"/>
  <c r="CA8" i="2"/>
  <c r="W8" i="2"/>
  <c r="CH8" i="2"/>
  <c r="AR8" i="2"/>
  <c r="CV8" i="2"/>
  <c r="CY48" i="2"/>
  <c r="S46" i="2"/>
  <c r="L44" i="2"/>
  <c r="DF43" i="2"/>
  <c r="AN43" i="2"/>
  <c r="Z42" i="2"/>
  <c r="AG42" i="2"/>
  <c r="BB42" i="2"/>
  <c r="CD42" i="2"/>
  <c r="CK42" i="2"/>
  <c r="L55" i="2"/>
  <c r="BI48" i="2"/>
  <c r="E41" i="3"/>
  <c r="Q63" i="2"/>
  <c r="D45" i="1"/>
  <c r="E45" i="1" s="1"/>
  <c r="E54" i="2"/>
  <c r="S55" i="2"/>
  <c r="AG61" i="2"/>
  <c r="BI61" i="2"/>
  <c r="CR54" i="2"/>
  <c r="DF57" i="2"/>
  <c r="E57" i="2"/>
  <c r="E51" i="3"/>
  <c r="AU56" i="2"/>
  <c r="BP55" i="2"/>
  <c r="CD57" i="2"/>
  <c r="DF55" i="2"/>
  <c r="D29" i="3"/>
  <c r="AD8" i="2"/>
  <c r="BF8" i="2"/>
  <c r="B8" i="2"/>
  <c r="E21" i="5" s="1"/>
  <c r="AK8" i="2"/>
  <c r="CO8" i="2"/>
  <c r="DC8" i="2"/>
  <c r="AY8" i="2"/>
  <c r="P8" i="2"/>
  <c r="BT8" i="2"/>
  <c r="AY10" i="2"/>
  <c r="BT10" i="2"/>
  <c r="B10" i="2"/>
  <c r="G21" i="5" s="1"/>
  <c r="I10" i="2"/>
  <c r="D127" i="16"/>
  <c r="E129" i="22714" s="1"/>
  <c r="F129" i="22714" s="1"/>
  <c r="Z61" i="2"/>
  <c r="D144" i="16"/>
  <c r="D33" i="1"/>
  <c r="D145" i="16"/>
  <c r="D35" i="1"/>
  <c r="Z50" i="2"/>
  <c r="DF50" i="2"/>
  <c r="N9" i="2"/>
  <c r="E121" i="1"/>
  <c r="F121" i="1" s="1"/>
  <c r="S58" i="2"/>
  <c r="S59" i="2"/>
  <c r="S60" i="2"/>
  <c r="E106" i="22714"/>
  <c r="F106" i="22714" s="1"/>
  <c r="CD58" i="2"/>
  <c r="CD59" i="2"/>
  <c r="CD60" i="2"/>
  <c r="E133" i="1"/>
  <c r="F133" i="1" s="1"/>
  <c r="F134" i="1" s="1"/>
  <c r="E124" i="1"/>
  <c r="F124" i="1" s="1"/>
  <c r="DF59" i="2"/>
  <c r="CK59" i="2"/>
  <c r="BI60" i="2"/>
  <c r="BI58" i="2"/>
  <c r="BB59" i="2"/>
  <c r="AG59" i="2"/>
  <c r="E58" i="3"/>
  <c r="Z60" i="2"/>
  <c r="Z58" i="2"/>
  <c r="E60" i="2"/>
  <c r="F60" i="2" s="1"/>
  <c r="E106" i="1"/>
  <c r="F106" i="1" s="1"/>
  <c r="B18" i="22715"/>
  <c r="C18" i="22715" s="1"/>
  <c r="DD63" i="2"/>
  <c r="DH10" i="2"/>
  <c r="Z48" i="2"/>
  <c r="DF48" i="2"/>
  <c r="E45" i="3"/>
  <c r="E46" i="2"/>
  <c r="CK44" i="2"/>
  <c r="CR44" i="2"/>
  <c r="CD43" i="2"/>
  <c r="CY60" i="2"/>
  <c r="CY59" i="2"/>
  <c r="CY58" i="2"/>
  <c r="CR60" i="2"/>
  <c r="CR59" i="2"/>
  <c r="CR58" i="2"/>
  <c r="AU60" i="2"/>
  <c r="AU59" i="2"/>
  <c r="AU58" i="2"/>
  <c r="E133" i="22714"/>
  <c r="F133" i="22714" s="1"/>
  <c r="F134" i="22714" s="1"/>
  <c r="E121" i="22714"/>
  <c r="F121" i="22714" s="1"/>
  <c r="P11" i="22723"/>
  <c r="CR61" i="22723"/>
  <c r="L50" i="2"/>
  <c r="CY50" i="2"/>
  <c r="BW50" i="2"/>
  <c r="S50" i="2"/>
  <c r="BI50" i="2"/>
  <c r="E47" i="3"/>
  <c r="E129" i="1"/>
  <c r="F129" i="1" s="1"/>
  <c r="E57" i="22714"/>
  <c r="C59" i="22714"/>
  <c r="E59" i="22714"/>
  <c r="C62" i="22714"/>
  <c r="E62" i="22714"/>
  <c r="C58" i="22714"/>
  <c r="E58" i="22714"/>
  <c r="BP44" i="2"/>
  <c r="BI44" i="2"/>
  <c r="Z44" i="2"/>
  <c r="BW44" i="2"/>
  <c r="DF44" i="2"/>
  <c r="BB44" i="2"/>
  <c r="E44" i="2"/>
  <c r="CY44" i="2"/>
  <c r="BI43" i="2"/>
  <c r="Z43" i="2"/>
  <c r="L43" i="2"/>
  <c r="E40" i="3"/>
  <c r="BW42" i="2"/>
  <c r="BI42" i="2"/>
  <c r="AU42" i="2"/>
  <c r="DF42" i="2"/>
  <c r="S42" i="2"/>
  <c r="E39" i="3"/>
  <c r="BP42" i="2"/>
  <c r="CY42" i="2"/>
  <c r="BI41" i="2"/>
  <c r="E41" i="2"/>
  <c r="AU41" i="2"/>
  <c r="CD41" i="2"/>
  <c r="AN44" i="2"/>
  <c r="AU44" i="2"/>
  <c r="S44" i="2"/>
  <c r="CK46" i="2"/>
  <c r="BB48" i="2"/>
  <c r="S48" i="2"/>
  <c r="BP48" i="2"/>
  <c r="CK48" i="2"/>
  <c r="AG44" i="2"/>
  <c r="CD48" i="2"/>
  <c r="CR48" i="2"/>
  <c r="BP41" i="2"/>
  <c r="CK41" i="2"/>
  <c r="AN42" i="2"/>
  <c r="L42" i="2"/>
  <c r="CR42" i="2"/>
  <c r="E42" i="2"/>
  <c r="CY43" i="2"/>
  <c r="AU43" i="2"/>
  <c r="CD44" i="2"/>
  <c r="AU48" i="2"/>
  <c r="D59" i="16"/>
  <c r="L10" i="22714"/>
  <c r="L12" i="22714"/>
  <c r="AN50" i="2"/>
  <c r="BB50" i="2"/>
  <c r="CR50" i="2"/>
  <c r="E50" i="2"/>
  <c r="AG50" i="2"/>
  <c r="BP50" i="2"/>
  <c r="DF61" i="2"/>
  <c r="CD56" i="2"/>
  <c r="AN56" i="2"/>
  <c r="F49" i="16"/>
  <c r="BH12" i="2" s="1"/>
  <c r="G57" i="16"/>
  <c r="G58" i="16"/>
  <c r="G59" i="16"/>
  <c r="G60" i="16"/>
  <c r="L41" i="2"/>
  <c r="Z41" i="2"/>
  <c r="S41" i="2"/>
  <c r="BW41" i="2"/>
  <c r="CY41" i="2"/>
  <c r="DF41" i="2"/>
  <c r="BB41" i="2"/>
  <c r="AG41" i="2"/>
  <c r="E38" i="3"/>
  <c r="AN41" i="2"/>
  <c r="CR41" i="2"/>
  <c r="F81" i="1"/>
  <c r="BR8" i="2"/>
  <c r="CM11" i="2"/>
  <c r="E82" i="16"/>
  <c r="AR10" i="2"/>
  <c r="AD10" i="2"/>
  <c r="CO10" i="2"/>
  <c r="DC10" i="2"/>
  <c r="CH10" i="2"/>
  <c r="AK10" i="2"/>
  <c r="P10" i="2"/>
  <c r="W10" i="2"/>
  <c r="CV10" i="2"/>
  <c r="CA10" i="2"/>
  <c r="BF10" i="2"/>
  <c r="BM10" i="2"/>
  <c r="AN48" i="2"/>
  <c r="L48" i="2"/>
  <c r="E48" i="2"/>
  <c r="AG48" i="2"/>
  <c r="BW48" i="2"/>
  <c r="X63" i="2"/>
  <c r="F82" i="16"/>
  <c r="AE63" i="2"/>
  <c r="F81" i="16"/>
  <c r="C56" i="3"/>
  <c r="AU50" i="2"/>
  <c r="AW11" i="2"/>
  <c r="E81" i="16"/>
  <c r="G10" i="3" s="1"/>
  <c r="BI55" i="2"/>
  <c r="AG56" i="2"/>
  <c r="BP54" i="2"/>
  <c r="S63" i="2"/>
  <c r="AU63" i="2"/>
  <c r="BW63" i="2"/>
  <c r="BQ28" i="2"/>
  <c r="T28" i="2"/>
  <c r="C59" i="16"/>
  <c r="F3" i="22715"/>
  <c r="E33" i="3"/>
  <c r="F33" i="3" s="1"/>
  <c r="D30" i="3"/>
  <c r="B14" i="1"/>
  <c r="D60" i="16"/>
  <c r="E60" i="16"/>
  <c r="E59" i="16"/>
  <c r="F109" i="22714"/>
  <c r="F112" i="22714" s="1"/>
  <c r="D115" i="22714"/>
  <c r="F115" i="22714"/>
  <c r="CD50" i="2"/>
  <c r="CK50" i="2"/>
  <c r="C58" i="1"/>
  <c r="E58" i="1"/>
  <c r="E57" i="1"/>
  <c r="CH11" i="2"/>
  <c r="AD11" i="2"/>
  <c r="F92" i="22714"/>
  <c r="F101" i="22714"/>
  <c r="E56" i="3"/>
  <c r="AG63" i="2"/>
  <c r="BP63" i="2"/>
  <c r="DF63" i="2"/>
  <c r="E63" i="2"/>
  <c r="AN63" i="2"/>
  <c r="BN34" i="22723"/>
  <c r="X34" i="22723"/>
  <c r="AL34" i="22723"/>
  <c r="CF8" i="2"/>
  <c r="N8" i="2"/>
  <c r="T30" i="2" l="1"/>
  <c r="F117" i="22714"/>
  <c r="T29" i="22723" s="1"/>
  <c r="BQ29" i="22723"/>
  <c r="T27" i="22723"/>
  <c r="F92" i="1"/>
  <c r="F107" i="1" s="1"/>
  <c r="E64" i="1"/>
  <c r="E66" i="1" s="1"/>
  <c r="E68" i="1" s="1"/>
  <c r="E64" i="22714"/>
  <c r="E66" i="22714" s="1"/>
  <c r="E68" i="22714" s="1"/>
  <c r="CV9" i="22723"/>
  <c r="CI19" i="22723"/>
  <c r="CW34" i="22723"/>
  <c r="C32" i="22725"/>
  <c r="DD34" i="22723"/>
  <c r="F57" i="3"/>
  <c r="B105" i="3" s="1"/>
  <c r="BB63" i="2"/>
  <c r="BH8" i="2"/>
  <c r="BJ8" i="2" s="1"/>
  <c r="C60" i="16"/>
  <c r="B60" i="16"/>
  <c r="DH11" i="2"/>
  <c r="E125" i="22714"/>
  <c r="F125" i="22714" s="1"/>
  <c r="CD63" i="2"/>
  <c r="BI63" i="2"/>
  <c r="AD9" i="22723"/>
  <c r="CA11" i="22723"/>
  <c r="CA9" i="22723"/>
  <c r="AK9" i="22723"/>
  <c r="AC30" i="22723"/>
  <c r="BM11" i="22723"/>
  <c r="AR10" i="22723"/>
  <c r="AR8" i="22723"/>
  <c r="E33" i="22725"/>
  <c r="F33" i="22725" s="1"/>
  <c r="D77" i="22715"/>
  <c r="C77" i="22715" s="1"/>
  <c r="C29" i="4"/>
  <c r="L59" i="22723" s="1"/>
  <c r="M59" i="22723" s="1"/>
  <c r="AS42" i="22723"/>
  <c r="AT53" i="22723" s="1"/>
  <c r="AH56" i="2"/>
  <c r="AS19" i="2"/>
  <c r="AA43" i="2"/>
  <c r="AV59" i="2"/>
  <c r="C82" i="16"/>
  <c r="C81" i="16"/>
  <c r="G8" i="3" s="1"/>
  <c r="B82" i="16"/>
  <c r="B59" i="16"/>
  <c r="BI9" i="22723"/>
  <c r="BA57" i="2"/>
  <c r="AA60" i="2"/>
  <c r="Q19" i="2"/>
  <c r="AA48" i="2"/>
  <c r="DG41" i="2"/>
  <c r="B8" i="22723"/>
  <c r="DC8" i="22723"/>
  <c r="B7" i="22725"/>
  <c r="C81" i="22725" s="1"/>
  <c r="BF8" i="22723"/>
  <c r="AK8" i="22723"/>
  <c r="CV8" i="22723"/>
  <c r="CH11" i="22723"/>
  <c r="AR9" i="22723"/>
  <c r="I9" i="22723"/>
  <c r="BT9" i="22723"/>
  <c r="AK11" i="22723"/>
  <c r="CO11" i="22723"/>
  <c r="DC9" i="22723"/>
  <c r="CO9" i="22723"/>
  <c r="CH9" i="22723"/>
  <c r="B8" i="22725"/>
  <c r="C82" i="22725" s="1"/>
  <c r="W11" i="22723"/>
  <c r="AR11" i="22723"/>
  <c r="W9" i="22723"/>
  <c r="B10" i="22725"/>
  <c r="C84" i="22725" s="1"/>
  <c r="BT11" i="22723"/>
  <c r="AY9" i="22723"/>
  <c r="BM9" i="22723"/>
  <c r="BF9" i="22723"/>
  <c r="AY11" i="22723"/>
  <c r="I11" i="22723"/>
  <c r="B11" i="22723"/>
  <c r="P9" i="22723"/>
  <c r="AK10" i="22723"/>
  <c r="BF11" i="22723"/>
  <c r="B81" i="16"/>
  <c r="G7" i="3" s="1"/>
  <c r="BG34" i="22723"/>
  <c r="CI34" i="22723"/>
  <c r="AE34" i="22723"/>
  <c r="BU34" i="22723"/>
  <c r="J34" i="22723"/>
  <c r="D34" i="1"/>
  <c r="BP43" i="2"/>
  <c r="CR43" i="2"/>
  <c r="S43" i="2"/>
  <c r="BB43" i="2"/>
  <c r="BW43" i="2"/>
  <c r="CK43" i="2"/>
  <c r="AG43" i="2"/>
  <c r="BP46" i="2"/>
  <c r="BQ46" i="2" s="1"/>
  <c r="Z46" i="2"/>
  <c r="AA46" i="2" s="1"/>
  <c r="E43" i="3"/>
  <c r="F43" i="3" s="1"/>
  <c r="CD46" i="2"/>
  <c r="CE46" i="2" s="1"/>
  <c r="CR46" i="2"/>
  <c r="CS46" i="2" s="1"/>
  <c r="CY46" i="2"/>
  <c r="CZ46" i="2" s="1"/>
  <c r="BW46" i="2"/>
  <c r="BX46" i="2" s="1"/>
  <c r="AG46" i="2"/>
  <c r="AH46" i="2" s="1"/>
  <c r="DF46" i="2"/>
  <c r="DG46" i="2" s="1"/>
  <c r="AN46" i="2"/>
  <c r="AO46" i="2" s="1"/>
  <c r="AU46" i="2"/>
  <c r="AV46" i="2" s="1"/>
  <c r="BB46" i="2"/>
  <c r="BC46" i="2" s="1"/>
  <c r="L46" i="2"/>
  <c r="M46" i="2" s="1"/>
  <c r="BB54" i="2"/>
  <c r="DF56" i="2"/>
  <c r="AU55" i="2"/>
  <c r="BI57" i="2"/>
  <c r="AU61" i="2"/>
  <c r="AV61" i="2" s="1"/>
  <c r="CK55" i="2"/>
  <c r="E59" i="3"/>
  <c r="F59" i="3" s="1"/>
  <c r="B107" i="3" s="1"/>
  <c r="CY61" i="2"/>
  <c r="CZ61" i="2" s="1"/>
  <c r="BW57" i="2"/>
  <c r="BI56" i="2"/>
  <c r="AU54" i="2"/>
  <c r="Z56" i="2"/>
  <c r="AA56" i="2" s="1"/>
  <c r="D42" i="1"/>
  <c r="CY56" i="2"/>
  <c r="CZ56" i="2" s="1"/>
  <c r="CK54" i="2"/>
  <c r="BB61" i="2"/>
  <c r="AG54" i="2"/>
  <c r="S54" i="2"/>
  <c r="E151" i="1"/>
  <c r="F151" i="1" s="1"/>
  <c r="F152" i="1" s="1"/>
  <c r="G142" i="1" s="1"/>
  <c r="D44" i="1"/>
  <c r="S56" i="2"/>
  <c r="T56" i="2" s="1"/>
  <c r="CY57" i="2"/>
  <c r="BB56" i="2"/>
  <c r="BC56" i="2" s="1"/>
  <c r="E61" i="2"/>
  <c r="F61" i="2" s="1"/>
  <c r="E153" i="1"/>
  <c r="E52" i="3"/>
  <c r="CK61" i="2"/>
  <c r="CL61" i="2" s="1"/>
  <c r="Z57" i="2"/>
  <c r="CD55" i="2"/>
  <c r="CK56" i="2"/>
  <c r="CL56" i="2" s="1"/>
  <c r="AN55" i="2"/>
  <c r="BB57" i="2"/>
  <c r="CR57" i="2"/>
  <c r="BW55" i="2"/>
  <c r="BI54" i="2"/>
  <c r="AN57" i="2"/>
  <c r="Z54" i="2"/>
  <c r="E154" i="1"/>
  <c r="CY55" i="2"/>
  <c r="CD54" i="2"/>
  <c r="AU57" i="2"/>
  <c r="E54" i="3"/>
  <c r="L56" i="2"/>
  <c r="M56" i="2" s="1"/>
  <c r="D49" i="1"/>
  <c r="D43" i="1"/>
  <c r="E43" i="1" s="1"/>
  <c r="S57" i="2"/>
  <c r="CD61" i="2"/>
  <c r="CE61" i="2" s="1"/>
  <c r="AN61" i="2"/>
  <c r="E55" i="2"/>
  <c r="CY54" i="2"/>
  <c r="BW61" i="2"/>
  <c r="BX61" i="2" s="1"/>
  <c r="L61" i="2"/>
  <c r="M61" i="2" s="1"/>
  <c r="BW56" i="2"/>
  <c r="BX56" i="2" s="1"/>
  <c r="D74" i="1"/>
  <c r="E74" i="1" s="1"/>
  <c r="CR56" i="2"/>
  <c r="CS56" i="2" s="1"/>
  <c r="CR55" i="2"/>
  <c r="AG55" i="2"/>
  <c r="D48" i="1"/>
  <c r="E48" i="1" s="1"/>
  <c r="D46" i="1"/>
  <c r="E46" i="1" s="1"/>
  <c r="E153" i="22714"/>
  <c r="F153" i="22714" s="1"/>
  <c r="CK57" i="2"/>
  <c r="BP61" i="2"/>
  <c r="BQ61" i="2" s="1"/>
  <c r="BB55" i="2"/>
  <c r="E151" i="22714"/>
  <c r="F151" i="22714" s="1"/>
  <c r="F152" i="22714" s="1"/>
  <c r="E81" i="22714" s="1"/>
  <c r="L57" i="2"/>
  <c r="E154" i="22714"/>
  <c r="F154" i="22714" s="1"/>
  <c r="CR61" i="2"/>
  <c r="CS61" i="2" s="1"/>
  <c r="BP57" i="2"/>
  <c r="AN54" i="2"/>
  <c r="E53" i="3"/>
  <c r="F53" i="3" s="1"/>
  <c r="B102" i="3" s="1"/>
  <c r="B116" i="3" s="1"/>
  <c r="H113" i="22715" s="1"/>
  <c r="E56" i="2"/>
  <c r="F56" i="2" s="1"/>
  <c r="D47" i="1"/>
  <c r="E47" i="1" s="1"/>
  <c r="E55" i="3"/>
  <c r="L54" i="2"/>
  <c r="S61" i="2"/>
  <c r="T61" i="2" s="1"/>
  <c r="BW54" i="2"/>
  <c r="D81" i="16"/>
  <c r="G9" i="3" s="1"/>
  <c r="D82" i="16"/>
  <c r="DH9" i="2"/>
  <c r="J206" i="22715"/>
  <c r="DG62" i="2"/>
  <c r="DD19" i="2"/>
  <c r="DD43" i="2" s="1"/>
  <c r="DE54" i="2" s="1"/>
  <c r="DG54" i="2" s="1"/>
  <c r="CZ16" i="2"/>
  <c r="AH17" i="2"/>
  <c r="AA62" i="2"/>
  <c r="M17" i="2"/>
  <c r="DA12" i="2"/>
  <c r="M42" i="2"/>
  <c r="D55" i="3"/>
  <c r="H210" i="22715"/>
  <c r="CT12" i="2"/>
  <c r="M48" i="2"/>
  <c r="DG48" i="2"/>
  <c r="B2" i="16"/>
  <c r="DG59" i="2"/>
  <c r="CY12" i="2"/>
  <c r="CZ60" i="2"/>
  <c r="CP19" i="2"/>
  <c r="CP43" i="2" s="1"/>
  <c r="CS43" i="2" s="1"/>
  <c r="CL16" i="2"/>
  <c r="CE17" i="2"/>
  <c r="CE56" i="2"/>
  <c r="BX62" i="2"/>
  <c r="BQ60" i="2"/>
  <c r="BC61" i="2"/>
  <c r="AV62" i="2"/>
  <c r="AA61" i="2"/>
  <c r="T47" i="2"/>
  <c r="E36" i="1"/>
  <c r="D71" i="1"/>
  <c r="E71" i="1" s="1"/>
  <c r="AA59" i="2"/>
  <c r="N12" i="2"/>
  <c r="AW12" i="2"/>
  <c r="AH48" i="2"/>
  <c r="F51" i="16"/>
  <c r="BV12" i="2" s="1"/>
  <c r="H37" i="5" s="1"/>
  <c r="I37" i="5" s="1"/>
  <c r="CZ48" i="2"/>
  <c r="AO61" i="2"/>
  <c r="CZ59" i="2"/>
  <c r="H213" i="22715"/>
  <c r="BX60" i="2"/>
  <c r="AH61" i="2"/>
  <c r="F32" i="2"/>
  <c r="C11" i="2"/>
  <c r="AH59" i="2"/>
  <c r="T60" i="2"/>
  <c r="BJ56" i="2"/>
  <c r="CE47" i="2"/>
  <c r="CL47" i="2"/>
  <c r="DG17" i="2"/>
  <c r="CZ62" i="2"/>
  <c r="CW19" i="2"/>
  <c r="CW43" i="2" s="1"/>
  <c r="CX54" i="2" s="1"/>
  <c r="CR12" i="2"/>
  <c r="CE62" i="2"/>
  <c r="CE59" i="2"/>
  <c r="CB19" i="2"/>
  <c r="CB43" i="2" s="1"/>
  <c r="CE43" i="2" s="1"/>
  <c r="BX16" i="2"/>
  <c r="BU19" i="2"/>
  <c r="BU43" i="2" s="1"/>
  <c r="BJ17" i="2"/>
  <c r="BJ46" i="2"/>
  <c r="BC62" i="2"/>
  <c r="BC59" i="2"/>
  <c r="AZ19" i="2"/>
  <c r="AZ43" i="2" s="1"/>
  <c r="BC43" i="2" s="1"/>
  <c r="AM57" i="2"/>
  <c r="AG12" i="2"/>
  <c r="AH62" i="2"/>
  <c r="AE19" i="2"/>
  <c r="AE43" i="2" s="1"/>
  <c r="F60" i="3"/>
  <c r="B104" i="3" s="1"/>
  <c r="Y57" i="2"/>
  <c r="T16" i="2"/>
  <c r="T62" i="2"/>
  <c r="R57" i="2"/>
  <c r="T57" i="2" s="1"/>
  <c r="L12" i="2"/>
  <c r="M16" i="2"/>
  <c r="F17" i="2"/>
  <c r="G12" i="2"/>
  <c r="U12" i="2"/>
  <c r="F48" i="2"/>
  <c r="F62" i="2"/>
  <c r="K58" i="2"/>
  <c r="M58" i="2" s="1"/>
  <c r="CL48" i="2"/>
  <c r="DG60" i="2"/>
  <c r="BP12" i="2"/>
  <c r="AP12" i="2"/>
  <c r="BK12" i="2"/>
  <c r="AH41" i="2"/>
  <c r="AO41" i="2"/>
  <c r="T48" i="2"/>
  <c r="CS47" i="2"/>
  <c r="F103" i="1"/>
  <c r="E119" i="1"/>
  <c r="F119" i="1" s="1"/>
  <c r="E128" i="1"/>
  <c r="F128" i="1" s="1"/>
  <c r="F120" i="1"/>
  <c r="AF57" i="2"/>
  <c r="AH57" i="2" s="1"/>
  <c r="AO48" i="2"/>
  <c r="G141" i="22714"/>
  <c r="CX57" i="2"/>
  <c r="CZ57" i="2" s="1"/>
  <c r="C37" i="1"/>
  <c r="C38" i="1" s="1"/>
  <c r="E38" i="1" s="1"/>
  <c r="DG61" i="2"/>
  <c r="F11" i="2"/>
  <c r="CQ57" i="2"/>
  <c r="BQ47" i="2"/>
  <c r="AT57" i="2"/>
  <c r="K57" i="2"/>
  <c r="B26" i="22715"/>
  <c r="C26" i="22715" s="1"/>
  <c r="E20" i="1"/>
  <c r="Y58" i="2"/>
  <c r="AT58" i="2"/>
  <c r="BC42" i="2"/>
  <c r="BC41" i="2"/>
  <c r="BX41" i="2"/>
  <c r="CL42" i="2"/>
  <c r="BR12" i="2"/>
  <c r="F45" i="3"/>
  <c r="T59" i="2"/>
  <c r="AA47" i="2"/>
  <c r="DG47" i="2"/>
  <c r="AV47" i="2"/>
  <c r="T17" i="2"/>
  <c r="F16" i="3"/>
  <c r="E25" i="1"/>
  <c r="AS43" i="2"/>
  <c r="AV43" i="2" s="1"/>
  <c r="B1" i="22715"/>
  <c r="C1" i="5"/>
  <c r="F55" i="16"/>
  <c r="CX12" i="2" s="1"/>
  <c r="CX63" i="2" s="1"/>
  <c r="CW45" i="2" s="1"/>
  <c r="CX44" i="2" s="1"/>
  <c r="CZ44" i="2" s="1"/>
  <c r="B1" i="3"/>
  <c r="AO47" i="2"/>
  <c r="BJ48" i="2"/>
  <c r="CL60" i="2"/>
  <c r="DG16" i="2"/>
  <c r="DG19" i="2" s="1"/>
  <c r="DE57" i="2"/>
  <c r="DG57" i="2" s="1"/>
  <c r="CZ17" i="2"/>
  <c r="CS16" i="2"/>
  <c r="BJ61" i="2"/>
  <c r="AO59" i="2"/>
  <c r="K45" i="3"/>
  <c r="M62" i="2"/>
  <c r="F46" i="2"/>
  <c r="C19" i="2"/>
  <c r="C43" i="2" s="1"/>
  <c r="F104" i="1"/>
  <c r="F42" i="2"/>
  <c r="H211" i="22715"/>
  <c r="DG56" i="2"/>
  <c r="AO56" i="2"/>
  <c r="CS59" i="2"/>
  <c r="F127" i="22714"/>
  <c r="CS17" i="2"/>
  <c r="CL62" i="2"/>
  <c r="CE60" i="2"/>
  <c r="CC57" i="2"/>
  <c r="CE57" i="2" s="1"/>
  <c r="BW12" i="2"/>
  <c r="BX59" i="2"/>
  <c r="BV57" i="2"/>
  <c r="BQ62" i="2"/>
  <c r="BQ59" i="2"/>
  <c r="BQ48" i="2"/>
  <c r="BQ56" i="2"/>
  <c r="BI12" i="2"/>
  <c r="BJ62" i="2"/>
  <c r="BJ59" i="2"/>
  <c r="BH57" i="2"/>
  <c r="BC60" i="2"/>
  <c r="BC48" i="2"/>
  <c r="AU12" i="2"/>
  <c r="AV48" i="2"/>
  <c r="AV56" i="2"/>
  <c r="AL19" i="2"/>
  <c r="AL43" i="2" s="1"/>
  <c r="AO43" i="2" s="1"/>
  <c r="BY12" i="2"/>
  <c r="D54" i="3"/>
  <c r="C17" i="3"/>
  <c r="C40" i="3" s="1"/>
  <c r="D51" i="3" s="1"/>
  <c r="F51" i="3" s="1"/>
  <c r="B110" i="3" s="1"/>
  <c r="F16" i="2"/>
  <c r="D55" i="2"/>
  <c r="CD12" i="2"/>
  <c r="CE41" i="2"/>
  <c r="CF12" i="2"/>
  <c r="BD12" i="2"/>
  <c r="AA41" i="2"/>
  <c r="BH63" i="2"/>
  <c r="BG45" i="2" s="1"/>
  <c r="BH44" i="2" s="1"/>
  <c r="BJ44" i="2" s="1"/>
  <c r="BH10" i="2"/>
  <c r="BJ33" i="2"/>
  <c r="H35" i="5"/>
  <c r="I35" i="5" s="1"/>
  <c r="BH9" i="2"/>
  <c r="BH11" i="2"/>
  <c r="G139" i="22714"/>
  <c r="AM12" i="2"/>
  <c r="AM10" i="2" s="1"/>
  <c r="Z12" i="2"/>
  <c r="AB12" i="2"/>
  <c r="S12" i="2"/>
  <c r="AI12" i="2"/>
  <c r="BB12" i="2"/>
  <c r="AN12" i="2"/>
  <c r="BO57" i="2"/>
  <c r="BX48" i="2"/>
  <c r="E35" i="1"/>
  <c r="C49" i="1"/>
  <c r="F41" i="16"/>
  <c r="F43" i="16"/>
  <c r="F44" i="16"/>
  <c r="F47" i="16"/>
  <c r="F50" i="16"/>
  <c r="F53" i="16"/>
  <c r="F54" i="16"/>
  <c r="F56" i="16"/>
  <c r="F42" i="16"/>
  <c r="F52" i="16"/>
  <c r="T41" i="2"/>
  <c r="K43" i="3"/>
  <c r="F48" i="16"/>
  <c r="F45" i="16"/>
  <c r="CE48" i="2"/>
  <c r="E70" i="1"/>
  <c r="H151" i="16"/>
  <c r="C151" i="16" s="1"/>
  <c r="CL59" i="2"/>
  <c r="E33" i="1"/>
  <c r="D57" i="2"/>
  <c r="F57" i="2" s="1"/>
  <c r="E24" i="1"/>
  <c r="C44" i="1"/>
  <c r="E34" i="1"/>
  <c r="CZ47" i="2"/>
  <c r="AH60" i="2"/>
  <c r="CM12" i="2"/>
  <c r="CK12" i="2"/>
  <c r="CS48" i="2"/>
  <c r="F58" i="3"/>
  <c r="B106" i="3" s="1"/>
  <c r="CL17" i="2"/>
  <c r="CJ57" i="2"/>
  <c r="CL46" i="2"/>
  <c r="CI19" i="2"/>
  <c r="CI43" i="2" s="1"/>
  <c r="CJ54" i="2" s="1"/>
  <c r="CE16" i="2"/>
  <c r="BG19" i="2"/>
  <c r="BG43" i="2" s="1"/>
  <c r="BH54" i="2" s="1"/>
  <c r="BC16" i="2"/>
  <c r="AO62" i="2"/>
  <c r="T46" i="2"/>
  <c r="Q43" i="2"/>
  <c r="J19" i="2"/>
  <c r="J43" i="2" s="1"/>
  <c r="C42" i="1"/>
  <c r="E32" i="1"/>
  <c r="C34" i="22723"/>
  <c r="CB34" i="22723"/>
  <c r="AZ34" i="22723"/>
  <c r="AV60" i="2"/>
  <c r="CS62" i="2"/>
  <c r="BX17" i="2"/>
  <c r="BQ17" i="2"/>
  <c r="BJ60" i="2"/>
  <c r="AV17" i="2"/>
  <c r="AO60" i="2"/>
  <c r="AH16" i="2"/>
  <c r="C49" i="22715"/>
  <c r="AA17" i="2"/>
  <c r="BJ47" i="2"/>
  <c r="F44" i="3"/>
  <c r="AH47" i="2"/>
  <c r="BX47" i="2"/>
  <c r="CS60" i="2"/>
  <c r="BN19" i="2"/>
  <c r="BN43" i="2" s="1"/>
  <c r="BO54" i="2" s="1"/>
  <c r="BQ54" i="2" s="1"/>
  <c r="BJ16" i="2"/>
  <c r="BC17" i="2"/>
  <c r="AO16" i="2"/>
  <c r="I98" i="22715"/>
  <c r="AA16" i="2"/>
  <c r="E23" i="1"/>
  <c r="F15" i="3"/>
  <c r="AM58" i="2"/>
  <c r="CB19" i="22723"/>
  <c r="CB42" i="22723" s="1"/>
  <c r="BU19" i="22723"/>
  <c r="BU42" i="22723" s="1"/>
  <c r="BV53" i="22723" s="1"/>
  <c r="BN42" i="22723"/>
  <c r="BO53" i="22723" s="1"/>
  <c r="AZ19" i="22723"/>
  <c r="AZ42" i="22723" s="1"/>
  <c r="BA53" i="22723" s="1"/>
  <c r="CV11" i="22723"/>
  <c r="AD11" i="22723"/>
  <c r="CV10" i="22723"/>
  <c r="CH8" i="22723"/>
  <c r="AD8" i="22723"/>
  <c r="CO8" i="22723"/>
  <c r="CA8" i="22723"/>
  <c r="CO10" i="22723"/>
  <c r="F69" i="4"/>
  <c r="AL62" i="22723" s="1"/>
  <c r="C42" i="4"/>
  <c r="BT8" i="22723"/>
  <c r="P8" i="22723"/>
  <c r="BM8" i="22723"/>
  <c r="W8" i="22723"/>
  <c r="AO17" i="2"/>
  <c r="BQ16" i="2"/>
  <c r="AV16" i="2"/>
  <c r="AV19" i="2" s="1"/>
  <c r="BB9" i="22723"/>
  <c r="C47" i="4"/>
  <c r="C48" i="4"/>
  <c r="CR32" i="22723"/>
  <c r="F75" i="4"/>
  <c r="CB62" i="22723" s="1"/>
  <c r="E8" i="22725"/>
  <c r="C41" i="4"/>
  <c r="C20" i="22714"/>
  <c r="E20" i="22714" s="1"/>
  <c r="C65" i="4"/>
  <c r="N9" i="22723" s="1"/>
  <c r="C72" i="4"/>
  <c r="BK9" i="22723" s="1"/>
  <c r="C17" i="22725"/>
  <c r="J19" i="22723"/>
  <c r="J42" i="22723" s="1"/>
  <c r="K53" i="22723" s="1"/>
  <c r="B10" i="22723"/>
  <c r="B9" i="22725"/>
  <c r="C83" i="22725" s="1"/>
  <c r="BF10" i="22723"/>
  <c r="AY10" i="22723"/>
  <c r="C73" i="4"/>
  <c r="BR9" i="22723" s="1"/>
  <c r="P10" i="22723"/>
  <c r="BT10" i="22723"/>
  <c r="I10" i="22723"/>
  <c r="BM10" i="22723"/>
  <c r="Y57" i="22723"/>
  <c r="DC10" i="22723"/>
  <c r="DD19" i="22723"/>
  <c r="DD42" i="22723" s="1"/>
  <c r="DE53" i="22723" s="1"/>
  <c r="CQ56" i="22723"/>
  <c r="CS61" i="22723"/>
  <c r="AD10" i="22723"/>
  <c r="CH10" i="22723"/>
  <c r="W10" i="22723"/>
  <c r="E128" i="22714"/>
  <c r="F128" i="22714" s="1"/>
  <c r="F130" i="22714" s="1"/>
  <c r="F131" i="22714" s="1"/>
  <c r="F120" i="22714"/>
  <c r="F104" i="22714"/>
  <c r="F16" i="22723"/>
  <c r="F67" i="4"/>
  <c r="X62" i="22723" s="1"/>
  <c r="DF9" i="22723"/>
  <c r="CY9" i="22723"/>
  <c r="CK61" i="22723"/>
  <c r="CL61" i="22723" s="1"/>
  <c r="AQ30" i="22723"/>
  <c r="D44" i="4"/>
  <c r="D45" i="4"/>
  <c r="S61" i="22723"/>
  <c r="T61" i="22723" s="1"/>
  <c r="K56" i="22723"/>
  <c r="F17" i="22723"/>
  <c r="D56" i="22723"/>
  <c r="C19" i="22723"/>
  <c r="C42" i="22723" s="1"/>
  <c r="D53" i="22723" s="1"/>
  <c r="E25" i="22714"/>
  <c r="BA57" i="22723"/>
  <c r="BO57" i="22723"/>
  <c r="CQ57" i="22723"/>
  <c r="DE57" i="22723"/>
  <c r="J213" i="22715"/>
  <c r="J211" i="22715"/>
  <c r="E68" i="4"/>
  <c r="AI11" i="22723" s="1"/>
  <c r="D41" i="4"/>
  <c r="CP19" i="22723"/>
  <c r="CP42" i="22723" s="1"/>
  <c r="CQ53" i="22723" s="1"/>
  <c r="Y53" i="22723"/>
  <c r="K57" i="22723"/>
  <c r="AO61" i="22723"/>
  <c r="C75" i="4"/>
  <c r="CF9" i="22723" s="1"/>
  <c r="C68" i="4"/>
  <c r="AI9" i="22723" s="1"/>
  <c r="CC56" i="22723"/>
  <c r="BO56" i="22723"/>
  <c r="C37" i="22714"/>
  <c r="C38" i="22714" s="1"/>
  <c r="F70" i="4"/>
  <c r="AS62" i="22723" s="1"/>
  <c r="CD32" i="22723"/>
  <c r="H150" i="4"/>
  <c r="C150" i="4" s="1"/>
  <c r="AD34" i="22723" s="1"/>
  <c r="E74" i="4"/>
  <c r="BY11" i="22723" s="1"/>
  <c r="C66" i="4"/>
  <c r="U9" i="22723" s="1"/>
  <c r="F76" i="4"/>
  <c r="CI62" i="22723" s="1"/>
  <c r="F78" i="4"/>
  <c r="CW62" i="22723" s="1"/>
  <c r="C79" i="4"/>
  <c r="DH9" i="22723" s="1"/>
  <c r="C74" i="4"/>
  <c r="BY9" i="22723" s="1"/>
  <c r="CX56" i="22723"/>
  <c r="CW19" i="22723"/>
  <c r="CW42" i="22723" s="1"/>
  <c r="CX53" i="22723" s="1"/>
  <c r="CI42" i="22723"/>
  <c r="CJ53" i="22723" s="1"/>
  <c r="CC53" i="22723"/>
  <c r="BV56" i="22723"/>
  <c r="AT57" i="22723"/>
  <c r="F65" i="4"/>
  <c r="J62" i="22723" s="1"/>
  <c r="F79" i="4"/>
  <c r="DD62" i="22723" s="1"/>
  <c r="F66" i="4"/>
  <c r="Q62" i="22723" s="1"/>
  <c r="CG30" i="22723"/>
  <c r="DF32" i="22723"/>
  <c r="F72" i="4"/>
  <c r="BG62" i="22723" s="1"/>
  <c r="Z9" i="22723"/>
  <c r="C53" i="4"/>
  <c r="C52" i="4"/>
  <c r="F77" i="4"/>
  <c r="CP62" i="22723" s="1"/>
  <c r="G11" i="22723"/>
  <c r="BB61" i="22723"/>
  <c r="BC61" i="22723" s="1"/>
  <c r="K45" i="22725"/>
  <c r="AJ30" i="22723"/>
  <c r="BL30" i="22723"/>
  <c r="AU11" i="22723"/>
  <c r="CD9" i="22723"/>
  <c r="C54" i="4"/>
  <c r="L9" i="22723"/>
  <c r="C46" i="4"/>
  <c r="S9" i="22723"/>
  <c r="C44" i="4"/>
  <c r="CK11" i="22723"/>
  <c r="BP61" i="22723"/>
  <c r="BQ61" i="22723" s="1"/>
  <c r="CR11" i="22723"/>
  <c r="O30" i="22723"/>
  <c r="E75" i="4"/>
  <c r="CF11" i="22723" s="1"/>
  <c r="E66" i="4"/>
  <c r="U11" i="22723" s="1"/>
  <c r="E61" i="22723"/>
  <c r="F61" i="22723" s="1"/>
  <c r="D50" i="22714"/>
  <c r="E60" i="22725"/>
  <c r="F60" i="22725" s="1"/>
  <c r="B104" i="22725" s="1"/>
  <c r="E70" i="4"/>
  <c r="AW11" i="22723" s="1"/>
  <c r="DE56" i="22723"/>
  <c r="AL42" i="22723"/>
  <c r="AM53" i="22723" s="1"/>
  <c r="AF56" i="22723"/>
  <c r="AE42" i="22723"/>
  <c r="AF53" i="22723" s="1"/>
  <c r="K43" i="22725"/>
  <c r="Y56" i="22723"/>
  <c r="K54" i="22723"/>
  <c r="CU30" i="22723"/>
  <c r="E41" i="4"/>
  <c r="E69" i="4"/>
  <c r="AP11" i="22723" s="1"/>
  <c r="E65" i="4"/>
  <c r="N11" i="22723" s="1"/>
  <c r="BZ30" i="22723"/>
  <c r="D54" i="22723"/>
  <c r="DB30" i="22723"/>
  <c r="E46" i="4"/>
  <c r="E73" i="4"/>
  <c r="BR11" i="22723" s="1"/>
  <c r="D54" i="22725"/>
  <c r="AX30" i="22723"/>
  <c r="BE30" i="22723"/>
  <c r="C49" i="4"/>
  <c r="E9" i="22723"/>
  <c r="F22" i="22726" s="1"/>
  <c r="CK9" i="22723"/>
  <c r="C45" i="4"/>
  <c r="C43" i="4"/>
  <c r="AN9" i="22723"/>
  <c r="CY61" i="22723"/>
  <c r="CZ61" i="22723" s="1"/>
  <c r="BS30" i="22723"/>
  <c r="E71" i="4"/>
  <c r="BD11" i="22723" s="1"/>
  <c r="C1" i="22726"/>
  <c r="BH56" i="22723"/>
  <c r="BG19" i="22723"/>
  <c r="BG42" i="22723" s="1"/>
  <c r="BH53" i="22723" s="1"/>
  <c r="BA56" i="22723"/>
  <c r="Q19" i="22723"/>
  <c r="Q42" i="22723" s="1"/>
  <c r="R53" i="22723" s="1"/>
  <c r="CN30" i="22723"/>
  <c r="E47" i="4"/>
  <c r="D30" i="22725"/>
  <c r="CY11" i="22723"/>
  <c r="E43" i="4"/>
  <c r="Z11" i="22723"/>
  <c r="C2" i="22726"/>
  <c r="B2" i="22725"/>
  <c r="AM56" i="22723"/>
  <c r="CD11" i="22723"/>
  <c r="E52" i="4"/>
  <c r="R56" i="22723"/>
  <c r="E11" i="22723"/>
  <c r="H22" i="22726" s="1"/>
  <c r="E51" i="4"/>
  <c r="E45" i="4"/>
  <c r="AG11" i="22723"/>
  <c r="E49" i="4"/>
  <c r="E44" i="4"/>
  <c r="BW11" i="22723"/>
  <c r="BB11" i="22723"/>
  <c r="E50" i="4"/>
  <c r="S11" i="22723"/>
  <c r="BP11" i="22723"/>
  <c r="E53" i="4"/>
  <c r="E54" i="4"/>
  <c r="DF11" i="22723"/>
  <c r="E10" i="22725"/>
  <c r="E55" i="4"/>
  <c r="AN11" i="22723"/>
  <c r="E48" i="4"/>
  <c r="BI11" i="22723"/>
  <c r="E42" i="4"/>
  <c r="D66" i="4"/>
  <c r="U10" i="22723" s="1"/>
  <c r="D75" i="4"/>
  <c r="CF10" i="22723" s="1"/>
  <c r="D79" i="4"/>
  <c r="DH10" i="22723" s="1"/>
  <c r="D69" i="4"/>
  <c r="AP10" i="22723" s="1"/>
  <c r="D72" i="4"/>
  <c r="BK10" i="22723" s="1"/>
  <c r="J210" i="22715"/>
  <c r="C50" i="22714"/>
  <c r="C51" i="22714" s="1"/>
  <c r="F83" i="22714" s="1"/>
  <c r="CJ56" i="22723"/>
  <c r="E79" i="4"/>
  <c r="DH11" i="22723" s="1"/>
  <c r="BI61" i="22723"/>
  <c r="BJ61" i="22723" s="1"/>
  <c r="CD61" i="22723"/>
  <c r="CE61" i="22723" s="1"/>
  <c r="DF61" i="22723"/>
  <c r="DG61" i="22723" s="1"/>
  <c r="BW61" i="22723"/>
  <c r="BX61" i="22723" s="1"/>
  <c r="Z61" i="22723"/>
  <c r="AA61" i="22723" s="1"/>
  <c r="L61" i="22723"/>
  <c r="M61" i="22723" s="1"/>
  <c r="C78" i="4"/>
  <c r="DA9" i="22723" s="1"/>
  <c r="C70" i="4"/>
  <c r="AW9" i="22723" s="1"/>
  <c r="C76" i="4"/>
  <c r="CM9" i="22723" s="1"/>
  <c r="B2" i="4"/>
  <c r="C21" i="22714"/>
  <c r="E21" i="22714" s="1"/>
  <c r="AU32" i="22723"/>
  <c r="E32" i="22723"/>
  <c r="CQ54" i="22723"/>
  <c r="F73" i="4"/>
  <c r="BN62" i="22723" s="1"/>
  <c r="F68" i="4"/>
  <c r="F71" i="4"/>
  <c r="AZ62" i="22723" s="1"/>
  <c r="F74" i="4"/>
  <c r="BU62" i="22723" s="1"/>
  <c r="E10" i="22723"/>
  <c r="G22" i="22726" s="1"/>
  <c r="CR10" i="22723"/>
  <c r="E76" i="4"/>
  <c r="CM11" i="22723" s="1"/>
  <c r="E77" i="4"/>
  <c r="CT11" i="22723" s="1"/>
  <c r="E67" i="4"/>
  <c r="AB11" i="22723" s="1"/>
  <c r="C67" i="4"/>
  <c r="AB9" i="22723" s="1"/>
  <c r="AU61" i="22723"/>
  <c r="AV61" i="22723" s="1"/>
  <c r="BP10" i="22723"/>
  <c r="AG61" i="22723"/>
  <c r="AH61" i="22723" s="1"/>
  <c r="C71" i="4"/>
  <c r="BD9" i="22723" s="1"/>
  <c r="AT56" i="22723"/>
  <c r="C77" i="4"/>
  <c r="CT9" i="22723" s="1"/>
  <c r="E78" i="4"/>
  <c r="DA11" i="22723" s="1"/>
  <c r="C30" i="4"/>
  <c r="CD60" i="22723" s="1"/>
  <c r="CE60" i="22723" s="1"/>
  <c r="C31" i="4"/>
  <c r="Z10" i="22723"/>
  <c r="C69" i="4"/>
  <c r="AP9" i="22723" s="1"/>
  <c r="BV57" i="22723"/>
  <c r="CP34" i="22723"/>
  <c r="Q34" i="22723"/>
  <c r="AN32" i="22723"/>
  <c r="Z32" i="22723"/>
  <c r="BP32" i="22723"/>
  <c r="CY32" i="22723"/>
  <c r="BW32" i="22723"/>
  <c r="E27" i="22725"/>
  <c r="F27" i="22725" s="1"/>
  <c r="BB32" i="22723"/>
  <c r="CK32" i="22723"/>
  <c r="S32" i="22723"/>
  <c r="BI32" i="22723"/>
  <c r="L32" i="22723"/>
  <c r="D47" i="4"/>
  <c r="AU10" i="22723"/>
  <c r="CD10" i="22723"/>
  <c r="CY10" i="22723"/>
  <c r="D46" i="4"/>
  <c r="BB10" i="22723"/>
  <c r="D53" i="4"/>
  <c r="E9" i="22725"/>
  <c r="D50" i="4"/>
  <c r="C55" i="4"/>
  <c r="AU9" i="22723"/>
  <c r="C50" i="4"/>
  <c r="CR9" i="22723"/>
  <c r="AG9" i="22723"/>
  <c r="BW9" i="22723"/>
  <c r="C51" i="4"/>
  <c r="D77" i="4"/>
  <c r="CT10" i="22723" s="1"/>
  <c r="D65" i="4"/>
  <c r="G10" i="22723"/>
  <c r="D73" i="4"/>
  <c r="BR10" i="22723" s="1"/>
  <c r="D67" i="4"/>
  <c r="AB10" i="22723" s="1"/>
  <c r="D78" i="4"/>
  <c r="DA10" i="22723" s="1"/>
  <c r="D76" i="4"/>
  <c r="CM10" i="22723" s="1"/>
  <c r="D68" i="4"/>
  <c r="D74" i="4"/>
  <c r="BY10" i="22723" s="1"/>
  <c r="D70" i="4"/>
  <c r="AW10" i="22723" s="1"/>
  <c r="D71" i="4"/>
  <c r="BD10" i="22723" s="1"/>
  <c r="B73" i="4"/>
  <c r="BR8" i="22723" s="1"/>
  <c r="B66" i="4"/>
  <c r="U8" i="22723" s="1"/>
  <c r="B74" i="4"/>
  <c r="BY8" i="22723" s="1"/>
  <c r="B76" i="4"/>
  <c r="CM8" i="22723" s="1"/>
  <c r="B67" i="4"/>
  <c r="AB8" i="22723" s="1"/>
  <c r="B68" i="4"/>
  <c r="B65" i="4"/>
  <c r="N8" i="22723" s="1"/>
  <c r="B70" i="4"/>
  <c r="AW8" i="22723" s="1"/>
  <c r="G8" i="22723"/>
  <c r="B71" i="4"/>
  <c r="BD8" i="22723" s="1"/>
  <c r="B77" i="4"/>
  <c r="CT8" i="22723" s="1"/>
  <c r="B78" i="4"/>
  <c r="DA8" i="22723" s="1"/>
  <c r="B69" i="4"/>
  <c r="AP8" i="22723" s="1"/>
  <c r="B75" i="4"/>
  <c r="CF8" i="22723" s="1"/>
  <c r="B72" i="4"/>
  <c r="BK8" i="22723" s="1"/>
  <c r="DF10" i="22723"/>
  <c r="AG10" i="22723"/>
  <c r="AN10" i="22723"/>
  <c r="L10" i="22723"/>
  <c r="BI10" i="22723"/>
  <c r="BW10" i="22723"/>
  <c r="D43" i="4"/>
  <c r="D55" i="4"/>
  <c r="D52" i="4"/>
  <c r="D51" i="4"/>
  <c r="D48" i="4"/>
  <c r="S10" i="22723"/>
  <c r="D49" i="4"/>
  <c r="D54" i="4"/>
  <c r="CK10" i="22723"/>
  <c r="A1" i="22726"/>
  <c r="A1" i="22714"/>
  <c r="A1" i="22725"/>
  <c r="BW8" i="22723"/>
  <c r="BI8" i="22723"/>
  <c r="B54" i="4"/>
  <c r="L63" i="2"/>
  <c r="CK63" i="2"/>
  <c r="E59" i="2"/>
  <c r="F59" i="2" s="1"/>
  <c r="Z63" i="2"/>
  <c r="AU8" i="22723"/>
  <c r="B43" i="4"/>
  <c r="B41" i="4"/>
  <c r="B51" i="4"/>
  <c r="AN8" i="22723"/>
  <c r="B42" i="4"/>
  <c r="CK8" i="22723"/>
  <c r="BB8" i="22723"/>
  <c r="AG8" i="22723"/>
  <c r="CY8" i="22723"/>
  <c r="B46" i="4"/>
  <c r="B49" i="4"/>
  <c r="B50" i="4"/>
  <c r="DF8" i="22723"/>
  <c r="BP8" i="22723"/>
  <c r="B52" i="4"/>
  <c r="S8" i="22723"/>
  <c r="Z8" i="22723"/>
  <c r="L8" i="22723"/>
  <c r="E8" i="22723"/>
  <c r="B55" i="4"/>
  <c r="B48" i="4"/>
  <c r="B47" i="4"/>
  <c r="CR8" i="22723"/>
  <c r="B44" i="4"/>
  <c r="B53" i="4"/>
  <c r="CD8" i="22723"/>
  <c r="B45" i="4"/>
  <c r="T42" i="2"/>
  <c r="BQ42" i="2"/>
  <c r="BH57" i="22723"/>
  <c r="CJ57" i="22723"/>
  <c r="F8" i="22729" a="1"/>
  <c r="F8" i="22729" s="1"/>
  <c r="F9" i="22729" s="1" a="1"/>
  <c r="F9" i="22729" s="1"/>
  <c r="C7" i="22729" a="1"/>
  <c r="C7" i="22729" s="1"/>
  <c r="C8" i="22729" s="1" a="1"/>
  <c r="C8" i="22729" s="1"/>
  <c r="D7" i="22729" a="1"/>
  <c r="D7" i="22729" s="1"/>
  <c r="G7" i="22729" a="1"/>
  <c r="G7" i="22729" s="1"/>
  <c r="G8" i="22729" s="1" a="1"/>
  <c r="G8" i="22729" s="1"/>
  <c r="B8" i="22729" a="1"/>
  <c r="B8" i="22729" s="1"/>
  <c r="B9" i="22729" s="1" a="1"/>
  <c r="B9" i="22729" s="1"/>
  <c r="E7" i="22729" a="1"/>
  <c r="E7" i="22729" s="1"/>
  <c r="E8" i="22729" s="1" a="1"/>
  <c r="E8" i="22729" s="1"/>
  <c r="BQ41" i="2"/>
  <c r="BA58" i="2"/>
  <c r="R57" i="22723"/>
  <c r="AM57" i="22723"/>
  <c r="J207" i="22715"/>
  <c r="G144" i="1" l="1"/>
  <c r="G143" i="1"/>
  <c r="C40" i="22725"/>
  <c r="D51" i="22725" s="1"/>
  <c r="CY59" i="22723"/>
  <c r="CZ59" i="22723" s="1"/>
  <c r="F40" i="3"/>
  <c r="F54" i="3"/>
  <c r="B109" i="3" s="1"/>
  <c r="AM54" i="2"/>
  <c r="AO54" i="2" s="1"/>
  <c r="CZ19" i="2"/>
  <c r="BX43" i="2"/>
  <c r="AF55" i="2"/>
  <c r="AH55" i="2" s="1"/>
  <c r="Y55" i="2"/>
  <c r="AA55" i="2" s="1"/>
  <c r="K40" i="3"/>
  <c r="B32" i="22715"/>
  <c r="C32" i="22715" s="1"/>
  <c r="G139" i="1"/>
  <c r="G140" i="1"/>
  <c r="BG8" i="2"/>
  <c r="AV57" i="2"/>
  <c r="BJ43" i="2"/>
  <c r="G144" i="22714"/>
  <c r="CX11" i="2"/>
  <c r="CZ32" i="2" s="1"/>
  <c r="F39" i="3"/>
  <c r="B141" i="3" s="1"/>
  <c r="BV11" i="2"/>
  <c r="BX11" i="2" s="1"/>
  <c r="CZ54" i="2"/>
  <c r="DH12" i="2"/>
  <c r="F55" i="3"/>
  <c r="B103" i="3" s="1"/>
  <c r="CS19" i="2"/>
  <c r="CC54" i="2"/>
  <c r="CE54" i="2" s="1"/>
  <c r="E30" i="1"/>
  <c r="CL57" i="2"/>
  <c r="E81" i="1"/>
  <c r="G152" i="1"/>
  <c r="G141" i="1"/>
  <c r="F55" i="2"/>
  <c r="BX57" i="2"/>
  <c r="M57" i="2"/>
  <c r="CS57" i="2"/>
  <c r="T25" i="22723"/>
  <c r="DG25" i="22723"/>
  <c r="CS25" i="22723"/>
  <c r="CE25" i="22723"/>
  <c r="BQ25" i="22723"/>
  <c r="BC25" i="22723"/>
  <c r="AO25" i="22723"/>
  <c r="AA25" i="22723"/>
  <c r="F25" i="22723"/>
  <c r="BB60" i="22723"/>
  <c r="BC60" i="22723" s="1"/>
  <c r="Z62" i="22723"/>
  <c r="BB58" i="22723"/>
  <c r="BC58" i="22723" s="1"/>
  <c r="L56" i="22723"/>
  <c r="M56" i="22723" s="1"/>
  <c r="BP55" i="22723"/>
  <c r="BQ55" i="22723" s="1"/>
  <c r="E54" i="22723"/>
  <c r="F54" i="22723" s="1"/>
  <c r="BB55" i="22723"/>
  <c r="BC55" i="22723" s="1"/>
  <c r="P34" i="22723"/>
  <c r="T34" i="22723" s="1"/>
  <c r="CO34" i="22723"/>
  <c r="CS34" i="22723" s="1"/>
  <c r="AU57" i="22723"/>
  <c r="AV57" i="22723" s="1"/>
  <c r="DF57" i="22723"/>
  <c r="DG57" i="22723" s="1"/>
  <c r="AF54" i="22723"/>
  <c r="BO54" i="22723"/>
  <c r="R54" i="22723"/>
  <c r="AT54" i="22723"/>
  <c r="F155" i="22714"/>
  <c r="G11" i="3"/>
  <c r="G127" i="22714"/>
  <c r="F135" i="22714"/>
  <c r="E11" i="3"/>
  <c r="B142" i="3"/>
  <c r="K39" i="3"/>
  <c r="H207" i="22715"/>
  <c r="AV42" i="2"/>
  <c r="BQ19" i="2"/>
  <c r="AA19" i="2"/>
  <c r="BX19" i="2"/>
  <c r="DG43" i="2"/>
  <c r="CL54" i="2"/>
  <c r="AH43" i="2"/>
  <c r="CL19" i="2"/>
  <c r="AM55" i="2"/>
  <c r="AO55" i="2" s="1"/>
  <c r="AT55" i="2"/>
  <c r="AV55" i="2" s="1"/>
  <c r="AO19" i="2"/>
  <c r="BJ54" i="2"/>
  <c r="CZ63" i="2"/>
  <c r="BC57" i="2"/>
  <c r="DF12" i="2"/>
  <c r="AH34" i="22723"/>
  <c r="Y54" i="2"/>
  <c r="AA54" i="2" s="1"/>
  <c r="BQ57" i="2"/>
  <c r="G152" i="22714"/>
  <c r="AO57" i="2"/>
  <c r="E44" i="1"/>
  <c r="E49" i="1"/>
  <c r="G140" i="22714"/>
  <c r="G143" i="22714"/>
  <c r="G142" i="22714"/>
  <c r="BJ57" i="2"/>
  <c r="AA57" i="2"/>
  <c r="H206" i="22715"/>
  <c r="H215" i="22715"/>
  <c r="F38" i="3"/>
  <c r="B140" i="3" s="1"/>
  <c r="K38" i="3"/>
  <c r="CJ58" i="2"/>
  <c r="CL58" i="2" s="1"/>
  <c r="CZ43" i="2"/>
  <c r="AH19" i="2"/>
  <c r="F19" i="2"/>
  <c r="AV41" i="2"/>
  <c r="AT54" i="2"/>
  <c r="AV54" i="2" s="1"/>
  <c r="CE19" i="2"/>
  <c r="CJ55" i="2"/>
  <c r="M19" i="2"/>
  <c r="CL41" i="2"/>
  <c r="CX10" i="2"/>
  <c r="CW10" i="2" s="1"/>
  <c r="R55" i="2"/>
  <c r="T55" i="2" s="1"/>
  <c r="BV54" i="2"/>
  <c r="BX54" i="2" s="1"/>
  <c r="CX9" i="2"/>
  <c r="CW9" i="2" s="1"/>
  <c r="AA42" i="2"/>
  <c r="CZ33" i="2"/>
  <c r="BX32" i="2"/>
  <c r="R58" i="2"/>
  <c r="CX8" i="2"/>
  <c r="CZ8" i="2" s="1"/>
  <c r="H41" i="5"/>
  <c r="I41" i="5" s="1"/>
  <c r="T19" i="2"/>
  <c r="F41" i="2"/>
  <c r="G121" i="1"/>
  <c r="BC19" i="2"/>
  <c r="BA54" i="2"/>
  <c r="BC54" i="2" s="1"/>
  <c r="BX33" i="2"/>
  <c r="BV10" i="2"/>
  <c r="BU10" i="2" s="1"/>
  <c r="BV9" i="2"/>
  <c r="BX9" i="2" s="1"/>
  <c r="BA55" i="2"/>
  <c r="CQ54" i="2"/>
  <c r="CS54" i="2" s="1"/>
  <c r="AF54" i="2"/>
  <c r="AH54" i="2" s="1"/>
  <c r="CL43" i="2"/>
  <c r="BJ19" i="2"/>
  <c r="BV8" i="2"/>
  <c r="BX8" i="2" s="1"/>
  <c r="BV63" i="2"/>
  <c r="BX63" i="2" s="1"/>
  <c r="D52" i="3"/>
  <c r="F52" i="3" s="1"/>
  <c r="DE55" i="2"/>
  <c r="DG55" i="2" s="1"/>
  <c r="Z17" i="22723"/>
  <c r="AA17" i="22723" s="1"/>
  <c r="BW16" i="22723"/>
  <c r="BX16" i="22723" s="1"/>
  <c r="BV55" i="2"/>
  <c r="BX55" i="2" s="1"/>
  <c r="AM8" i="2"/>
  <c r="AL8" i="2" s="1"/>
  <c r="F43" i="2"/>
  <c r="D54" i="2"/>
  <c r="F54" i="2" s="1"/>
  <c r="CC55" i="2"/>
  <c r="E42" i="1"/>
  <c r="C50" i="1"/>
  <c r="E50" i="1" s="1"/>
  <c r="K55" i="2"/>
  <c r="M55" i="2" s="1"/>
  <c r="M41" i="2"/>
  <c r="Y12" i="2"/>
  <c r="CW11" i="2"/>
  <c r="AO42" i="2"/>
  <c r="BO58" i="2"/>
  <c r="BQ58" i="2" s="1"/>
  <c r="CK16" i="22723"/>
  <c r="CL16" i="22723" s="1"/>
  <c r="BQ43" i="2"/>
  <c r="AH42" i="2"/>
  <c r="AF58" i="2"/>
  <c r="CC12" i="2"/>
  <c r="CJ12" i="2"/>
  <c r="R12" i="2"/>
  <c r="AO10" i="2"/>
  <c r="AL10" i="2"/>
  <c r="CZ10" i="2"/>
  <c r="E72" i="1"/>
  <c r="BX10" i="2"/>
  <c r="CQ12" i="2"/>
  <c r="BO55" i="2"/>
  <c r="BQ55" i="2" s="1"/>
  <c r="M43" i="2"/>
  <c r="K54" i="2"/>
  <c r="BM35" i="2"/>
  <c r="BQ35" i="2" s="1"/>
  <c r="AD35" i="2"/>
  <c r="AH35" i="2" s="1"/>
  <c r="BF35" i="2"/>
  <c r="BJ35" i="2" s="1"/>
  <c r="BT35" i="2"/>
  <c r="BX35" i="2" s="1"/>
  <c r="P35" i="2"/>
  <c r="T35" i="2" s="1"/>
  <c r="B32" i="3"/>
  <c r="F32" i="3" s="1"/>
  <c r="AR35" i="2"/>
  <c r="AV35" i="2" s="1"/>
  <c r="B35" i="2"/>
  <c r="F35" i="2" s="1"/>
  <c r="DC35" i="2"/>
  <c r="DG35" i="2" s="1"/>
  <c r="AY35" i="2"/>
  <c r="BC35" i="2" s="1"/>
  <c r="CH35" i="2"/>
  <c r="CL35" i="2" s="1"/>
  <c r="CO35" i="2"/>
  <c r="CS35" i="2" s="1"/>
  <c r="AK35" i="2"/>
  <c r="AO35" i="2" s="1"/>
  <c r="I35" i="2"/>
  <c r="M35" i="2" s="1"/>
  <c r="W35" i="2"/>
  <c r="AA35" i="2" s="1"/>
  <c r="CA35" i="2"/>
  <c r="CE35" i="2" s="1"/>
  <c r="CV35" i="2"/>
  <c r="CZ35" i="2" s="1"/>
  <c r="AF12" i="2"/>
  <c r="F59" i="16"/>
  <c r="K12" i="2"/>
  <c r="BO12" i="2"/>
  <c r="F58" i="16"/>
  <c r="D12" i="2"/>
  <c r="F60" i="16"/>
  <c r="F57" i="16"/>
  <c r="AM11" i="2"/>
  <c r="AO33" i="2"/>
  <c r="AM63" i="2"/>
  <c r="AM9" i="2"/>
  <c r="H32" i="5"/>
  <c r="I32" i="5" s="1"/>
  <c r="BG11" i="2"/>
  <c r="BJ11" i="2"/>
  <c r="BJ32" i="2"/>
  <c r="BJ34" i="2" s="1"/>
  <c r="BJ38" i="2" s="1"/>
  <c r="BJ10" i="2"/>
  <c r="BG10" i="2"/>
  <c r="E37" i="1"/>
  <c r="E40" i="1" s="1"/>
  <c r="T43" i="2"/>
  <c r="R54" i="2"/>
  <c r="T54" i="2" s="1"/>
  <c r="BA12" i="2"/>
  <c r="DE12" i="2"/>
  <c r="AT12" i="2"/>
  <c r="BJ9" i="2"/>
  <c r="BG9" i="2"/>
  <c r="BJ63" i="2"/>
  <c r="K40" i="22725"/>
  <c r="CJ54" i="22723"/>
  <c r="B10" i="22729" a="1"/>
  <c r="B10" i="22729" s="1"/>
  <c r="B11" i="22729" s="1" a="1"/>
  <c r="B11" i="22729" s="1"/>
  <c r="CR17" i="22723"/>
  <c r="CS17" i="22723" s="1"/>
  <c r="AU17" i="22723"/>
  <c r="AV17" i="22723" s="1"/>
  <c r="CY17" i="22723"/>
  <c r="CZ17" i="22723" s="1"/>
  <c r="AN17" i="22723"/>
  <c r="AO17" i="22723" s="1"/>
  <c r="AN16" i="22723"/>
  <c r="AO16" i="22723" s="1"/>
  <c r="E16" i="22725"/>
  <c r="F16" i="22725" s="1"/>
  <c r="BW17" i="22723"/>
  <c r="BX17" i="22723" s="1"/>
  <c r="BP17" i="22723"/>
  <c r="BQ17" i="22723" s="1"/>
  <c r="CR16" i="22723"/>
  <c r="CS16" i="22723" s="1"/>
  <c r="CS19" i="22723" s="1"/>
  <c r="E15" i="22725"/>
  <c r="F15" i="22725" s="1"/>
  <c r="BI16" i="22723"/>
  <c r="BJ16" i="22723" s="1"/>
  <c r="S17" i="22723"/>
  <c r="T17" i="22723" s="1"/>
  <c r="BP16" i="22723"/>
  <c r="BQ16" i="22723" s="1"/>
  <c r="F19" i="22723"/>
  <c r="DF56" i="22723"/>
  <c r="DG56" i="22723" s="1"/>
  <c r="BI57" i="22723"/>
  <c r="BJ57" i="22723" s="1"/>
  <c r="L58" i="22723"/>
  <c r="M58" i="22723" s="1"/>
  <c r="BA54" i="22723"/>
  <c r="CH34" i="22723"/>
  <c r="CL34" i="22723" s="1"/>
  <c r="BI56" i="22723"/>
  <c r="BJ56" i="22723" s="1"/>
  <c r="BB62" i="22723"/>
  <c r="DF55" i="22723"/>
  <c r="DG55" i="22723" s="1"/>
  <c r="DF53" i="22723"/>
  <c r="DG53" i="22723" s="1"/>
  <c r="D45" i="22714"/>
  <c r="E45" i="22714" s="1"/>
  <c r="E60" i="22723"/>
  <c r="F60" i="22723" s="1"/>
  <c r="E57" i="22723"/>
  <c r="F57" i="22723" s="1"/>
  <c r="S58" i="22723"/>
  <c r="T58" i="22723" s="1"/>
  <c r="CR62" i="22723"/>
  <c r="CK62" i="22723"/>
  <c r="Y54" i="22723"/>
  <c r="E50" i="22714"/>
  <c r="BM34" i="22723"/>
  <c r="BQ34" i="22723" s="1"/>
  <c r="CK54" i="22723"/>
  <c r="BW60" i="22723"/>
  <c r="BX60" i="22723" s="1"/>
  <c r="CR57" i="22723"/>
  <c r="CS57" i="22723" s="1"/>
  <c r="BI59" i="22723"/>
  <c r="BJ59" i="22723" s="1"/>
  <c r="AN54" i="22723"/>
  <c r="BV54" i="22723"/>
  <c r="D49" i="22714"/>
  <c r="E49" i="22714" s="1"/>
  <c r="CD55" i="22723"/>
  <c r="CE55" i="22723" s="1"/>
  <c r="CY60" i="22723"/>
  <c r="CZ60" i="22723" s="1"/>
  <c r="CK60" i="22723"/>
  <c r="CL60" i="22723" s="1"/>
  <c r="CY62" i="22723"/>
  <c r="CD57" i="22723"/>
  <c r="BW58" i="22723"/>
  <c r="BX58" i="22723" s="1"/>
  <c r="CD56" i="22723"/>
  <c r="CE56" i="22723" s="1"/>
  <c r="DE54" i="22723"/>
  <c r="BF34" i="22723"/>
  <c r="BJ34" i="22723" s="1"/>
  <c r="J215" i="22715"/>
  <c r="L60" i="22723"/>
  <c r="M60" i="22723" s="1"/>
  <c r="CY56" i="22723"/>
  <c r="CZ56" i="22723" s="1"/>
  <c r="D42" i="22714"/>
  <c r="E42" i="22714" s="1"/>
  <c r="CK56" i="22723"/>
  <c r="CL56" i="22723" s="1"/>
  <c r="AN60" i="22723"/>
  <c r="AO60" i="22723" s="1"/>
  <c r="D47" i="22714"/>
  <c r="E47" i="22714" s="1"/>
  <c r="AG56" i="22723"/>
  <c r="AH56" i="22723" s="1"/>
  <c r="S55" i="22723"/>
  <c r="T55" i="22723" s="1"/>
  <c r="L53" i="22723"/>
  <c r="M53" i="22723" s="1"/>
  <c r="Z55" i="22723"/>
  <c r="AA55" i="22723" s="1"/>
  <c r="D48" i="22714"/>
  <c r="E48" i="22714" s="1"/>
  <c r="CD53" i="22723"/>
  <c r="CE53" i="22723" s="1"/>
  <c r="D43" i="22714"/>
  <c r="E43" i="22714" s="1"/>
  <c r="BI60" i="22723"/>
  <c r="BJ60" i="22723" s="1"/>
  <c r="CY55" i="22723"/>
  <c r="CZ55" i="22723" s="1"/>
  <c r="AN55" i="22723"/>
  <c r="AO55" i="22723" s="1"/>
  <c r="AU55" i="22723"/>
  <c r="AV55" i="22723" s="1"/>
  <c r="E53" i="22725"/>
  <c r="F53" i="22725" s="1"/>
  <c r="B102" i="22725" s="1"/>
  <c r="B116" i="22725" s="1"/>
  <c r="J113" i="22715" s="1"/>
  <c r="I113" i="22715" s="1"/>
  <c r="E57" i="22725"/>
  <c r="F57" i="22725" s="1"/>
  <c r="B105" i="22725" s="1"/>
  <c r="Z59" i="22723"/>
  <c r="AA59" i="22723" s="1"/>
  <c r="DF62" i="22723"/>
  <c r="AN62" i="22723"/>
  <c r="E59" i="22723"/>
  <c r="F59" i="22723" s="1"/>
  <c r="DF59" i="22723"/>
  <c r="DG59" i="22723" s="1"/>
  <c r="E62" i="22723"/>
  <c r="AG62" i="22723"/>
  <c r="BP62" i="22723"/>
  <c r="CD58" i="22723"/>
  <c r="CE58" i="22723" s="1"/>
  <c r="E56" i="22725"/>
  <c r="CK58" i="22723"/>
  <c r="CL58" i="22723" s="1"/>
  <c r="CD62" i="22723"/>
  <c r="L57" i="22723"/>
  <c r="M57" i="22723" s="1"/>
  <c r="BB59" i="22723"/>
  <c r="BC59" i="22723" s="1"/>
  <c r="S53" i="22723"/>
  <c r="T53" i="22723" s="1"/>
  <c r="CY54" i="22723"/>
  <c r="Z54" i="22723"/>
  <c r="S60" i="22723"/>
  <c r="T60" i="22723" s="1"/>
  <c r="I34" i="22723"/>
  <c r="M34" i="22723" s="1"/>
  <c r="CV34" i="22723"/>
  <c r="CZ34" i="22723" s="1"/>
  <c r="CA34" i="22723"/>
  <c r="CE34" i="22723" s="1"/>
  <c r="BP59" i="22723"/>
  <c r="BQ59" i="22723" s="1"/>
  <c r="BB53" i="22723"/>
  <c r="BC53" i="22723" s="1"/>
  <c r="BW55" i="22723"/>
  <c r="BX55" i="22723" s="1"/>
  <c r="CD54" i="22723"/>
  <c r="L55" i="22723"/>
  <c r="M55" i="22723" s="1"/>
  <c r="CK55" i="22723"/>
  <c r="CL55" i="22723" s="1"/>
  <c r="DF54" i="22723"/>
  <c r="AU56" i="22723"/>
  <c r="AV56" i="22723" s="1"/>
  <c r="Z60" i="22723"/>
  <c r="AA60" i="22723" s="1"/>
  <c r="CY53" i="22723"/>
  <c r="CZ53" i="22723" s="1"/>
  <c r="BW54" i="22723"/>
  <c r="D46" i="22714"/>
  <c r="E46" i="22714" s="1"/>
  <c r="Z56" i="22723"/>
  <c r="AA56" i="22723" s="1"/>
  <c r="S56" i="22723"/>
  <c r="T56" i="22723" s="1"/>
  <c r="E51" i="22725"/>
  <c r="L54" i="22723"/>
  <c r="M54" i="22723" s="1"/>
  <c r="BI54" i="22723"/>
  <c r="CR55" i="22723"/>
  <c r="CS55" i="22723" s="1"/>
  <c r="CK57" i="22723"/>
  <c r="CL57" i="22723" s="1"/>
  <c r="AU58" i="22723"/>
  <c r="AV58" i="22723" s="1"/>
  <c r="S57" i="22723"/>
  <c r="T57" i="22723" s="1"/>
  <c r="BP58" i="22723"/>
  <c r="BQ58" i="22723" s="1"/>
  <c r="BW62" i="22723"/>
  <c r="BW57" i="22723"/>
  <c r="BX57" i="22723" s="1"/>
  <c r="AG59" i="22723"/>
  <c r="AH59" i="22723" s="1"/>
  <c r="AN59" i="22723"/>
  <c r="AO59" i="22723" s="1"/>
  <c r="CY58" i="22723"/>
  <c r="CZ58" i="22723" s="1"/>
  <c r="CK59" i="22723"/>
  <c r="CL59" i="22723" s="1"/>
  <c r="AN57" i="22723"/>
  <c r="AO57" i="22723" s="1"/>
  <c r="DF58" i="22723"/>
  <c r="DG58" i="22723" s="1"/>
  <c r="BI62" i="22723"/>
  <c r="Z58" i="22723"/>
  <c r="AA58" i="22723" s="1"/>
  <c r="AU62" i="22723"/>
  <c r="E58" i="22725"/>
  <c r="F58" i="22725" s="1"/>
  <c r="B106" i="22725" s="1"/>
  <c r="E53" i="22723"/>
  <c r="F53" i="22723" s="1"/>
  <c r="BP57" i="22723"/>
  <c r="BQ57" i="22723" s="1"/>
  <c r="Z53" i="22723"/>
  <c r="AA53" i="22723" s="1"/>
  <c r="DF60" i="22723"/>
  <c r="DG60" i="22723" s="1"/>
  <c r="B34" i="22723"/>
  <c r="F34" i="22723" s="1"/>
  <c r="AK34" i="22723"/>
  <c r="AO34" i="22723" s="1"/>
  <c r="AR34" i="22723"/>
  <c r="AV34" i="22723" s="1"/>
  <c r="AY34" i="22723"/>
  <c r="BC34" i="22723" s="1"/>
  <c r="CC54" i="22723"/>
  <c r="CR54" i="22723"/>
  <c r="CS54" i="22723" s="1"/>
  <c r="BI55" i="22723"/>
  <c r="BJ55" i="22723" s="1"/>
  <c r="E55" i="22723"/>
  <c r="F55" i="22723" s="1"/>
  <c r="AG55" i="22723"/>
  <c r="AH55" i="22723" s="1"/>
  <c r="BW56" i="22723"/>
  <c r="BX56" i="22723" s="1"/>
  <c r="E54" i="22725"/>
  <c r="F54" i="22725" s="1"/>
  <c r="B109" i="22725" s="1"/>
  <c r="S54" i="22723"/>
  <c r="E59" i="22725"/>
  <c r="F59" i="22725" s="1"/>
  <c r="B107" i="22725" s="1"/>
  <c r="AU53" i="22723"/>
  <c r="AV53" i="22723" s="1"/>
  <c r="D74" i="22714"/>
  <c r="E74" i="22714" s="1"/>
  <c r="D44" i="22714"/>
  <c r="E44" i="22714" s="1"/>
  <c r="AN53" i="22723"/>
  <c r="AO53" i="22723" s="1"/>
  <c r="BP53" i="22723"/>
  <c r="BQ53" i="22723" s="1"/>
  <c r="CR60" i="22723"/>
  <c r="CS60" i="22723" s="1"/>
  <c r="AG53" i="22723"/>
  <c r="AH53" i="22723" s="1"/>
  <c r="BB54" i="22723"/>
  <c r="CR53" i="22723"/>
  <c r="CS53" i="22723" s="1"/>
  <c r="CR59" i="22723"/>
  <c r="CS59" i="22723" s="1"/>
  <c r="E58" i="22723"/>
  <c r="F58" i="22723" s="1"/>
  <c r="Z57" i="22723"/>
  <c r="AA57" i="22723" s="1"/>
  <c r="AU59" i="22723"/>
  <c r="AV59" i="22723" s="1"/>
  <c r="AN58" i="22723"/>
  <c r="AO58" i="22723" s="1"/>
  <c r="AG57" i="22723"/>
  <c r="CY57" i="22723"/>
  <c r="L62" i="22723"/>
  <c r="S62" i="22723"/>
  <c r="BI58" i="22723"/>
  <c r="BJ58" i="22723" s="1"/>
  <c r="BB57" i="22723"/>
  <c r="BC57" i="22723" s="1"/>
  <c r="BW59" i="22723"/>
  <c r="BX59" i="22723" s="1"/>
  <c r="CD59" i="22723"/>
  <c r="CE59" i="22723" s="1"/>
  <c r="CR58" i="22723"/>
  <c r="CS58" i="22723" s="1"/>
  <c r="AG58" i="22723"/>
  <c r="AH58" i="22723" s="1"/>
  <c r="BB56" i="22723"/>
  <c r="BC56" i="22723" s="1"/>
  <c r="S59" i="22723"/>
  <c r="T59" i="22723" s="1"/>
  <c r="AU54" i="22723"/>
  <c r="DC34" i="22723"/>
  <c r="DG34" i="22723" s="1"/>
  <c r="B32" i="22725"/>
  <c r="F32" i="22725" s="1"/>
  <c r="K38" i="22725"/>
  <c r="CX57" i="22723"/>
  <c r="DH12" i="22723"/>
  <c r="BT34" i="22723"/>
  <c r="BX34" i="22723" s="1"/>
  <c r="W34" i="22723"/>
  <c r="AA34" i="22723" s="1"/>
  <c r="C80" i="4"/>
  <c r="G8" i="22725" s="1"/>
  <c r="D8" i="22725" s="1"/>
  <c r="F8" i="22725" s="1"/>
  <c r="D46" i="22715" s="1"/>
  <c r="AM54" i="22723"/>
  <c r="CX54" i="22723"/>
  <c r="B81" i="4"/>
  <c r="F81" i="4"/>
  <c r="E81" i="4"/>
  <c r="E80" i="4"/>
  <c r="G10" i="22725" s="1"/>
  <c r="D10" i="22725" s="1"/>
  <c r="F26" i="22725" s="1"/>
  <c r="AE62" i="22723"/>
  <c r="F80" i="4"/>
  <c r="C56" i="22725" s="1"/>
  <c r="D56" i="22725" s="1"/>
  <c r="D52" i="22725"/>
  <c r="C59" i="4"/>
  <c r="AG54" i="22723"/>
  <c r="AN56" i="22723"/>
  <c r="AO56" i="22723" s="1"/>
  <c r="BP54" i="22723"/>
  <c r="E52" i="22725"/>
  <c r="BP60" i="22723"/>
  <c r="BQ60" i="22723" s="1"/>
  <c r="BW53" i="22723"/>
  <c r="BX53" i="22723" s="1"/>
  <c r="BP56" i="22723"/>
  <c r="BQ56" i="22723" s="1"/>
  <c r="CR56" i="22723"/>
  <c r="CS56" i="22723" s="1"/>
  <c r="E55" i="22725"/>
  <c r="BI53" i="22723"/>
  <c r="BJ53" i="22723" s="1"/>
  <c r="AU60" i="22723"/>
  <c r="AV60" i="22723" s="1"/>
  <c r="CK53" i="22723"/>
  <c r="CL53" i="22723" s="1"/>
  <c r="AG60" i="22723"/>
  <c r="AH60" i="22723" s="1"/>
  <c r="E56" i="22723"/>
  <c r="F56" i="22723" s="1"/>
  <c r="C81" i="4"/>
  <c r="BH54" i="22723"/>
  <c r="D58" i="4"/>
  <c r="D59" i="4"/>
  <c r="C58" i="4"/>
  <c r="BW12" i="22723"/>
  <c r="AI10" i="22723"/>
  <c r="D80" i="4"/>
  <c r="G9" i="22725" s="1"/>
  <c r="D9" i="22725" s="1"/>
  <c r="N10" i="22723"/>
  <c r="D81" i="4"/>
  <c r="DA12" i="22723"/>
  <c r="G12" i="22723"/>
  <c r="AB12" i="22723"/>
  <c r="BR12" i="22723"/>
  <c r="U12" i="22723"/>
  <c r="BK12" i="22723"/>
  <c r="CT12" i="22723"/>
  <c r="AW12" i="22723"/>
  <c r="CM12" i="22723"/>
  <c r="AP12" i="22723"/>
  <c r="B80" i="4"/>
  <c r="G7" i="22725" s="1"/>
  <c r="AI8" i="22723"/>
  <c r="CF12" i="22723"/>
  <c r="BD12" i="22723"/>
  <c r="BY12" i="22723"/>
  <c r="BI12" i="22723"/>
  <c r="B58" i="4"/>
  <c r="G131" i="22714"/>
  <c r="G128" i="22714"/>
  <c r="G130" i="22714"/>
  <c r="G129" i="22714"/>
  <c r="G125" i="22714"/>
  <c r="F131" i="1"/>
  <c r="G127" i="1" s="1"/>
  <c r="G124" i="22714"/>
  <c r="G92" i="1"/>
  <c r="G116" i="1"/>
  <c r="G113" i="1"/>
  <c r="G97" i="1"/>
  <c r="G96" i="1"/>
  <c r="G100" i="1"/>
  <c r="G107" i="1"/>
  <c r="G114" i="1"/>
  <c r="G115" i="1"/>
  <c r="G87" i="1"/>
  <c r="G117" i="1"/>
  <c r="G103" i="1"/>
  <c r="G91" i="1"/>
  <c r="G94" i="1"/>
  <c r="G99" i="1"/>
  <c r="G95" i="1"/>
  <c r="G101" i="1"/>
  <c r="G88" i="1"/>
  <c r="G104" i="1"/>
  <c r="E80" i="1"/>
  <c r="G98" i="1"/>
  <c r="G89" i="1"/>
  <c r="G90" i="1"/>
  <c r="G106" i="1"/>
  <c r="AN12" i="22723"/>
  <c r="AU12" i="22723"/>
  <c r="BP12" i="22723"/>
  <c r="CR12" i="22723"/>
  <c r="Z12" i="22723"/>
  <c r="DF12" i="22723"/>
  <c r="CY12" i="22723"/>
  <c r="CD12" i="22723"/>
  <c r="S12" i="22723"/>
  <c r="CK12" i="22723"/>
  <c r="B59" i="4"/>
  <c r="E12" i="22723"/>
  <c r="E22" i="22726"/>
  <c r="BB12" i="22723"/>
  <c r="AA58" i="2"/>
  <c r="BV58" i="2"/>
  <c r="BX42" i="2"/>
  <c r="CC58" i="2"/>
  <c r="CE42" i="2"/>
  <c r="AF57" i="22723"/>
  <c r="D8" i="22729" a="1"/>
  <c r="D8" i="22729" s="1"/>
  <c r="C9" i="22729" a="1"/>
  <c r="C9" i="22729" s="1"/>
  <c r="C10" i="22729" s="1" a="1"/>
  <c r="C10" i="22729" s="1"/>
  <c r="E9" i="22729" a="1"/>
  <c r="E9" i="22729" s="1"/>
  <c r="G9" i="22729" a="1"/>
  <c r="G9" i="22729" s="1"/>
  <c r="F10" i="22729" a="1"/>
  <c r="F10" i="22729" s="1"/>
  <c r="BH58" i="2"/>
  <c r="BJ42" i="2"/>
  <c r="AV58" i="2"/>
  <c r="BC55" i="2"/>
  <c r="CL55" i="2"/>
  <c r="CX58" i="2"/>
  <c r="CZ42" i="2"/>
  <c r="BC58" i="2"/>
  <c r="AO58" i="2"/>
  <c r="DG42" i="2"/>
  <c r="DE58" i="2"/>
  <c r="CX49" i="2"/>
  <c r="CX50" i="2" s="1"/>
  <c r="CZ50" i="2" s="1"/>
  <c r="CZ41" i="2"/>
  <c r="CX55" i="2"/>
  <c r="BJ41" i="2"/>
  <c r="BH49" i="2"/>
  <c r="BH50" i="2" s="1"/>
  <c r="BJ50" i="2" s="1"/>
  <c r="BH55" i="2"/>
  <c r="CS41" i="2"/>
  <c r="CQ55" i="2"/>
  <c r="CE55" i="2"/>
  <c r="T58" i="2"/>
  <c r="CS42" i="2"/>
  <c r="CQ58" i="2"/>
  <c r="K39" i="22725"/>
  <c r="CC57" i="22723"/>
  <c r="D55" i="22725"/>
  <c r="BQ19" i="22723" l="1"/>
  <c r="AO19" i="22723"/>
  <c r="D24" i="22714"/>
  <c r="E24" i="22714" s="1"/>
  <c r="D23" i="22714"/>
  <c r="E23" i="22714" s="1"/>
  <c r="BB16" i="22723"/>
  <c r="BC16" i="22723" s="1"/>
  <c r="AU16" i="22723"/>
  <c r="AV16" i="22723" s="1"/>
  <c r="AV19" i="22723" s="1"/>
  <c r="AG17" i="22723"/>
  <c r="AH17" i="22723" s="1"/>
  <c r="L16" i="22723"/>
  <c r="M16" i="22723" s="1"/>
  <c r="DF17" i="22723"/>
  <c r="DG17" i="22723" s="1"/>
  <c r="BI17" i="22723"/>
  <c r="BJ17" i="22723" s="1"/>
  <c r="CY16" i="22723"/>
  <c r="CZ16" i="22723" s="1"/>
  <c r="CZ19" i="22723" s="1"/>
  <c r="BB17" i="22723"/>
  <c r="BC17" i="22723" s="1"/>
  <c r="Z16" i="22723"/>
  <c r="AA16" i="22723" s="1"/>
  <c r="AA19" i="22723" s="1"/>
  <c r="L17" i="22723"/>
  <c r="M17" i="22723" s="1"/>
  <c r="CK17" i="22723"/>
  <c r="CL17" i="22723" s="1"/>
  <c r="CL19" i="22723" s="1"/>
  <c r="S16" i="22723"/>
  <c r="T16" i="22723" s="1"/>
  <c r="AG16" i="22723"/>
  <c r="AH16" i="22723" s="1"/>
  <c r="CD16" i="22723"/>
  <c r="CE16" i="22723" s="1"/>
  <c r="CD17" i="22723"/>
  <c r="CE17" i="22723" s="1"/>
  <c r="DF16" i="22723"/>
  <c r="DG16" i="22723" s="1"/>
  <c r="M25" i="22723"/>
  <c r="AH25" i="22723"/>
  <c r="AV25" i="22723"/>
  <c r="BJ25" i="22723"/>
  <c r="BX25" i="22723"/>
  <c r="CL25" i="22723"/>
  <c r="CZ25" i="22723"/>
  <c r="F22" i="22725"/>
  <c r="CZ11" i="2"/>
  <c r="BU11" i="2"/>
  <c r="F51" i="22725"/>
  <c r="B110" i="22725" s="1"/>
  <c r="T19" i="22723"/>
  <c r="AH19" i="22723"/>
  <c r="BJ19" i="22723"/>
  <c r="BX19" i="22723"/>
  <c r="AH54" i="22723"/>
  <c r="BX34" i="2"/>
  <c r="BX38" i="2" s="1"/>
  <c r="CZ9" i="2"/>
  <c r="CZ12" i="2" s="1"/>
  <c r="CZ14" i="2" s="1"/>
  <c r="AM64" i="2"/>
  <c r="T54" i="22723"/>
  <c r="CL54" i="22723"/>
  <c r="BQ54" i="22723"/>
  <c r="AV54" i="22723"/>
  <c r="B143" i="3"/>
  <c r="B153" i="3" s="1"/>
  <c r="H197" i="22715" s="1"/>
  <c r="G111" i="1"/>
  <c r="G122" i="1"/>
  <c r="C30" i="3"/>
  <c r="F30" i="3" s="1"/>
  <c r="G110" i="1"/>
  <c r="G119" i="1"/>
  <c r="G120" i="1"/>
  <c r="G109" i="1"/>
  <c r="AO8" i="2"/>
  <c r="CW8" i="2"/>
  <c r="CW12" i="2" s="1"/>
  <c r="BU8" i="2"/>
  <c r="CZ34" i="2"/>
  <c r="CZ38" i="2" s="1"/>
  <c r="BU45" i="2"/>
  <c r="BV44" i="2" s="1"/>
  <c r="BX44" i="2" s="1"/>
  <c r="BX49" i="2" s="1"/>
  <c r="BU9" i="2"/>
  <c r="C51" i="1"/>
  <c r="F83" i="1" s="1"/>
  <c r="AK64" i="2"/>
  <c r="BG12" i="2"/>
  <c r="BV64" i="2"/>
  <c r="BJ12" i="2"/>
  <c r="BJ14" i="2" s="1"/>
  <c r="BJ70" i="2" s="1"/>
  <c r="BX12" i="2"/>
  <c r="BX14" i="2" s="1"/>
  <c r="BX70" i="2" s="1"/>
  <c r="AL11" i="2"/>
  <c r="AO11" i="2"/>
  <c r="AO32" i="2"/>
  <c r="AO34" i="2" s="1"/>
  <c r="AO38" i="2" s="1"/>
  <c r="M54" i="2"/>
  <c r="R11" i="2"/>
  <c r="R9" i="2"/>
  <c r="R63" i="2"/>
  <c r="R64" i="2" s="1"/>
  <c r="R8" i="2"/>
  <c r="H29" i="5"/>
  <c r="I29" i="5" s="1"/>
  <c r="T33" i="2"/>
  <c r="R10" i="2"/>
  <c r="T32" i="2" s="1"/>
  <c r="H30" i="5"/>
  <c r="I30" i="5" s="1"/>
  <c r="AA33" i="2"/>
  <c r="Y11" i="2"/>
  <c r="AA32" i="2" s="1"/>
  <c r="Y63" i="2"/>
  <c r="Y8" i="2"/>
  <c r="Y9" i="2"/>
  <c r="Y10" i="2"/>
  <c r="F17" i="22725"/>
  <c r="DG33" i="2"/>
  <c r="H42" i="5"/>
  <c r="I42" i="5" s="1"/>
  <c r="DE63" i="2"/>
  <c r="DC64" i="2" s="1"/>
  <c r="DE11" i="2"/>
  <c r="DE10" i="2"/>
  <c r="DE8" i="2"/>
  <c r="DE9" i="2"/>
  <c r="AL9" i="2"/>
  <c r="AO9" i="2"/>
  <c r="D8" i="2"/>
  <c r="D9" i="2"/>
  <c r="F33" i="2"/>
  <c r="F34" i="2" s="1"/>
  <c r="F38" i="2" s="1"/>
  <c r="D63" i="2"/>
  <c r="H27" i="5"/>
  <c r="I27" i="5" s="1"/>
  <c r="D10" i="2"/>
  <c r="H36" i="5"/>
  <c r="I36" i="5" s="1"/>
  <c r="BQ33" i="2"/>
  <c r="BO63" i="2"/>
  <c r="BO9" i="2"/>
  <c r="BO10" i="2"/>
  <c r="BO11" i="2"/>
  <c r="BO8" i="2"/>
  <c r="B16" i="22715"/>
  <c r="C16" i="22715" s="1"/>
  <c r="F48" i="4" s="1"/>
  <c r="D11" i="3"/>
  <c r="CQ11" i="2"/>
  <c r="CQ10" i="2"/>
  <c r="CQ63" i="2"/>
  <c r="CO64" i="2" s="1"/>
  <c r="CQ9" i="2"/>
  <c r="H40" i="5"/>
  <c r="I40" i="5" s="1"/>
  <c r="CQ8" i="2"/>
  <c r="CS33" i="2"/>
  <c r="E75" i="1"/>
  <c r="CL33" i="2"/>
  <c r="CJ10" i="2"/>
  <c r="CJ63" i="2"/>
  <c r="CJ9" i="2"/>
  <c r="H39" i="5"/>
  <c r="I39" i="5" s="1"/>
  <c r="CJ8" i="2"/>
  <c r="CJ11" i="2"/>
  <c r="AL45" i="2"/>
  <c r="AM44" i="2" s="1"/>
  <c r="AO63" i="2"/>
  <c r="AO64" i="2" s="1"/>
  <c r="AH33" i="2"/>
  <c r="AF63" i="2"/>
  <c r="AD64" i="2" s="1"/>
  <c r="H31" i="5"/>
  <c r="I31" i="5" s="1"/>
  <c r="AF10" i="2"/>
  <c r="AF8" i="2"/>
  <c r="AF9" i="2"/>
  <c r="AF11" i="2"/>
  <c r="E51" i="1"/>
  <c r="E52" i="1" s="1"/>
  <c r="E53" i="1" s="1"/>
  <c r="F30" i="1" s="1"/>
  <c r="C30" i="22715"/>
  <c r="F18" i="22725" s="1"/>
  <c r="H33" i="5"/>
  <c r="I33" i="5" s="1"/>
  <c r="AT10" i="2"/>
  <c r="AV33" i="2"/>
  <c r="AT8" i="2"/>
  <c r="AT11" i="2"/>
  <c r="AT63" i="2"/>
  <c r="AT9" i="2"/>
  <c r="BC33" i="2"/>
  <c r="BA63" i="2"/>
  <c r="BA9" i="2"/>
  <c r="H34" i="5"/>
  <c r="I34" i="5" s="1"/>
  <c r="BA10" i="2"/>
  <c r="BA8" i="2"/>
  <c r="BA11" i="2"/>
  <c r="H28" i="5"/>
  <c r="I28" i="5" s="1"/>
  <c r="K11" i="2"/>
  <c r="M32" i="2" s="1"/>
  <c r="K9" i="2"/>
  <c r="K63" i="2"/>
  <c r="K64" i="2" s="1"/>
  <c r="M33" i="2"/>
  <c r="K10" i="2"/>
  <c r="K8" i="2"/>
  <c r="CC63" i="2"/>
  <c r="CA64" i="2" s="1"/>
  <c r="H38" i="5"/>
  <c r="I38" i="5" s="1"/>
  <c r="CC9" i="2"/>
  <c r="CC10" i="2"/>
  <c r="CE33" i="2"/>
  <c r="CC8" i="2"/>
  <c r="CC11" i="2"/>
  <c r="AH58" i="2"/>
  <c r="F55" i="22725"/>
  <c r="B103" i="22725" s="1"/>
  <c r="AA54" i="22723"/>
  <c r="AO54" i="22723"/>
  <c r="M19" i="22723"/>
  <c r="CE54" i="22723"/>
  <c r="BC54" i="22723"/>
  <c r="D9" i="22729" a="1"/>
  <c r="D9" i="22729" s="1"/>
  <c r="D10" i="22729" s="1" a="1"/>
  <c r="D10" i="22729" s="1"/>
  <c r="F56" i="22725"/>
  <c r="B164" i="22725" s="1"/>
  <c r="B171" i="22725" s="1"/>
  <c r="J251" i="22715" s="1"/>
  <c r="BX54" i="22723"/>
  <c r="CZ54" i="22723"/>
  <c r="DG54" i="22723"/>
  <c r="AG12" i="22723"/>
  <c r="E51" i="22714"/>
  <c r="F52" i="22725"/>
  <c r="CZ57" i="22723"/>
  <c r="AH57" i="22723"/>
  <c r="D61" i="22725"/>
  <c r="D72" i="22715" s="1"/>
  <c r="F10" i="22725"/>
  <c r="D48" i="22715" s="1"/>
  <c r="C10" i="22725"/>
  <c r="B61" i="22725"/>
  <c r="D78" i="22715" s="1"/>
  <c r="D81" i="22715"/>
  <c r="C42" i="22725"/>
  <c r="D41" i="22725" s="1"/>
  <c r="BJ54" i="22723"/>
  <c r="N12" i="22723"/>
  <c r="L12" i="22723"/>
  <c r="F28" i="22725"/>
  <c r="C9" i="22725"/>
  <c r="F9" i="22725"/>
  <c r="D47" i="22715" s="1"/>
  <c r="AI12" i="22723"/>
  <c r="G11" i="22725"/>
  <c r="D7" i="22725"/>
  <c r="E11" i="22725"/>
  <c r="F11" i="22725" s="1"/>
  <c r="G125" i="1"/>
  <c r="G130" i="1"/>
  <c r="G128" i="1"/>
  <c r="G131" i="1"/>
  <c r="G129" i="1"/>
  <c r="F135" i="1"/>
  <c r="G124" i="1"/>
  <c r="CE58" i="2"/>
  <c r="BT64" i="2"/>
  <c r="BX58" i="2"/>
  <c r="BX64" i="2" s="1"/>
  <c r="C11" i="22729" a="1"/>
  <c r="C11" i="22729" s="1"/>
  <c r="C12" i="22729" s="1" a="1"/>
  <c r="C12" i="22729" s="1"/>
  <c r="E10" i="22729" a="1"/>
  <c r="E10" i="22729" s="1"/>
  <c r="E11" i="22729" s="1" a="1"/>
  <c r="E11" i="22729" s="1"/>
  <c r="F11" i="22729" a="1"/>
  <c r="F11" i="22729" s="1"/>
  <c r="G10" i="22729" a="1"/>
  <c r="G10" i="22729" s="1"/>
  <c r="B12" i="22729" a="1"/>
  <c r="B12" i="22729" s="1"/>
  <c r="F12" i="22729" a="1"/>
  <c r="F12" i="22729" s="1"/>
  <c r="F13" i="22729" s="1" a="1"/>
  <c r="F13" i="22729" s="1"/>
  <c r="B108" i="3"/>
  <c r="B146" i="3"/>
  <c r="B154" i="3" s="1"/>
  <c r="H198" i="22715" s="1"/>
  <c r="CX64" i="2"/>
  <c r="CZ55" i="2"/>
  <c r="DG58" i="2"/>
  <c r="CV64" i="2"/>
  <c r="CZ58" i="2"/>
  <c r="BJ58" i="2"/>
  <c r="BF64" i="2"/>
  <c r="BJ55" i="2"/>
  <c r="BH64" i="2"/>
  <c r="CS58" i="2"/>
  <c r="BJ49" i="2"/>
  <c r="BJ52" i="2" s="1"/>
  <c r="CZ49" i="2"/>
  <c r="CZ52" i="2" s="1"/>
  <c r="DE64" i="2"/>
  <c r="CS55" i="2"/>
  <c r="CE57" i="22723"/>
  <c r="DG19" i="22723" l="1"/>
  <c r="BC19" i="22723"/>
  <c r="CE19" i="22723"/>
  <c r="E29" i="22714"/>
  <c r="E30" i="22714" s="1"/>
  <c r="AA24" i="22723"/>
  <c r="AA22" i="22723"/>
  <c r="T23" i="22723"/>
  <c r="T21" i="22723"/>
  <c r="M24" i="22723"/>
  <c r="M22" i="22723"/>
  <c r="F21" i="22723"/>
  <c r="F24" i="22723"/>
  <c r="F22" i="22723"/>
  <c r="F21" i="22725"/>
  <c r="F20" i="22725"/>
  <c r="F19" i="22725"/>
  <c r="DG24" i="22723"/>
  <c r="DG23" i="22723"/>
  <c r="DG22" i="22723"/>
  <c r="DG21" i="22723"/>
  <c r="CZ24" i="22723"/>
  <c r="CZ23" i="22723"/>
  <c r="CZ22" i="22723"/>
  <c r="CZ21" i="22723"/>
  <c r="CS24" i="22723"/>
  <c r="CS23" i="22723"/>
  <c r="CS22" i="22723"/>
  <c r="CS21" i="22723"/>
  <c r="CL24" i="22723"/>
  <c r="CL23" i="22723"/>
  <c r="CL22" i="22723"/>
  <c r="CL21" i="22723"/>
  <c r="CE24" i="22723"/>
  <c r="CE23" i="22723"/>
  <c r="CE22" i="22723"/>
  <c r="CE21" i="22723"/>
  <c r="BX24" i="22723"/>
  <c r="BX23" i="22723"/>
  <c r="BX22" i="22723"/>
  <c r="BX21" i="22723"/>
  <c r="BQ24" i="22723"/>
  <c r="BQ23" i="22723"/>
  <c r="BQ22" i="22723"/>
  <c r="BQ21" i="22723"/>
  <c r="BJ24" i="22723"/>
  <c r="BJ23" i="22723"/>
  <c r="BJ22" i="22723"/>
  <c r="BJ21" i="22723"/>
  <c r="BC24" i="22723"/>
  <c r="BC23" i="22723"/>
  <c r="BC22" i="22723"/>
  <c r="BC21" i="22723"/>
  <c r="AV24" i="22723"/>
  <c r="AV23" i="22723"/>
  <c r="AV22" i="22723"/>
  <c r="AV21" i="22723"/>
  <c r="AO24" i="22723"/>
  <c r="AO23" i="22723"/>
  <c r="AO22" i="22723"/>
  <c r="AO21" i="22723"/>
  <c r="AH24" i="22723"/>
  <c r="AH23" i="22723"/>
  <c r="AH22" i="22723"/>
  <c r="AH21" i="22723"/>
  <c r="AA23" i="22723"/>
  <c r="AA21" i="22723"/>
  <c r="T24" i="22723"/>
  <c r="T22" i="22723"/>
  <c r="M23" i="22723"/>
  <c r="M21" i="22723"/>
  <c r="F23" i="22723"/>
  <c r="F61" i="22725"/>
  <c r="B88" i="22725" s="1"/>
  <c r="J85" i="22715" s="1"/>
  <c r="F32" i="1"/>
  <c r="CQ64" i="2"/>
  <c r="BU12" i="2"/>
  <c r="AL12" i="2"/>
  <c r="BV49" i="2"/>
  <c r="BV50" i="2" s="1"/>
  <c r="BX50" i="2" s="1"/>
  <c r="BX52" i="2" s="1"/>
  <c r="F46" i="1"/>
  <c r="D37" i="5"/>
  <c r="F52" i="1"/>
  <c r="F27" i="1"/>
  <c r="F28" i="1"/>
  <c r="F51" i="1"/>
  <c r="F44" i="1"/>
  <c r="D35" i="5"/>
  <c r="AO12" i="2"/>
  <c r="AO14" i="2" s="1"/>
  <c r="D32" i="5" s="1"/>
  <c r="M8" i="2"/>
  <c r="J8" i="2"/>
  <c r="BC8" i="2"/>
  <c r="AZ8" i="2"/>
  <c r="AH11" i="2"/>
  <c r="AH32" i="2"/>
  <c r="AH34" i="2" s="1"/>
  <c r="AH38" i="2" s="1"/>
  <c r="AE11" i="2"/>
  <c r="AO44" i="2"/>
  <c r="AO49" i="2" s="1"/>
  <c r="AM49" i="2"/>
  <c r="AM50" i="2" s="1"/>
  <c r="AO50" i="2" s="1"/>
  <c r="CL11" i="2"/>
  <c r="CL32" i="2"/>
  <c r="CL34" i="2" s="1"/>
  <c r="CL38" i="2" s="1"/>
  <c r="CI11" i="2"/>
  <c r="E76" i="1"/>
  <c r="CP9" i="2"/>
  <c r="CS9" i="2"/>
  <c r="AA9" i="2"/>
  <c r="X9" i="2"/>
  <c r="Q11" i="2"/>
  <c r="T34" i="2"/>
  <c r="T38" i="2" s="1"/>
  <c r="T11" i="2"/>
  <c r="F29" i="1"/>
  <c r="F21" i="1"/>
  <c r="F50" i="1"/>
  <c r="F39" i="1"/>
  <c r="F26" i="1"/>
  <c r="F34" i="1"/>
  <c r="F43" i="1"/>
  <c r="CB10" i="2"/>
  <c r="CE10" i="2"/>
  <c r="M10" i="2"/>
  <c r="J10" i="2"/>
  <c r="J11" i="2"/>
  <c r="M11" i="2"/>
  <c r="M34" i="2"/>
  <c r="M38" i="2" s="1"/>
  <c r="AZ10" i="2"/>
  <c r="BC10" i="2"/>
  <c r="AV8" i="2"/>
  <c r="AS8" i="2"/>
  <c r="AE9" i="2"/>
  <c r="AH9" i="2"/>
  <c r="AE45" i="2"/>
  <c r="AF44" i="2" s="1"/>
  <c r="AH63" i="2"/>
  <c r="AH64" i="2" s="1"/>
  <c r="AF64" i="2"/>
  <c r="CI8" i="2"/>
  <c r="CL8" i="2"/>
  <c r="CI10" i="2"/>
  <c r="CL10" i="2"/>
  <c r="CP45" i="2"/>
  <c r="CQ44" i="2" s="1"/>
  <c r="CS63" i="2"/>
  <c r="CS64" i="2" s="1"/>
  <c r="F50" i="4"/>
  <c r="F45" i="4"/>
  <c r="F54" i="4"/>
  <c r="F43" i="4"/>
  <c r="F42" i="4"/>
  <c r="F52" i="4"/>
  <c r="F53" i="4"/>
  <c r="F41" i="4"/>
  <c r="F40" i="4"/>
  <c r="F47" i="4"/>
  <c r="F46" i="4"/>
  <c r="F51" i="4"/>
  <c r="F44" i="4"/>
  <c r="F55" i="4"/>
  <c r="F49" i="4"/>
  <c r="BN9" i="2"/>
  <c r="BQ9" i="2"/>
  <c r="C10" i="2"/>
  <c r="F10" i="2"/>
  <c r="F9" i="2"/>
  <c r="C9" i="2"/>
  <c r="DD9" i="2"/>
  <c r="DG9" i="2"/>
  <c r="DD45" i="2"/>
  <c r="DE44" i="2" s="1"/>
  <c r="DG63" i="2"/>
  <c r="DG64" i="2" s="1"/>
  <c r="AA8" i="2"/>
  <c r="X8" i="2"/>
  <c r="Q8" i="2"/>
  <c r="T8" i="2"/>
  <c r="CB45" i="2"/>
  <c r="CC44" i="2" s="1"/>
  <c r="CE63" i="2"/>
  <c r="CE64" i="2" s="1"/>
  <c r="CC64" i="2"/>
  <c r="M9" i="2"/>
  <c r="J9" i="2"/>
  <c r="AZ45" i="2"/>
  <c r="BA44" i="2" s="1"/>
  <c r="BC63" i="2"/>
  <c r="BC64" i="2" s="1"/>
  <c r="AY64" i="2"/>
  <c r="BA64" i="2"/>
  <c r="AV11" i="2"/>
  <c r="AS11" i="2"/>
  <c r="AV32" i="2"/>
  <c r="AV34" i="2" s="1"/>
  <c r="AV38" i="2" s="1"/>
  <c r="CI45" i="2"/>
  <c r="CJ44" i="2" s="1"/>
  <c r="CH64" i="2"/>
  <c r="CJ64" i="2"/>
  <c r="CL63" i="2"/>
  <c r="CL64" i="2" s="1"/>
  <c r="D9" i="3"/>
  <c r="F11" i="3"/>
  <c r="F13" i="3" s="1"/>
  <c r="D56" i="3"/>
  <c r="D7" i="3"/>
  <c r="D10" i="3"/>
  <c r="D8" i="3"/>
  <c r="F27" i="3"/>
  <c r="BQ10" i="2"/>
  <c r="BN10" i="2"/>
  <c r="DG11" i="2"/>
  <c r="DD11" i="2"/>
  <c r="DG32" i="2"/>
  <c r="DG34" i="2" s="1"/>
  <c r="DG38" i="2" s="1"/>
  <c r="F40" i="1"/>
  <c r="F23" i="1"/>
  <c r="F45" i="1"/>
  <c r="F35" i="1"/>
  <c r="F38" i="1"/>
  <c r="F36" i="1"/>
  <c r="F47" i="1"/>
  <c r="F48" i="1"/>
  <c r="CE32" i="2"/>
  <c r="CE34" i="2" s="1"/>
  <c r="CE38" i="2" s="1"/>
  <c r="CE11" i="2"/>
  <c r="CB11" i="2"/>
  <c r="CB9" i="2"/>
  <c r="CE9" i="2"/>
  <c r="AV9" i="2"/>
  <c r="AS9" i="2"/>
  <c r="CZ70" i="2"/>
  <c r="D41" i="5"/>
  <c r="AE8" i="2"/>
  <c r="AH8" i="2"/>
  <c r="CP8" i="2"/>
  <c r="CS8" i="2"/>
  <c r="CP10" i="2"/>
  <c r="CS10" i="2"/>
  <c r="BN8" i="2"/>
  <c r="BQ8" i="2"/>
  <c r="BQ63" i="2"/>
  <c r="BQ64" i="2" s="1"/>
  <c r="BN45" i="2"/>
  <c r="BO44" i="2" s="1"/>
  <c r="BO64" i="2"/>
  <c r="BM64" i="2"/>
  <c r="C8" i="2"/>
  <c r="F8" i="2"/>
  <c r="DD8" i="2"/>
  <c r="DG8" i="2"/>
  <c r="X45" i="2"/>
  <c r="Y44" i="2" s="1"/>
  <c r="W64" i="2"/>
  <c r="Y64" i="2"/>
  <c r="AA63" i="2"/>
  <c r="AA64" i="2" s="1"/>
  <c r="Q10" i="2"/>
  <c r="T10" i="2"/>
  <c r="Q45" i="2"/>
  <c r="R44" i="2" s="1"/>
  <c r="T63" i="2"/>
  <c r="T64" i="2" s="1"/>
  <c r="P64" i="2"/>
  <c r="F37" i="1"/>
  <c r="F20" i="1"/>
  <c r="F25" i="1"/>
  <c r="F49" i="1"/>
  <c r="F33" i="1"/>
  <c r="F42" i="1"/>
  <c r="F53" i="1"/>
  <c r="F24" i="1"/>
  <c r="CB8" i="2"/>
  <c r="CE8" i="2"/>
  <c r="J45" i="2"/>
  <c r="K44" i="2" s="1"/>
  <c r="I64" i="2"/>
  <c r="M63" i="2"/>
  <c r="M64" i="2" s="1"/>
  <c r="AZ11" i="2"/>
  <c r="BC32" i="2"/>
  <c r="BC34" i="2" s="1"/>
  <c r="BC38" i="2" s="1"/>
  <c r="BC11" i="2"/>
  <c r="BC9" i="2"/>
  <c r="AZ9" i="2"/>
  <c r="AV63" i="2"/>
  <c r="AV64" i="2" s="1"/>
  <c r="AS45" i="2"/>
  <c r="AT44" i="2" s="1"/>
  <c r="AR64" i="2"/>
  <c r="AT64" i="2"/>
  <c r="AV10" i="2"/>
  <c r="AS10" i="2"/>
  <c r="AE10" i="2"/>
  <c r="AH10" i="2"/>
  <c r="CI9" i="2"/>
  <c r="CL9" i="2"/>
  <c r="CS11" i="2"/>
  <c r="CP11" i="2"/>
  <c r="CS32" i="2"/>
  <c r="CS34" i="2" s="1"/>
  <c r="CS38" i="2" s="1"/>
  <c r="BQ11" i="2"/>
  <c r="BN11" i="2"/>
  <c r="BQ32" i="2"/>
  <c r="BQ34" i="2" s="1"/>
  <c r="BQ38" i="2" s="1"/>
  <c r="B64" i="2"/>
  <c r="C45" i="2"/>
  <c r="D44" i="2" s="1"/>
  <c r="F63" i="2"/>
  <c r="F64" i="2" s="1"/>
  <c r="D64" i="2"/>
  <c r="DD10" i="2"/>
  <c r="DG10" i="2"/>
  <c r="X10" i="2"/>
  <c r="AA10" i="2"/>
  <c r="AA11" i="2"/>
  <c r="X11" i="2"/>
  <c r="AA34" i="2"/>
  <c r="AA38" i="2" s="1"/>
  <c r="T9" i="2"/>
  <c r="Q9" i="2"/>
  <c r="F77" i="22725"/>
  <c r="J77" i="22715" s="1"/>
  <c r="B148" i="3"/>
  <c r="D11" i="22729" a="1"/>
  <c r="D11" i="22729" s="1"/>
  <c r="D12" i="22729" s="1" a="1"/>
  <c r="D12" i="22729" s="1"/>
  <c r="B101" i="22725"/>
  <c r="B115" i="22725" s="1"/>
  <c r="J112" i="22715" s="1"/>
  <c r="B146" i="22725"/>
  <c r="B154" i="22725" s="1"/>
  <c r="J198" i="22715" s="1"/>
  <c r="I198" i="22715" s="1"/>
  <c r="D75" i="22715"/>
  <c r="B108" i="22725"/>
  <c r="B117" i="22725" s="1"/>
  <c r="D49" i="22726"/>
  <c r="D50" i="22726" s="1"/>
  <c r="D73" i="22715"/>
  <c r="K41" i="22725"/>
  <c r="H47" i="22725"/>
  <c r="D46" i="22725"/>
  <c r="D47" i="22725" s="1"/>
  <c r="K47" i="22725" s="1"/>
  <c r="D84" i="22725"/>
  <c r="D83" i="22725"/>
  <c r="D82" i="22725"/>
  <c r="F13" i="22725"/>
  <c r="C7" i="22725"/>
  <c r="C11" i="22725" s="1"/>
  <c r="F7" i="22725"/>
  <c r="C13" i="22729" a="1"/>
  <c r="C13" i="22729" s="1"/>
  <c r="C14" i="22729" s="1" a="1"/>
  <c r="C14" i="22729" s="1"/>
  <c r="F14" i="22729" a="1"/>
  <c r="F14" i="22729" s="1"/>
  <c r="G11" i="22729" a="1"/>
  <c r="G11" i="22729" s="1"/>
  <c r="B13" i="22729" a="1"/>
  <c r="B13" i="22729" s="1"/>
  <c r="E12" i="22729" a="1"/>
  <c r="E12" i="22729" s="1"/>
  <c r="CZ64" i="2"/>
  <c r="BJ64" i="2"/>
  <c r="B117" i="3"/>
  <c r="D80" i="22715"/>
  <c r="F23" i="22725" l="1"/>
  <c r="T26" i="22723"/>
  <c r="M26" i="22723"/>
  <c r="AA26" i="22723"/>
  <c r="AH26" i="22723"/>
  <c r="AO26" i="22723"/>
  <c r="AV26" i="22723"/>
  <c r="BC26" i="22723"/>
  <c r="BJ26" i="22723"/>
  <c r="BQ26" i="22723"/>
  <c r="BX26" i="22723"/>
  <c r="CE26" i="22723"/>
  <c r="CL26" i="22723"/>
  <c r="CS26" i="22723"/>
  <c r="CZ26" i="22723"/>
  <c r="DG26" i="22723"/>
  <c r="F26" i="22723"/>
  <c r="B152" i="3"/>
  <c r="B155" i="3" s="1"/>
  <c r="C152" i="3" s="1"/>
  <c r="H201" i="22715" s="1"/>
  <c r="F58" i="4"/>
  <c r="G58" i="4" s="1"/>
  <c r="C12" i="2"/>
  <c r="AO70" i="2"/>
  <c r="CE12" i="2"/>
  <c r="CE14" i="2" s="1"/>
  <c r="D38" i="5" s="1"/>
  <c r="BQ12" i="2"/>
  <c r="BQ14" i="2" s="1"/>
  <c r="D36" i="5" s="1"/>
  <c r="DD12" i="2"/>
  <c r="BN12" i="2"/>
  <c r="Q12" i="2"/>
  <c r="AS12" i="2"/>
  <c r="CP12" i="2"/>
  <c r="C8" i="3"/>
  <c r="F8" i="3"/>
  <c r="BC44" i="2"/>
  <c r="BC49" i="2" s="1"/>
  <c r="BA49" i="2"/>
  <c r="BA50" i="2" s="1"/>
  <c r="BC50" i="2" s="1"/>
  <c r="CC12" i="22723"/>
  <c r="G51" i="4"/>
  <c r="Y12" i="22723"/>
  <c r="G43" i="4"/>
  <c r="F57" i="1"/>
  <c r="F60" i="1"/>
  <c r="F66" i="1"/>
  <c r="F61" i="1"/>
  <c r="F65" i="1"/>
  <c r="F63" i="1"/>
  <c r="F62" i="1"/>
  <c r="F58" i="1"/>
  <c r="F64" i="1"/>
  <c r="F76" i="1"/>
  <c r="F71" i="1"/>
  <c r="F67" i="1"/>
  <c r="F68" i="1"/>
  <c r="F59" i="1"/>
  <c r="E79" i="1"/>
  <c r="E82" i="1" s="1"/>
  <c r="F74" i="1"/>
  <c r="F70" i="1"/>
  <c r="F72" i="1"/>
  <c r="E78" i="1"/>
  <c r="E83" i="1" s="1"/>
  <c r="F72" i="2" s="1"/>
  <c r="M12" i="2"/>
  <c r="M14" i="2" s="1"/>
  <c r="CB12" i="2"/>
  <c r="F12" i="2"/>
  <c r="F14" i="2" s="1"/>
  <c r="BQ44" i="2"/>
  <c r="BQ49" i="2" s="1"/>
  <c r="BO49" i="2"/>
  <c r="BO50" i="2" s="1"/>
  <c r="BQ50" i="2" s="1"/>
  <c r="AH12" i="2"/>
  <c r="AH14" i="2" s="1"/>
  <c r="F26" i="3"/>
  <c r="F28" i="3" s="1"/>
  <c r="F10" i="3"/>
  <c r="C10" i="3"/>
  <c r="C9" i="3"/>
  <c r="F9" i="3"/>
  <c r="CL44" i="2"/>
  <c r="CL49" i="2" s="1"/>
  <c r="CJ49" i="2"/>
  <c r="CJ50" i="2" s="1"/>
  <c r="CL50" i="2" s="1"/>
  <c r="CE44" i="2"/>
  <c r="CE49" i="2" s="1"/>
  <c r="CC49" i="2"/>
  <c r="CC50" i="2" s="1"/>
  <c r="CE50" i="2" s="1"/>
  <c r="X12" i="2"/>
  <c r="BO12" i="22723"/>
  <c r="G49" i="4"/>
  <c r="AT12" i="22723"/>
  <c r="G46" i="4"/>
  <c r="CQ12" i="22723"/>
  <c r="G53" i="4"/>
  <c r="CX12" i="22723"/>
  <c r="G54" i="4"/>
  <c r="CL12" i="2"/>
  <c r="CL14" i="2" s="1"/>
  <c r="AH44" i="2"/>
  <c r="AH49" i="2" s="1"/>
  <c r="AF49" i="2"/>
  <c r="AF50" i="2" s="1"/>
  <c r="AH50" i="2" s="1"/>
  <c r="AV12" i="2"/>
  <c r="AV14" i="2" s="1"/>
  <c r="AO52" i="2"/>
  <c r="AZ12" i="2"/>
  <c r="CE70" i="2"/>
  <c r="T44" i="2"/>
  <c r="T49" i="2" s="1"/>
  <c r="R49" i="2"/>
  <c r="R50" i="2" s="1"/>
  <c r="T50" i="2" s="1"/>
  <c r="G75" i="3"/>
  <c r="B43" i="22715"/>
  <c r="DG44" i="2"/>
  <c r="DG49" i="2" s="1"/>
  <c r="DE49" i="2"/>
  <c r="DE50" i="2" s="1"/>
  <c r="DG50" i="2" s="1"/>
  <c r="K12" i="22723"/>
  <c r="G41" i="4"/>
  <c r="G48" i="4"/>
  <c r="BH12" i="22723"/>
  <c r="F44" i="2"/>
  <c r="F49" i="2" s="1"/>
  <c r="D49" i="2"/>
  <c r="D50" i="2" s="1"/>
  <c r="F50" i="2" s="1"/>
  <c r="AV44" i="2"/>
  <c r="AV49" i="2" s="1"/>
  <c r="AT49" i="2"/>
  <c r="AT50" i="2" s="1"/>
  <c r="AV50" i="2" s="1"/>
  <c r="AA44" i="2"/>
  <c r="AA49" i="2" s="1"/>
  <c r="Y49" i="2"/>
  <c r="Y50" i="2" s="1"/>
  <c r="AA50" i="2" s="1"/>
  <c r="AE12" i="2"/>
  <c r="F7" i="3"/>
  <c r="C7" i="3"/>
  <c r="C11" i="3" s="1"/>
  <c r="AA12" i="2"/>
  <c r="AA14" i="2" s="1"/>
  <c r="DE12" i="22723"/>
  <c r="G55" i="4"/>
  <c r="BA12" i="22723"/>
  <c r="G47" i="4"/>
  <c r="CJ12" i="22723"/>
  <c r="G52" i="4"/>
  <c r="G45" i="4"/>
  <c r="AM12" i="22723"/>
  <c r="CS44" i="2"/>
  <c r="CS49" i="2" s="1"/>
  <c r="CQ49" i="2"/>
  <c r="CQ50" i="2" s="1"/>
  <c r="CS50" i="2" s="1"/>
  <c r="CI12" i="2"/>
  <c r="BC12" i="2"/>
  <c r="BC14" i="2" s="1"/>
  <c r="M44" i="2"/>
  <c r="M49" i="2" s="1"/>
  <c r="K49" i="2"/>
  <c r="K50" i="2" s="1"/>
  <c r="M50" i="2" s="1"/>
  <c r="DG12" i="2"/>
  <c r="DG14" i="2" s="1"/>
  <c r="CS12" i="2"/>
  <c r="CS14" i="2" s="1"/>
  <c r="B81" i="22715"/>
  <c r="C81" i="22715" s="1"/>
  <c r="C42" i="3"/>
  <c r="D41" i="3" s="1"/>
  <c r="F56" i="3"/>
  <c r="B61" i="3"/>
  <c r="D61" i="3"/>
  <c r="T12" i="2"/>
  <c r="T14" i="2" s="1"/>
  <c r="AF12" i="22723"/>
  <c r="G44" i="4"/>
  <c r="D12" i="22723"/>
  <c r="F59" i="4"/>
  <c r="G59" i="4" s="1"/>
  <c r="F56" i="4"/>
  <c r="G56" i="4" s="1"/>
  <c r="G40" i="4"/>
  <c r="F57" i="4"/>
  <c r="G57" i="4" s="1"/>
  <c r="R12" i="22723"/>
  <c r="G42" i="4"/>
  <c r="BV12" i="22723"/>
  <c r="G50" i="4"/>
  <c r="F75" i="1"/>
  <c r="J12" i="2"/>
  <c r="B111" i="22725"/>
  <c r="C104" i="22725" s="1"/>
  <c r="K49" i="22725"/>
  <c r="D43" i="22715"/>
  <c r="F76" i="22725"/>
  <c r="J78" i="22715" s="1"/>
  <c r="D81" i="22725"/>
  <c r="D45" i="22715"/>
  <c r="C15" i="22729" a="1"/>
  <c r="C15" i="22729" s="1"/>
  <c r="E13" i="22729" a="1"/>
  <c r="E13" i="22729" s="1"/>
  <c r="E14" i="22729" s="1" a="1"/>
  <c r="E14" i="22729" s="1"/>
  <c r="D13" i="22729" a="1"/>
  <c r="D13" i="22729" s="1"/>
  <c r="F15" i="22729" a="1"/>
  <c r="F15" i="22729" s="1"/>
  <c r="G12" i="22729" a="1"/>
  <c r="G12" i="22729" s="1"/>
  <c r="G13" i="22729" s="1" a="1"/>
  <c r="G13" i="22729" s="1"/>
  <c r="B14" i="22729" a="1"/>
  <c r="B14" i="22729" s="1"/>
  <c r="H114" i="22715"/>
  <c r="J114" i="22715"/>
  <c r="B118" i="22725"/>
  <c r="H196" i="22715" l="1"/>
  <c r="H199" i="22715" s="1"/>
  <c r="C102" i="22725"/>
  <c r="BQ70" i="2"/>
  <c r="C106" i="22725"/>
  <c r="C43" i="22715"/>
  <c r="CL52" i="2"/>
  <c r="BC52" i="2"/>
  <c r="AH52" i="2"/>
  <c r="AV52" i="2"/>
  <c r="DG52" i="2"/>
  <c r="T52" i="2"/>
  <c r="R62" i="22723"/>
  <c r="H29" i="22726"/>
  <c r="I29" i="22726" s="1"/>
  <c r="R11" i="22723"/>
  <c r="R10" i="22723"/>
  <c r="T31" i="22723" s="1"/>
  <c r="R8" i="22723"/>
  <c r="T32" i="22723"/>
  <c r="R9" i="22723"/>
  <c r="B164" i="3"/>
  <c r="B171" i="3" s="1"/>
  <c r="B101" i="3"/>
  <c r="F61" i="3"/>
  <c r="B88" i="3" s="1"/>
  <c r="H85" i="22715" s="1"/>
  <c r="I85" i="22715" s="1"/>
  <c r="D9" i="22723"/>
  <c r="D62" i="22723"/>
  <c r="H27" i="22726"/>
  <c r="I27" i="22726" s="1"/>
  <c r="F32" i="22723"/>
  <c r="D11" i="22723"/>
  <c r="D8" i="22723"/>
  <c r="D10" i="22723"/>
  <c r="T70" i="2"/>
  <c r="D29" i="5"/>
  <c r="H47" i="3"/>
  <c r="K41" i="3"/>
  <c r="F41" i="3"/>
  <c r="B162" i="3"/>
  <c r="D46" i="3"/>
  <c r="D47" i="3" s="1"/>
  <c r="CS52" i="2"/>
  <c r="H39" i="22726"/>
  <c r="I39" i="22726" s="1"/>
  <c r="CJ11" i="22723"/>
  <c r="CL31" i="22723" s="1"/>
  <c r="CJ8" i="22723"/>
  <c r="CJ62" i="22723"/>
  <c r="CJ10" i="22723"/>
  <c r="CJ9" i="22723"/>
  <c r="CL32" i="22723"/>
  <c r="DE8" i="22723"/>
  <c r="DG32" i="22723"/>
  <c r="DE11" i="22723"/>
  <c r="DG31" i="22723" s="1"/>
  <c r="DE62" i="22723"/>
  <c r="DE9" i="22723"/>
  <c r="DE10" i="22723"/>
  <c r="H42" i="22726"/>
  <c r="I42" i="22726" s="1"/>
  <c r="D81" i="3"/>
  <c r="B45" i="22715"/>
  <c r="C45" i="22715" s="1"/>
  <c r="CE52" i="2"/>
  <c r="D31" i="5"/>
  <c r="AH70" i="2"/>
  <c r="H38" i="22726"/>
  <c r="I38" i="22726" s="1"/>
  <c r="CC62" i="22723"/>
  <c r="CE32" i="22723"/>
  <c r="CC11" i="22723"/>
  <c r="CE31" i="22723" s="1"/>
  <c r="CC10" i="22723"/>
  <c r="CC9" i="22723"/>
  <c r="CC8" i="22723"/>
  <c r="H31" i="22726"/>
  <c r="I31" i="22726" s="1"/>
  <c r="AH32" i="22723"/>
  <c r="AF9" i="22723"/>
  <c r="AF11" i="22723"/>
  <c r="AH31" i="22723" s="1"/>
  <c r="AF10" i="22723"/>
  <c r="AF8" i="22723"/>
  <c r="AF62" i="22723"/>
  <c r="H35" i="22726"/>
  <c r="I35" i="22726" s="1"/>
  <c r="BH10" i="22723"/>
  <c r="BH11" i="22723"/>
  <c r="BJ31" i="22723" s="1"/>
  <c r="BH62" i="22723"/>
  <c r="BH9" i="22723"/>
  <c r="BH8" i="22723"/>
  <c r="BJ32" i="22723"/>
  <c r="H41" i="22726"/>
  <c r="I41" i="22726" s="1"/>
  <c r="CX11" i="22723"/>
  <c r="CZ31" i="22723" s="1"/>
  <c r="CZ32" i="22723"/>
  <c r="CX8" i="22723"/>
  <c r="CX10" i="22723"/>
  <c r="CX9" i="22723"/>
  <c r="CX62" i="22723"/>
  <c r="H33" i="22726"/>
  <c r="I33" i="22726" s="1"/>
  <c r="AT10" i="22723"/>
  <c r="AT9" i="22723"/>
  <c r="AT62" i="22723"/>
  <c r="AV32" i="22723"/>
  <c r="AT8" i="22723"/>
  <c r="AT11" i="22723"/>
  <c r="AV31" i="22723" s="1"/>
  <c r="D83" i="3"/>
  <c r="B47" i="22715"/>
  <c r="C47" i="22715" s="1"/>
  <c r="F70" i="2"/>
  <c r="D27" i="5"/>
  <c r="D82" i="3"/>
  <c r="B46" i="22715"/>
  <c r="C46" i="22715" s="1"/>
  <c r="H37" i="22726"/>
  <c r="I37" i="22726" s="1"/>
  <c r="BX32" i="22723"/>
  <c r="BV8" i="22723"/>
  <c r="BV62" i="22723"/>
  <c r="BV10" i="22723"/>
  <c r="BV11" i="22723"/>
  <c r="BX31" i="22723" s="1"/>
  <c r="BV9" i="22723"/>
  <c r="B75" i="22715"/>
  <c r="C75" i="22715" s="1"/>
  <c r="B72" i="22715"/>
  <c r="D49" i="5"/>
  <c r="D50" i="5" s="1"/>
  <c r="DG70" i="2"/>
  <c r="D42" i="5"/>
  <c r="BC70" i="2"/>
  <c r="D34" i="5"/>
  <c r="AM11" i="22723"/>
  <c r="AO31" i="22723" s="1"/>
  <c r="AM9" i="22723"/>
  <c r="AO32" i="22723"/>
  <c r="AM62" i="22723"/>
  <c r="AM10" i="22723"/>
  <c r="H32" i="22726"/>
  <c r="I32" i="22726" s="1"/>
  <c r="AM8" i="22723"/>
  <c r="D30" i="5"/>
  <c r="AA70" i="2"/>
  <c r="F76" i="3"/>
  <c r="H78" i="22715" s="1"/>
  <c r="I78" i="22715" s="1"/>
  <c r="CL70" i="2"/>
  <c r="D39" i="5"/>
  <c r="H40" i="22726"/>
  <c r="I40" i="22726" s="1"/>
  <c r="CQ11" i="22723"/>
  <c r="CS31" i="22723" s="1"/>
  <c r="CS32" i="22723"/>
  <c r="CQ62" i="22723"/>
  <c r="CQ8" i="22723"/>
  <c r="CQ10" i="22723"/>
  <c r="CQ9" i="22723"/>
  <c r="BO9" i="22723"/>
  <c r="H36" i="22726"/>
  <c r="I36" i="22726" s="1"/>
  <c r="BO11" i="22723"/>
  <c r="BQ31" i="22723" s="1"/>
  <c r="BO62" i="22723"/>
  <c r="BO8" i="22723"/>
  <c r="BO10" i="22723"/>
  <c r="BQ32" i="22723"/>
  <c r="M70" i="2"/>
  <c r="D28" i="5"/>
  <c r="B78" i="22715"/>
  <c r="C78" i="22715" s="1"/>
  <c r="B73" i="22715"/>
  <c r="C73" i="22715" s="1"/>
  <c r="D40" i="5"/>
  <c r="CS70" i="2"/>
  <c r="M52" i="2"/>
  <c r="H34" i="22726"/>
  <c r="I34" i="22726" s="1"/>
  <c r="BC32" i="22723"/>
  <c r="BA10" i="22723"/>
  <c r="BA62" i="22723"/>
  <c r="BA9" i="22723"/>
  <c r="BA8" i="22723"/>
  <c r="BA11" i="22723"/>
  <c r="BC31" i="22723" s="1"/>
  <c r="F77" i="3"/>
  <c r="H77" i="22715" s="1"/>
  <c r="I77" i="22715" s="1"/>
  <c r="AA52" i="2"/>
  <c r="F52" i="2"/>
  <c r="H28" i="22726"/>
  <c r="I28" i="22726" s="1"/>
  <c r="K9" i="22723"/>
  <c r="K62" i="22723"/>
  <c r="K11" i="22723"/>
  <c r="M32" i="22723"/>
  <c r="K8" i="22723"/>
  <c r="K10" i="22723"/>
  <c r="D33" i="5"/>
  <c r="AV70" i="2"/>
  <c r="B48" i="22715"/>
  <c r="C48" i="22715" s="1"/>
  <c r="D84" i="3"/>
  <c r="BQ52" i="2"/>
  <c r="B58" i="22715"/>
  <c r="H30" i="22726"/>
  <c r="I30" i="22726" s="1"/>
  <c r="Y11" i="22723"/>
  <c r="AA31" i="22723" s="1"/>
  <c r="Y62" i="22723"/>
  <c r="Y8" i="22723"/>
  <c r="AA32" i="22723"/>
  <c r="Y9" i="22723"/>
  <c r="Y10" i="22723"/>
  <c r="C105" i="22725"/>
  <c r="C108" i="22725"/>
  <c r="C107" i="22725"/>
  <c r="C101" i="22725"/>
  <c r="C103" i="22725"/>
  <c r="C110" i="22725"/>
  <c r="C109" i="22725"/>
  <c r="D14" i="22729" a="1"/>
  <c r="D14" i="22729" s="1"/>
  <c r="G14" i="22729" a="1"/>
  <c r="G14" i="22729" s="1"/>
  <c r="G15" i="22729" s="1" a="1"/>
  <c r="G15" i="22729" s="1"/>
  <c r="F16" i="22729" a="1"/>
  <c r="F16" i="22729" s="1"/>
  <c r="B15" i="22729" a="1"/>
  <c r="B15" i="22729" s="1"/>
  <c r="E15" i="22729" a="1"/>
  <c r="E15" i="22729" s="1"/>
  <c r="C16" i="22729" a="1"/>
  <c r="C16" i="22729" s="1"/>
  <c r="J43" i="22715"/>
  <c r="C154" i="3"/>
  <c r="H203" i="22715" s="1"/>
  <c r="C153" i="3"/>
  <c r="H202" i="22715" s="1"/>
  <c r="C155" i="3"/>
  <c r="C115" i="22725"/>
  <c r="C116" i="22725"/>
  <c r="J118" i="22715" s="1"/>
  <c r="I114" i="22715"/>
  <c r="J115" i="22715"/>
  <c r="C117" i="22725"/>
  <c r="J119" i="22715" s="1"/>
  <c r="T33" i="22723" l="1"/>
  <c r="T37" i="22723" s="1"/>
  <c r="C111" i="22725"/>
  <c r="AA10" i="22723"/>
  <c r="AA33" i="22723"/>
  <c r="AA37" i="22723" s="1"/>
  <c r="X10" i="22723"/>
  <c r="AA62" i="22723"/>
  <c r="AA63" i="22723" s="1"/>
  <c r="W63" i="22723"/>
  <c r="Y63" i="22723"/>
  <c r="X44" i="22723"/>
  <c r="Y43" i="22723" s="1"/>
  <c r="Y48" i="22723" s="1"/>
  <c r="Y49" i="22723" s="1"/>
  <c r="AZ11" i="22723"/>
  <c r="BC11" i="22723"/>
  <c r="BC33" i="22723"/>
  <c r="BC37" i="22723" s="1"/>
  <c r="AZ10" i="22723"/>
  <c r="BC10" i="22723"/>
  <c r="AS9" i="22723"/>
  <c r="AV9" i="22723"/>
  <c r="CZ11" i="22723"/>
  <c r="CW11" i="22723"/>
  <c r="BG9" i="22723"/>
  <c r="BJ9" i="22723"/>
  <c r="AE11" i="22723"/>
  <c r="AH11" i="22723"/>
  <c r="CB10" i="22723"/>
  <c r="CE33" i="22723"/>
  <c r="CE37" i="22723" s="1"/>
  <c r="CE10" i="22723"/>
  <c r="CI44" i="22723"/>
  <c r="CJ43" i="22723" s="1"/>
  <c r="CJ48" i="22723" s="1"/>
  <c r="CJ49" i="22723" s="1"/>
  <c r="CH63" i="22723"/>
  <c r="CJ63" i="22723"/>
  <c r="CL62" i="22723"/>
  <c r="CL63" i="22723" s="1"/>
  <c r="F10" i="22723"/>
  <c r="F31" i="22723"/>
  <c r="F33" i="22723" s="1"/>
  <c r="F37" i="22723" s="1"/>
  <c r="C10" i="22723"/>
  <c r="AA9" i="22723"/>
  <c r="X9" i="22723"/>
  <c r="X11" i="22723"/>
  <c r="AA11" i="22723"/>
  <c r="J11" i="22723"/>
  <c r="M11" i="22723"/>
  <c r="AZ8" i="22723"/>
  <c r="BC8" i="22723"/>
  <c r="BN10" i="22723"/>
  <c r="BQ33" i="22723"/>
  <c r="BQ37" i="22723" s="1"/>
  <c r="BQ10" i="22723"/>
  <c r="CP8" i="22723"/>
  <c r="CS8" i="22723"/>
  <c r="AO10" i="22723"/>
  <c r="AL10" i="22723"/>
  <c r="AO33" i="22723"/>
  <c r="AO37" i="22723" s="1"/>
  <c r="AL11" i="22723"/>
  <c r="AO11" i="22723"/>
  <c r="BU9" i="22723"/>
  <c r="BX9" i="22723"/>
  <c r="BU8" i="22723"/>
  <c r="BX8" i="22723"/>
  <c r="AS8" i="22723"/>
  <c r="AV8" i="22723"/>
  <c r="AV33" i="22723"/>
  <c r="AV37" i="22723" s="1"/>
  <c r="AS10" i="22723"/>
  <c r="AV10" i="22723"/>
  <c r="CZ10" i="22723"/>
  <c r="CW10" i="22723"/>
  <c r="CZ33" i="22723"/>
  <c r="CZ37" i="22723" s="1"/>
  <c r="BG44" i="22723"/>
  <c r="BH43" i="22723" s="1"/>
  <c r="BH48" i="22723" s="1"/>
  <c r="BH49" i="22723" s="1"/>
  <c r="BF63" i="22723"/>
  <c r="BH63" i="22723"/>
  <c r="BJ62" i="22723"/>
  <c r="BJ63" i="22723" s="1"/>
  <c r="AE44" i="22723"/>
  <c r="AF43" i="22723" s="1"/>
  <c r="AF48" i="22723" s="1"/>
  <c r="AF49" i="22723" s="1"/>
  <c r="AH62" i="22723"/>
  <c r="AH63" i="22723" s="1"/>
  <c r="AF63" i="22723"/>
  <c r="AD63" i="22723"/>
  <c r="AE9" i="22723"/>
  <c r="AH9" i="22723"/>
  <c r="CB11" i="22723"/>
  <c r="CE11" i="22723"/>
  <c r="DE63" i="22723"/>
  <c r="DG62" i="22723"/>
  <c r="DG63" i="22723" s="1"/>
  <c r="DC63" i="22723"/>
  <c r="DD44" i="22723"/>
  <c r="DE43" i="22723" s="1"/>
  <c r="DE48" i="22723" s="1"/>
  <c r="DE49" i="22723" s="1"/>
  <c r="CI8" i="22723"/>
  <c r="CL8" i="22723"/>
  <c r="F47" i="3"/>
  <c r="K47" i="3"/>
  <c r="K49" i="3" s="1"/>
  <c r="H43" i="22715" s="1"/>
  <c r="I43" i="22715" s="1"/>
  <c r="C8" i="22723"/>
  <c r="F8" i="22723"/>
  <c r="C44" i="22723"/>
  <c r="D43" i="22723" s="1"/>
  <c r="D48" i="22723" s="1"/>
  <c r="D49" i="22723" s="1"/>
  <c r="B63" i="22723"/>
  <c r="D63" i="22723"/>
  <c r="F62" i="22723"/>
  <c r="F63" i="22723" s="1"/>
  <c r="B115" i="3"/>
  <c r="B111" i="3"/>
  <c r="C101" i="3" s="1"/>
  <c r="Q8" i="22723"/>
  <c r="T8" i="22723"/>
  <c r="Q44" i="22723"/>
  <c r="R43" i="22723" s="1"/>
  <c r="R48" i="22723" s="1"/>
  <c r="R49" i="22723" s="1"/>
  <c r="P63" i="22723"/>
  <c r="R63" i="22723"/>
  <c r="T62" i="22723"/>
  <c r="T63" i="22723" s="1"/>
  <c r="C26" i="5"/>
  <c r="E26" i="5" s="1"/>
  <c r="E66" i="2"/>
  <c r="F66" i="2" s="1"/>
  <c r="F67" i="2" s="1"/>
  <c r="F68" i="2" s="1"/>
  <c r="J26" i="5"/>
  <c r="BN11" i="22723"/>
  <c r="BQ11" i="22723"/>
  <c r="CS10" i="22723"/>
  <c r="CS33" i="22723"/>
  <c r="CS37" i="22723" s="1"/>
  <c r="CP10" i="22723"/>
  <c r="CP11" i="22723"/>
  <c r="CS11" i="22723"/>
  <c r="AO9" i="22723"/>
  <c r="AL9" i="22723"/>
  <c r="BU44" i="22723"/>
  <c r="BV43" i="22723" s="1"/>
  <c r="BV48" i="22723" s="1"/>
  <c r="BV49" i="22723" s="1"/>
  <c r="BT63" i="22723"/>
  <c r="BV63" i="22723"/>
  <c r="BX62" i="22723"/>
  <c r="BX63" i="22723" s="1"/>
  <c r="AV11" i="22723"/>
  <c r="AS11" i="22723"/>
  <c r="CW9" i="22723"/>
  <c r="CZ9" i="22723"/>
  <c r="DG9" i="22723"/>
  <c r="DD9" i="22723"/>
  <c r="DD8" i="22723"/>
  <c r="DG8" i="22723"/>
  <c r="J10" i="22723"/>
  <c r="M31" i="22723"/>
  <c r="M33" i="22723" s="1"/>
  <c r="M37" i="22723" s="1"/>
  <c r="M10" i="22723"/>
  <c r="J44" i="22723"/>
  <c r="K43" i="22723" s="1"/>
  <c r="K48" i="22723" s="1"/>
  <c r="K49" i="22723" s="1"/>
  <c r="K63" i="22723"/>
  <c r="I63" i="22723"/>
  <c r="M62" i="22723"/>
  <c r="M63" i="22723" s="1"/>
  <c r="BC9" i="22723"/>
  <c r="AZ9" i="22723"/>
  <c r="BN8" i="22723"/>
  <c r="BQ8" i="22723"/>
  <c r="BN9" i="22723"/>
  <c r="BQ9" i="22723"/>
  <c r="CQ63" i="22723"/>
  <c r="CP44" i="22723"/>
  <c r="CQ43" i="22723" s="1"/>
  <c r="CQ48" i="22723" s="1"/>
  <c r="CQ49" i="22723" s="1"/>
  <c r="CS62" i="22723"/>
  <c r="CS63" i="22723" s="1"/>
  <c r="CO63" i="22723"/>
  <c r="AL44" i="22723"/>
  <c r="AM43" i="22723" s="1"/>
  <c r="AM48" i="22723" s="1"/>
  <c r="AM49" i="22723" s="1"/>
  <c r="AK63" i="22723"/>
  <c r="AO62" i="22723"/>
  <c r="AO63" i="22723" s="1"/>
  <c r="AM63" i="22723"/>
  <c r="BU11" i="22723"/>
  <c r="BX11" i="22723"/>
  <c r="CW8" i="22723"/>
  <c r="CZ8" i="22723"/>
  <c r="BG11" i="22723"/>
  <c r="BJ11" i="22723"/>
  <c r="AE8" i="22723"/>
  <c r="AH8" i="22723"/>
  <c r="CB8" i="22723"/>
  <c r="CE8" i="22723"/>
  <c r="DD11" i="22723"/>
  <c r="DG11" i="22723"/>
  <c r="CI9" i="22723"/>
  <c r="CL9" i="22723"/>
  <c r="CL11" i="22723"/>
  <c r="CI11" i="22723"/>
  <c r="C11" i="22723"/>
  <c r="F11" i="22723"/>
  <c r="C9" i="22723"/>
  <c r="F9" i="22723"/>
  <c r="H251" i="22715"/>
  <c r="I251" i="22715" s="1"/>
  <c r="Q10" i="22723"/>
  <c r="T10" i="22723"/>
  <c r="X8" i="22723"/>
  <c r="AA8" i="22723"/>
  <c r="J8" i="22723"/>
  <c r="M8" i="22723"/>
  <c r="M9" i="22723"/>
  <c r="J9" i="22723"/>
  <c r="AZ44" i="22723"/>
  <c r="BA43" i="22723" s="1"/>
  <c r="BA48" i="22723" s="1"/>
  <c r="BA49" i="22723" s="1"/>
  <c r="AY63" i="22723"/>
  <c r="BA63" i="22723"/>
  <c r="BC62" i="22723"/>
  <c r="BC63" i="22723" s="1"/>
  <c r="BN44" i="22723"/>
  <c r="BO43" i="22723" s="1"/>
  <c r="BO48" i="22723" s="1"/>
  <c r="BO49" i="22723" s="1"/>
  <c r="BO63" i="22723"/>
  <c r="BM63" i="22723"/>
  <c r="BQ62" i="22723"/>
  <c r="BQ63" i="22723" s="1"/>
  <c r="CP9" i="22723"/>
  <c r="CS9" i="22723"/>
  <c r="AL8" i="22723"/>
  <c r="AO8" i="22723"/>
  <c r="B80" i="22715"/>
  <c r="C80" i="22715" s="1"/>
  <c r="C72" i="22715"/>
  <c r="BX33" i="22723"/>
  <c r="BX37" i="22723" s="1"/>
  <c r="BU10" i="22723"/>
  <c r="BX10" i="22723"/>
  <c r="AS44" i="22723"/>
  <c r="AT43" i="22723" s="1"/>
  <c r="AT48" i="22723" s="1"/>
  <c r="AT49" i="22723" s="1"/>
  <c r="AT63" i="22723"/>
  <c r="AR63" i="22723"/>
  <c r="AV62" i="22723"/>
  <c r="AV63" i="22723" s="1"/>
  <c r="CW44" i="22723"/>
  <c r="CX43" i="22723" s="1"/>
  <c r="CX48" i="22723" s="1"/>
  <c r="CX49" i="22723" s="1"/>
  <c r="CX63" i="22723"/>
  <c r="CV63" i="22723"/>
  <c r="CZ62" i="22723"/>
  <c r="CZ63" i="22723" s="1"/>
  <c r="BJ8" i="22723"/>
  <c r="BG8" i="22723"/>
  <c r="BJ33" i="22723"/>
  <c r="BJ37" i="22723" s="1"/>
  <c r="BG10" i="22723"/>
  <c r="BJ10" i="22723"/>
  <c r="AH10" i="22723"/>
  <c r="AH33" i="22723"/>
  <c r="AH37" i="22723" s="1"/>
  <c r="AE10" i="22723"/>
  <c r="CB9" i="22723"/>
  <c r="CE9" i="22723"/>
  <c r="CB44" i="22723"/>
  <c r="CC43" i="22723" s="1"/>
  <c r="CC48" i="22723" s="1"/>
  <c r="CC49" i="22723" s="1"/>
  <c r="CE62" i="22723"/>
  <c r="CE63" i="22723" s="1"/>
  <c r="CC63" i="22723"/>
  <c r="CA63" i="22723"/>
  <c r="DD10" i="22723"/>
  <c r="DG10" i="22723"/>
  <c r="DG33" i="22723"/>
  <c r="DG37" i="22723" s="1"/>
  <c r="CL10" i="22723"/>
  <c r="CI10" i="22723"/>
  <c r="CL33" i="22723"/>
  <c r="CL37" i="22723" s="1"/>
  <c r="B161" i="3"/>
  <c r="F46" i="3"/>
  <c r="Q9" i="22723"/>
  <c r="T9" i="22723"/>
  <c r="Q11" i="22723"/>
  <c r="T11" i="22723"/>
  <c r="E16" i="22729" a="1"/>
  <c r="E16" i="22729" s="1"/>
  <c r="F17" i="22729" a="1"/>
  <c r="F17" i="22729" s="1"/>
  <c r="C17" i="22729" a="1"/>
  <c r="C17" i="22729" s="1"/>
  <c r="C18" i="22729" s="1" a="1"/>
  <c r="C18" i="22729" s="1"/>
  <c r="G16" i="22729" a="1"/>
  <c r="G16" i="22729" s="1"/>
  <c r="B16" i="22729" a="1"/>
  <c r="B16" i="22729" s="1"/>
  <c r="B17" i="22729" s="1" a="1"/>
  <c r="B17" i="22729" s="1"/>
  <c r="B18" i="22729" s="1" a="1"/>
  <c r="B18" i="22729" s="1"/>
  <c r="B19" i="22729" s="1" a="1"/>
  <c r="B19" i="22729" s="1"/>
  <c r="B20" i="22729" s="1" a="1"/>
  <c r="B20" i="22729" s="1"/>
  <c r="B21" i="22729" s="1" a="1"/>
  <c r="B21" i="22729" s="1"/>
  <c r="B22" i="22729" s="1" a="1"/>
  <c r="B22" i="22729" s="1"/>
  <c r="B23" i="22729" s="1" a="1"/>
  <c r="B23" i="22729" s="1"/>
  <c r="B24" i="22729" s="1" a="1"/>
  <c r="B24" i="22729" s="1"/>
  <c r="B25" i="22729" s="1" a="1"/>
  <c r="B25" i="22729" s="1"/>
  <c r="B26" i="22729" s="1" a="1"/>
  <c r="B26" i="22729" s="1"/>
  <c r="B27" i="22729" s="1" a="1"/>
  <c r="B27" i="22729" s="1"/>
  <c r="B28" i="22729" s="1" a="1"/>
  <c r="B28" i="22729" s="1"/>
  <c r="B29" i="22729" s="1" a="1"/>
  <c r="B29" i="22729" s="1"/>
  <c r="B30" i="22729" s="1" a="1"/>
  <c r="B30" i="22729" s="1"/>
  <c r="D15" i="22729" a="1"/>
  <c r="D15" i="22729" s="1"/>
  <c r="B152" i="22725"/>
  <c r="C118" i="22725"/>
  <c r="J117" i="22715"/>
  <c r="F49" i="3" l="1"/>
  <c r="K51" i="3" s="1"/>
  <c r="BU12" i="22723"/>
  <c r="CS12" i="22723"/>
  <c r="CS14" i="22723" s="1"/>
  <c r="CS69" i="22723" s="1"/>
  <c r="CE12" i="22723"/>
  <c r="CE14" i="22723" s="1"/>
  <c r="CE69" i="22723" s="1"/>
  <c r="BQ12" i="22723"/>
  <c r="BQ14" i="22723" s="1"/>
  <c r="D36" i="22726" s="1"/>
  <c r="CB12" i="22723"/>
  <c r="BQ69" i="22723"/>
  <c r="T12" i="22723"/>
  <c r="T14" i="22723" s="1"/>
  <c r="H112" i="22715"/>
  <c r="B118" i="3"/>
  <c r="C115" i="3" s="1"/>
  <c r="AA12" i="22723"/>
  <c r="AA14" i="22723" s="1"/>
  <c r="AH12" i="22723"/>
  <c r="AH14" i="22723" s="1"/>
  <c r="BN12" i="22723"/>
  <c r="Q12" i="22723"/>
  <c r="F12" i="22723"/>
  <c r="F14" i="22723" s="1"/>
  <c r="CL12" i="22723"/>
  <c r="CL14" i="22723" s="1"/>
  <c r="AV12" i="22723"/>
  <c r="AV14" i="22723" s="1"/>
  <c r="CP12" i="22723"/>
  <c r="BC12" i="22723"/>
  <c r="BC14" i="22723" s="1"/>
  <c r="X12" i="22723"/>
  <c r="DG12" i="22723"/>
  <c r="DG14" i="22723" s="1"/>
  <c r="BG12" i="22723"/>
  <c r="AL12" i="22723"/>
  <c r="AE12" i="22723"/>
  <c r="CZ12" i="22723"/>
  <c r="CZ14" i="22723" s="1"/>
  <c r="J12" i="22723"/>
  <c r="DD12" i="22723"/>
  <c r="C12" i="22723"/>
  <c r="CI12" i="22723"/>
  <c r="AS12" i="22723"/>
  <c r="AZ12" i="22723"/>
  <c r="B170" i="3"/>
  <c r="B166" i="3"/>
  <c r="H223" i="22715" s="1"/>
  <c r="BJ12" i="22723"/>
  <c r="BJ14" i="22723" s="1"/>
  <c r="M12" i="22723"/>
  <c r="M14" i="22723" s="1"/>
  <c r="CW12" i="22723"/>
  <c r="G26" i="5"/>
  <c r="F26" i="5"/>
  <c r="C104" i="3"/>
  <c r="C110" i="3"/>
  <c r="C108" i="3"/>
  <c r="C109" i="3"/>
  <c r="C106" i="3"/>
  <c r="C107" i="3"/>
  <c r="C102" i="3"/>
  <c r="C105" i="3"/>
  <c r="C103" i="3"/>
  <c r="BX12" i="22723"/>
  <c r="BX14" i="22723" s="1"/>
  <c r="AO12" i="22723"/>
  <c r="AO14" i="22723" s="1"/>
  <c r="F69" i="2"/>
  <c r="C19" i="22729" a="1"/>
  <c r="C19" i="22729" s="1"/>
  <c r="C20" i="22729" s="1" a="1"/>
  <c r="C20" i="22729" s="1"/>
  <c r="D16" i="22729" a="1"/>
  <c r="D16" i="22729" s="1"/>
  <c r="D17" i="22729" s="1" a="1"/>
  <c r="D17" i="22729" s="1"/>
  <c r="D18" i="22729" s="1" a="1"/>
  <c r="D18" i="22729" s="1"/>
  <c r="D19" i="22729" s="1" a="1"/>
  <c r="D19" i="22729" s="1"/>
  <c r="D20" i="22729" s="1" a="1"/>
  <c r="D20" i="22729" s="1"/>
  <c r="D21" i="22729" s="1" a="1"/>
  <c r="D21" i="22729" s="1"/>
  <c r="D22" i="22729" s="1" a="1"/>
  <c r="D22" i="22729" s="1"/>
  <c r="D23" i="22729" s="1" a="1"/>
  <c r="D23" i="22729" s="1"/>
  <c r="D24" i="22729" s="1" a="1"/>
  <c r="D24" i="22729" s="1"/>
  <c r="D25" i="22729" s="1" a="1"/>
  <c r="D25" i="22729" s="1"/>
  <c r="D26" i="22729" s="1" a="1"/>
  <c r="D26" i="22729" s="1"/>
  <c r="D27" i="22729" s="1" a="1"/>
  <c r="D27" i="22729" s="1"/>
  <c r="D28" i="22729" s="1" a="1"/>
  <c r="D28" i="22729" s="1"/>
  <c r="D29" i="22729" s="1" a="1"/>
  <c r="D29" i="22729" s="1"/>
  <c r="D30" i="22729" s="1" a="1"/>
  <c r="D30" i="22729" s="1"/>
  <c r="F18" i="22729" a="1"/>
  <c r="F18" i="22729" s="1"/>
  <c r="F19" i="22729" s="1" a="1"/>
  <c r="F19" i="22729" s="1"/>
  <c r="F20" i="22729" s="1" a="1"/>
  <c r="F20" i="22729" s="1"/>
  <c r="F21" i="22729" s="1" a="1"/>
  <c r="F21" i="22729" s="1"/>
  <c r="F22" i="22729" s="1" a="1"/>
  <c r="F22" i="22729" s="1"/>
  <c r="F23" i="22729" s="1" a="1"/>
  <c r="F23" i="22729" s="1"/>
  <c r="F24" i="22729" s="1" a="1"/>
  <c r="F24" i="22729" s="1"/>
  <c r="F25" i="22729" s="1" a="1"/>
  <c r="F25" i="22729" s="1"/>
  <c r="F26" i="22729" s="1" a="1"/>
  <c r="F26" i="22729" s="1"/>
  <c r="F27" i="22729" s="1" a="1"/>
  <c r="F27" i="22729" s="1"/>
  <c r="F28" i="22729" s="1" a="1"/>
  <c r="F28" i="22729" s="1"/>
  <c r="F29" i="22729" s="1" a="1"/>
  <c r="F29" i="22729" s="1"/>
  <c r="F30" i="22729" s="1" a="1"/>
  <c r="F30" i="22729" s="1"/>
  <c r="E17" i="22729" a="1"/>
  <c r="E17" i="22729" s="1"/>
  <c r="E18" i="22729" s="1" a="1"/>
  <c r="E18" i="22729" s="1"/>
  <c r="E19" i="22729" s="1" a="1"/>
  <c r="E19" i="22729" s="1"/>
  <c r="E20" i="22729" s="1" a="1"/>
  <c r="E20" i="22729" s="1"/>
  <c r="E21" i="22729" s="1" a="1"/>
  <c r="E21" i="22729" s="1"/>
  <c r="E22" i="22729" s="1" a="1"/>
  <c r="E22" i="22729" s="1"/>
  <c r="E23" i="22729" s="1" a="1"/>
  <c r="E23" i="22729" s="1"/>
  <c r="E24" i="22729" s="1" a="1"/>
  <c r="E24" i="22729" s="1"/>
  <c r="E25" i="22729" s="1" a="1"/>
  <c r="E25" i="22729" s="1"/>
  <c r="E26" i="22729" s="1" a="1"/>
  <c r="E26" i="22729" s="1"/>
  <c r="E27" i="22729" s="1" a="1"/>
  <c r="E27" i="22729" s="1"/>
  <c r="E28" i="22729" s="1" a="1"/>
  <c r="E28" i="22729" s="1"/>
  <c r="E29" i="22729" s="1" a="1"/>
  <c r="E29" i="22729" s="1"/>
  <c r="E30" i="22729" s="1" a="1"/>
  <c r="E30" i="22729" s="1"/>
  <c r="G17" i="22729" a="1"/>
  <c r="G17" i="22729" s="1"/>
  <c r="G18" i="22729" s="1" a="1"/>
  <c r="G18" i="22729" s="1"/>
  <c r="G19" i="22729" s="1" a="1"/>
  <c r="G19" i="22729" s="1"/>
  <c r="G20" i="22729" s="1" a="1"/>
  <c r="G20" i="22729" s="1"/>
  <c r="G21" i="22729" s="1" a="1"/>
  <c r="G21" i="22729" s="1"/>
  <c r="G22" i="22729" s="1" a="1"/>
  <c r="G22" i="22729" s="1"/>
  <c r="G23" i="22729" s="1" a="1"/>
  <c r="G23" i="22729" s="1"/>
  <c r="G24" i="22729" s="1" a="1"/>
  <c r="G24" i="22729" s="1"/>
  <c r="G25" i="22729" s="1" a="1"/>
  <c r="G25" i="22729" s="1"/>
  <c r="G26" i="22729" s="1" a="1"/>
  <c r="G26" i="22729" s="1"/>
  <c r="G27" i="22729" s="1" a="1"/>
  <c r="G27" i="22729" s="1"/>
  <c r="G28" i="22729" s="1" a="1"/>
  <c r="G28" i="22729" s="1"/>
  <c r="G29" i="22729" s="1" a="1"/>
  <c r="G29" i="22729" s="1"/>
  <c r="G30" i="22729" s="1" a="1"/>
  <c r="G30" i="22729" s="1"/>
  <c r="J196" i="22715"/>
  <c r="D40" i="22726" l="1"/>
  <c r="F73" i="2"/>
  <c r="U38" i="2"/>
  <c r="G38" i="2"/>
  <c r="DA38" i="2"/>
  <c r="BD38" i="2"/>
  <c r="DH38" i="2"/>
  <c r="BK38" i="2"/>
  <c r="DH37" i="2"/>
  <c r="BY37" i="2"/>
  <c r="AW37" i="2"/>
  <c r="U37" i="2"/>
  <c r="CF38" i="2"/>
  <c r="AI38" i="2"/>
  <c r="BK37" i="2"/>
  <c r="N38" i="2"/>
  <c r="BR38" i="2"/>
  <c r="BY38" i="2"/>
  <c r="CT37" i="2"/>
  <c r="BR37" i="2"/>
  <c r="AP37" i="2"/>
  <c r="N37" i="2"/>
  <c r="CM37" i="2"/>
  <c r="AP38" i="2"/>
  <c r="CT38" i="2"/>
  <c r="AW38" i="2"/>
  <c r="DA37" i="2"/>
  <c r="CF37" i="2"/>
  <c r="BD37" i="2"/>
  <c r="AB37" i="2"/>
  <c r="AB38" i="2"/>
  <c r="CM38" i="2"/>
  <c r="AI37" i="2"/>
  <c r="G68" i="2"/>
  <c r="G37" i="2"/>
  <c r="D38" i="22726"/>
  <c r="B123" i="3"/>
  <c r="H128" i="22715" s="1"/>
  <c r="B28" i="22715"/>
  <c r="C28" i="22715" s="1"/>
  <c r="C111" i="3"/>
  <c r="D37" i="22726"/>
  <c r="BX69" i="22723"/>
  <c r="D35" i="22726"/>
  <c r="BJ69" i="22723"/>
  <c r="DG69" i="22723"/>
  <c r="D42" i="22726"/>
  <c r="D39" i="22726"/>
  <c r="CL69" i="22723"/>
  <c r="D31" i="22726"/>
  <c r="AH69" i="22723"/>
  <c r="D29" i="22726"/>
  <c r="T69" i="22723"/>
  <c r="D33" i="22726"/>
  <c r="AV69" i="22723"/>
  <c r="H250" i="22715"/>
  <c r="B172" i="3"/>
  <c r="D41" i="22726"/>
  <c r="CZ69" i="22723"/>
  <c r="D34" i="22726"/>
  <c r="BC69" i="22723"/>
  <c r="D27" i="22726"/>
  <c r="F69" i="22723"/>
  <c r="D30" i="22726"/>
  <c r="AA69" i="22723"/>
  <c r="H117" i="22715"/>
  <c r="I112" i="22715"/>
  <c r="H115" i="22715"/>
  <c r="I115" i="22715" s="1"/>
  <c r="D32" i="22726"/>
  <c r="AO69" i="22723"/>
  <c r="M69" i="22723"/>
  <c r="D28" i="22726"/>
  <c r="C116" i="3"/>
  <c r="H118" i="22715" s="1"/>
  <c r="C117" i="3"/>
  <c r="H119" i="22715" s="1"/>
  <c r="G32" i="2"/>
  <c r="G29" i="2"/>
  <c r="G50" i="2"/>
  <c r="G48" i="2"/>
  <c r="G27" i="2"/>
  <c r="G55" i="2"/>
  <c r="G59" i="2"/>
  <c r="G54" i="2"/>
  <c r="G45" i="2"/>
  <c r="G16" i="2"/>
  <c r="E27" i="5"/>
  <c r="G56" i="2"/>
  <c r="G61" i="2"/>
  <c r="G51" i="2"/>
  <c r="G36" i="2"/>
  <c r="G19" i="2"/>
  <c r="G43" i="2"/>
  <c r="G47" i="2"/>
  <c r="G63" i="2"/>
  <c r="G60" i="2"/>
  <c r="G49" i="2"/>
  <c r="G46" i="2"/>
  <c r="G44" i="2"/>
  <c r="G41" i="2"/>
  <c r="G58" i="2"/>
  <c r="G33" i="2"/>
  <c r="G34" i="2"/>
  <c r="G39" i="2"/>
  <c r="G57" i="2"/>
  <c r="G69" i="2"/>
  <c r="G52" i="2"/>
  <c r="G42" i="2"/>
  <c r="G35" i="2"/>
  <c r="G65" i="2"/>
  <c r="G64" i="2"/>
  <c r="G17" i="2"/>
  <c r="G62" i="2"/>
  <c r="G31" i="2"/>
  <c r="F71" i="2"/>
  <c r="G66" i="2"/>
  <c r="G67" i="2"/>
  <c r="C21" i="22729" a="1"/>
  <c r="C21" i="22729" s="1"/>
  <c r="C22" i="22729" s="1" a="1"/>
  <c r="C22" i="22729" s="1"/>
  <c r="C23" i="22729" s="1" a="1"/>
  <c r="C23" i="22729" s="1"/>
  <c r="C24" i="22729" s="1" a="1"/>
  <c r="C24" i="22729" s="1"/>
  <c r="C25" i="22729" s="1" a="1"/>
  <c r="C25" i="22729" s="1"/>
  <c r="C26" i="22729" s="1" a="1"/>
  <c r="C26" i="22729" s="1"/>
  <c r="C27" i="22729" s="1" a="1"/>
  <c r="C27" i="22729" s="1"/>
  <c r="C28" i="22729" s="1" a="1"/>
  <c r="C28" i="22729" s="1"/>
  <c r="C29" i="22729" s="1" a="1"/>
  <c r="C29" i="22729" s="1"/>
  <c r="C30" i="22729" s="1" a="1"/>
  <c r="C30" i="22729" s="1"/>
  <c r="I196" i="22715"/>
  <c r="CR45" i="22723" l="1"/>
  <c r="CS45" i="22723" s="1"/>
  <c r="E44" i="22725"/>
  <c r="F44" i="22725" s="1"/>
  <c r="BB49" i="22723"/>
  <c r="BC49" i="22723" s="1"/>
  <c r="CL50" i="22723"/>
  <c r="AG45" i="22723"/>
  <c r="AH45" i="22723" s="1"/>
  <c r="AN43" i="22723"/>
  <c r="AO43" i="22723" s="1"/>
  <c r="BX50" i="22723"/>
  <c r="BI47" i="22723"/>
  <c r="BJ47" i="22723" s="1"/>
  <c r="L45" i="22723"/>
  <c r="M45" i="22723" s="1"/>
  <c r="DF49" i="22723"/>
  <c r="DG49" i="22723" s="1"/>
  <c r="AG49" i="22723"/>
  <c r="AH49" i="22723" s="1"/>
  <c r="CD40" i="22723"/>
  <c r="CE40" i="22723" s="1"/>
  <c r="BB43" i="22723"/>
  <c r="BC43" i="22723" s="1"/>
  <c r="E41" i="22725"/>
  <c r="F41" i="22725" s="1"/>
  <c r="B161" i="22725" s="1"/>
  <c r="CZ50" i="22723"/>
  <c r="D34" i="22714"/>
  <c r="E34" i="22714" s="1"/>
  <c r="AG41" i="22723"/>
  <c r="AH41" i="22723" s="1"/>
  <c r="CK43" i="22723"/>
  <c r="CL43" i="22723" s="1"/>
  <c r="BW45" i="22723"/>
  <c r="BX45" i="22723" s="1"/>
  <c r="BW46" i="22723"/>
  <c r="BX46" i="22723" s="1"/>
  <c r="CR40" i="22723"/>
  <c r="CS40" i="22723" s="1"/>
  <c r="AU42" i="22723"/>
  <c r="AV42" i="22723" s="1"/>
  <c r="D33" i="22714"/>
  <c r="E33" i="22714" s="1"/>
  <c r="DF41" i="22723"/>
  <c r="DG41" i="22723" s="1"/>
  <c r="E47" i="22723"/>
  <c r="F47" i="22723" s="1"/>
  <c r="M50" i="22723"/>
  <c r="DF46" i="22723"/>
  <c r="DG46" i="22723" s="1"/>
  <c r="E38" i="22725"/>
  <c r="F38" i="22725" s="1"/>
  <c r="AN46" i="22723"/>
  <c r="AO46" i="22723" s="1"/>
  <c r="CR42" i="22723"/>
  <c r="CS42" i="22723" s="1"/>
  <c r="AN49" i="22723"/>
  <c r="AO49" i="22723" s="1"/>
  <c r="CR49" i="22723"/>
  <c r="CS49" i="22723" s="1"/>
  <c r="AG42" i="22723"/>
  <c r="AH42" i="22723" s="1"/>
  <c r="Z45" i="22723"/>
  <c r="AA45" i="22723" s="1"/>
  <c r="L41" i="22723"/>
  <c r="M41" i="22723" s="1"/>
  <c r="CR46" i="22723"/>
  <c r="CS46" i="22723" s="1"/>
  <c r="BB45" i="22723"/>
  <c r="BC45" i="22723" s="1"/>
  <c r="Z47" i="22723"/>
  <c r="AA47" i="22723" s="1"/>
  <c r="E39" i="22725"/>
  <c r="F39" i="22725" s="1"/>
  <c r="B141" i="22725" s="1"/>
  <c r="BC50" i="22723"/>
  <c r="D38" i="22714"/>
  <c r="E103" i="22714" s="1"/>
  <c r="F50" i="22723"/>
  <c r="Z43" i="22723"/>
  <c r="AA43" i="22723" s="1"/>
  <c r="D36" i="22714"/>
  <c r="Z46" i="22723"/>
  <c r="AA46" i="22723" s="1"/>
  <c r="AU40" i="22723"/>
  <c r="AV40" i="22723" s="1"/>
  <c r="BP42" i="22723"/>
  <c r="BQ42" i="22723" s="1"/>
  <c r="E43" i="22725"/>
  <c r="F43" i="22725" s="1"/>
  <c r="BW41" i="22723"/>
  <c r="BX41" i="22723" s="1"/>
  <c r="CD43" i="22723"/>
  <c r="CE43" i="22723" s="1"/>
  <c r="BW42" i="22723"/>
  <c r="BX42" i="22723" s="1"/>
  <c r="BI43" i="22723"/>
  <c r="BJ43" i="22723" s="1"/>
  <c r="BB40" i="22723"/>
  <c r="BC40" i="22723" s="1"/>
  <c r="CS50" i="22723"/>
  <c r="AO50" i="22723"/>
  <c r="BI40" i="22723"/>
  <c r="BJ40" i="22723" s="1"/>
  <c r="S41" i="22723"/>
  <c r="T41" i="22723" s="1"/>
  <c r="CY41" i="22723"/>
  <c r="CZ41" i="22723" s="1"/>
  <c r="E40" i="22725"/>
  <c r="F40" i="22725" s="1"/>
  <c r="BI46" i="22723"/>
  <c r="BJ46" i="22723" s="1"/>
  <c r="CK46" i="22723"/>
  <c r="CL46" i="22723" s="1"/>
  <c r="CY45" i="22723"/>
  <c r="CZ45" i="22723" s="1"/>
  <c r="AU45" i="22723"/>
  <c r="AV45" i="22723" s="1"/>
  <c r="E41" i="22723"/>
  <c r="F41" i="22723" s="1"/>
  <c r="DG50" i="22723"/>
  <c r="BB47" i="22723"/>
  <c r="BC47" i="22723" s="1"/>
  <c r="E49" i="22723"/>
  <c r="F49" i="22723" s="1"/>
  <c r="L49" i="22723"/>
  <c r="M49" i="22723" s="1"/>
  <c r="S40" i="22723"/>
  <c r="T40" i="22723" s="1"/>
  <c r="CD45" i="22723"/>
  <c r="CE45" i="22723" s="1"/>
  <c r="CY43" i="22723"/>
  <c r="CZ43" i="22723" s="1"/>
  <c r="AG43" i="22723"/>
  <c r="AH43" i="22723" s="1"/>
  <c r="CD49" i="22723"/>
  <c r="CE49" i="22723" s="1"/>
  <c r="DF45" i="22723"/>
  <c r="DG45" i="22723" s="1"/>
  <c r="S42" i="22723"/>
  <c r="T42" i="22723" s="1"/>
  <c r="S49" i="22723"/>
  <c r="T49" i="22723" s="1"/>
  <c r="D32" i="22714"/>
  <c r="E32" i="22714" s="1"/>
  <c r="BP40" i="22723"/>
  <c r="BQ40" i="22723" s="1"/>
  <c r="T50" i="22723"/>
  <c r="AU49" i="22723"/>
  <c r="AV49" i="22723" s="1"/>
  <c r="AU47" i="22723"/>
  <c r="AV47" i="22723" s="1"/>
  <c r="CD42" i="22723"/>
  <c r="CE42" i="22723" s="1"/>
  <c r="BP47" i="22723"/>
  <c r="BQ47" i="22723" s="1"/>
  <c r="BB46" i="22723"/>
  <c r="BC46" i="22723" s="1"/>
  <c r="DF40" i="22723"/>
  <c r="DG40" i="22723" s="1"/>
  <c r="DF43" i="22723"/>
  <c r="DG43" i="22723" s="1"/>
  <c r="BI42" i="22723"/>
  <c r="BJ42" i="22723" s="1"/>
  <c r="BP49" i="22723"/>
  <c r="BQ49" i="22723" s="1"/>
  <c r="CD47" i="22723"/>
  <c r="CE47" i="22723" s="1"/>
  <c r="CK41" i="22723"/>
  <c r="CL41" i="22723" s="1"/>
  <c r="AN41" i="22723"/>
  <c r="AO41" i="22723" s="1"/>
  <c r="E47" i="22725"/>
  <c r="B142" i="22725" s="1"/>
  <c r="L42" i="22723"/>
  <c r="M42" i="22723" s="1"/>
  <c r="BI49" i="22723"/>
  <c r="BJ49" i="22723" s="1"/>
  <c r="AU46" i="22723"/>
  <c r="AV46" i="22723" s="1"/>
  <c r="S43" i="22723"/>
  <c r="T43" i="22723" s="1"/>
  <c r="AU41" i="22723"/>
  <c r="AV41" i="22723" s="1"/>
  <c r="BI41" i="22723"/>
  <c r="BJ41" i="22723" s="1"/>
  <c r="CK45" i="22723"/>
  <c r="CL45" i="22723" s="1"/>
  <c r="CY46" i="22723"/>
  <c r="CZ46" i="22723" s="1"/>
  <c r="BB41" i="22723"/>
  <c r="BC41" i="22723" s="1"/>
  <c r="L40" i="22723"/>
  <c r="M40" i="22723" s="1"/>
  <c r="BP43" i="22723"/>
  <c r="BQ43" i="22723" s="1"/>
  <c r="CY49" i="22723"/>
  <c r="CZ49" i="22723" s="1"/>
  <c r="AN40" i="22723"/>
  <c r="AO40" i="22723" s="1"/>
  <c r="CD41" i="22723"/>
  <c r="CE41" i="22723" s="1"/>
  <c r="E45" i="22723"/>
  <c r="F45" i="22723" s="1"/>
  <c r="AN42" i="22723"/>
  <c r="AO42" i="22723" s="1"/>
  <c r="BQ50" i="22723"/>
  <c r="CR47" i="22723"/>
  <c r="CS47" i="22723" s="1"/>
  <c r="CY40" i="22723"/>
  <c r="CZ40" i="22723" s="1"/>
  <c r="BW40" i="22723"/>
  <c r="BX40" i="22723" s="1"/>
  <c r="AG40" i="22723"/>
  <c r="AH40" i="22723" s="1"/>
  <c r="BP46" i="22723"/>
  <c r="BQ46" i="22723" s="1"/>
  <c r="Z40" i="22723"/>
  <c r="AA40" i="22723" s="1"/>
  <c r="CR43" i="22723"/>
  <c r="CS43" i="22723" s="1"/>
  <c r="BP45" i="22723"/>
  <c r="BQ45" i="22723" s="1"/>
  <c r="CK47" i="22723"/>
  <c r="CL47" i="22723" s="1"/>
  <c r="AU43" i="22723"/>
  <c r="AV43" i="22723" s="1"/>
  <c r="AA50" i="22723"/>
  <c r="AG47" i="22723"/>
  <c r="AH47" i="22723" s="1"/>
  <c r="Z49" i="22723"/>
  <c r="AA49" i="22723" s="1"/>
  <c r="AN47" i="22723"/>
  <c r="AO47" i="22723" s="1"/>
  <c r="L43" i="22723"/>
  <c r="M43" i="22723" s="1"/>
  <c r="CY42" i="22723"/>
  <c r="CZ42" i="22723" s="1"/>
  <c r="BB42" i="22723"/>
  <c r="BC42" i="22723" s="1"/>
  <c r="CY47" i="22723"/>
  <c r="CZ47" i="22723" s="1"/>
  <c r="L47" i="22723"/>
  <c r="M47" i="22723" s="1"/>
  <c r="S47" i="22723"/>
  <c r="T47" i="22723" s="1"/>
  <c r="BW43" i="22723"/>
  <c r="BX43" i="22723" s="1"/>
  <c r="DF42" i="22723"/>
  <c r="DG42" i="22723" s="1"/>
  <c r="AH50" i="22723"/>
  <c r="BP41" i="22723"/>
  <c r="BQ41" i="22723" s="1"/>
  <c r="CK40" i="22723"/>
  <c r="CL40" i="22723" s="1"/>
  <c r="CR41" i="22723"/>
  <c r="CS41" i="22723" s="1"/>
  <c r="CE50" i="22723"/>
  <c r="AG46" i="22723"/>
  <c r="AH46" i="22723" s="1"/>
  <c r="BW49" i="22723"/>
  <c r="BX49" i="22723" s="1"/>
  <c r="E45" i="22725"/>
  <c r="F45" i="22725" s="1"/>
  <c r="S45" i="22723"/>
  <c r="T45" i="22723" s="1"/>
  <c r="DF47" i="22723"/>
  <c r="DG47" i="22723" s="1"/>
  <c r="S46" i="22723"/>
  <c r="T46" i="22723" s="1"/>
  <c r="Z41" i="22723"/>
  <c r="AA41" i="22723" s="1"/>
  <c r="AN45" i="22723"/>
  <c r="AO45" i="22723" s="1"/>
  <c r="CK42" i="22723"/>
  <c r="CL42" i="22723" s="1"/>
  <c r="BI45" i="22723"/>
  <c r="BJ45" i="22723" s="1"/>
  <c r="D35" i="22714"/>
  <c r="E35" i="22714" s="1"/>
  <c r="E42" i="22723"/>
  <c r="F42" i="22723" s="1"/>
  <c r="E40" i="22723"/>
  <c r="F40" i="22723" s="1"/>
  <c r="E43" i="22723"/>
  <c r="F43" i="22723" s="1"/>
  <c r="Z42" i="22723"/>
  <c r="AA42" i="22723" s="1"/>
  <c r="BJ50" i="22723"/>
  <c r="CK49" i="22723"/>
  <c r="CL49" i="22723" s="1"/>
  <c r="AV50" i="22723"/>
  <c r="CD46" i="22723"/>
  <c r="CE46" i="22723" s="1"/>
  <c r="BW47" i="22723"/>
  <c r="BX47" i="22723" s="1"/>
  <c r="E38" i="22714"/>
  <c r="H252" i="22715"/>
  <c r="C170" i="3"/>
  <c r="C171" i="3"/>
  <c r="H256" i="22715" s="1"/>
  <c r="C118" i="3"/>
  <c r="G27" i="5"/>
  <c r="F27" i="5"/>
  <c r="C27" i="5"/>
  <c r="F74" i="2"/>
  <c r="J27" i="5" s="1"/>
  <c r="M72" i="2"/>
  <c r="L66" i="2" s="1"/>
  <c r="M66" i="2" s="1"/>
  <c r="E36" i="22714" l="1"/>
  <c r="D70" i="22714"/>
  <c r="E70" i="22714" s="1"/>
  <c r="F48" i="22723"/>
  <c r="F51" i="22723" s="1"/>
  <c r="B140" i="22725"/>
  <c r="F46" i="22725"/>
  <c r="D71" i="22714"/>
  <c r="E71" i="22714" s="1"/>
  <c r="B162" i="22725"/>
  <c r="B170" i="22725" s="1"/>
  <c r="B172" i="22725" s="1"/>
  <c r="C171" i="22725" s="1"/>
  <c r="J256" i="22715" s="1"/>
  <c r="AH48" i="22723"/>
  <c r="AH51" i="22723" s="1"/>
  <c r="DG48" i="22723"/>
  <c r="DG51" i="22723" s="1"/>
  <c r="BC48" i="22723"/>
  <c r="BC51" i="22723" s="1"/>
  <c r="F47" i="22725"/>
  <c r="CE48" i="22723"/>
  <c r="CE51" i="22723" s="1"/>
  <c r="AV48" i="22723"/>
  <c r="AV51" i="22723" s="1"/>
  <c r="CS48" i="22723"/>
  <c r="CS51" i="22723" s="1"/>
  <c r="M48" i="22723"/>
  <c r="M51" i="22723" s="1"/>
  <c r="BQ48" i="22723"/>
  <c r="BQ51" i="22723" s="1"/>
  <c r="E37" i="22714"/>
  <c r="E40" i="22714" s="1"/>
  <c r="T48" i="22723"/>
  <c r="T51" i="22723" s="1"/>
  <c r="BJ48" i="22723"/>
  <c r="BJ51" i="22723" s="1"/>
  <c r="CZ48" i="22723"/>
  <c r="CZ51" i="22723" s="1"/>
  <c r="CL48" i="22723"/>
  <c r="CL51" i="22723" s="1"/>
  <c r="BX48" i="22723"/>
  <c r="BX51" i="22723" s="1"/>
  <c r="AO48" i="22723"/>
  <c r="AO51" i="22723" s="1"/>
  <c r="AA48" i="22723"/>
  <c r="AA51" i="22723" s="1"/>
  <c r="C172" i="3"/>
  <c r="H255" i="22715"/>
  <c r="B143" i="22725"/>
  <c r="F103" i="22714"/>
  <c r="F107" i="22714" s="1"/>
  <c r="E119" i="22714"/>
  <c r="F119" i="22714" s="1"/>
  <c r="M67" i="2"/>
  <c r="F122" i="22714" l="1"/>
  <c r="C30" i="22725" s="1"/>
  <c r="F30" i="22725" s="1"/>
  <c r="E52" i="22714"/>
  <c r="E53" i="22714" s="1"/>
  <c r="F40" i="22714" s="1"/>
  <c r="B166" i="22725"/>
  <c r="J223" i="22715" s="1"/>
  <c r="I223" i="22715" s="1"/>
  <c r="E72" i="22714"/>
  <c r="E75" i="22714" s="1"/>
  <c r="E76" i="22714" s="1"/>
  <c r="F72" i="22714" s="1"/>
  <c r="J250" i="22715"/>
  <c r="I250" i="22715" s="1"/>
  <c r="F33" i="22714"/>
  <c r="F49" i="22725"/>
  <c r="K51" i="22725" s="1"/>
  <c r="F26" i="22714"/>
  <c r="F29" i="22714"/>
  <c r="F21" i="22714"/>
  <c r="F38" i="22714"/>
  <c r="F36" i="22714"/>
  <c r="F30" i="22714"/>
  <c r="F46" i="22714"/>
  <c r="F49" i="22714"/>
  <c r="F42" i="22714"/>
  <c r="F24" i="22714"/>
  <c r="F47" i="22714"/>
  <c r="F37" i="22714"/>
  <c r="F44" i="22714"/>
  <c r="F45" i="22714"/>
  <c r="F50" i="22714"/>
  <c r="C170" i="22725"/>
  <c r="J255" i="22715" s="1"/>
  <c r="G103" i="22714"/>
  <c r="B153" i="22725"/>
  <c r="B148" i="22725"/>
  <c r="J176" i="22715" s="1"/>
  <c r="G119" i="22714"/>
  <c r="G111" i="22714"/>
  <c r="G121" i="22714"/>
  <c r="G112" i="22714"/>
  <c r="G109" i="22714"/>
  <c r="G122" i="22714"/>
  <c r="G120" i="22714"/>
  <c r="G110" i="22714"/>
  <c r="M68" i="2"/>
  <c r="M69" i="2" s="1"/>
  <c r="N67" i="2" s="1"/>
  <c r="F48" i="22714" l="1"/>
  <c r="F25" i="22714"/>
  <c r="F34" i="22714"/>
  <c r="F27" i="22714"/>
  <c r="F23" i="22714"/>
  <c r="F51" i="22714"/>
  <c r="F32" i="22714"/>
  <c r="F39" i="22714"/>
  <c r="F20" i="22714"/>
  <c r="F35" i="22714"/>
  <c r="F53" i="22714"/>
  <c r="F43" i="22714"/>
  <c r="F52" i="22714"/>
  <c r="E78" i="22714"/>
  <c r="F28" i="22714"/>
  <c r="J252" i="22715"/>
  <c r="I252" i="22715" s="1"/>
  <c r="B123" i="22725"/>
  <c r="J128" i="22715" s="1"/>
  <c r="I128" i="22715" s="1"/>
  <c r="C172" i="22725"/>
  <c r="G95" i="22714"/>
  <c r="G99" i="22714"/>
  <c r="G116" i="22714"/>
  <c r="G98" i="22714"/>
  <c r="G96" i="22714"/>
  <c r="G100" i="22714"/>
  <c r="G91" i="22714"/>
  <c r="G97" i="22714"/>
  <c r="G101" i="22714"/>
  <c r="G104" i="22714"/>
  <c r="G107" i="22714"/>
  <c r="G92" i="22714"/>
  <c r="G87" i="22714"/>
  <c r="G113" i="22714"/>
  <c r="G90" i="22714"/>
  <c r="G115" i="22714"/>
  <c r="E80" i="22714"/>
  <c r="G94" i="22714"/>
  <c r="G117" i="22714"/>
  <c r="G106" i="22714"/>
  <c r="G114" i="22714"/>
  <c r="G89" i="22714"/>
  <c r="G88" i="22714"/>
  <c r="J197" i="22715"/>
  <c r="B155" i="22725"/>
  <c r="C153" i="22725" s="1"/>
  <c r="J202" i="22715" s="1"/>
  <c r="F75" i="22714"/>
  <c r="F74" i="22714"/>
  <c r="E79" i="22714"/>
  <c r="F66" i="22714"/>
  <c r="F65" i="22714"/>
  <c r="F58" i="22714"/>
  <c r="F61" i="22714"/>
  <c r="F63" i="22714"/>
  <c r="F60" i="22714"/>
  <c r="F64" i="22714"/>
  <c r="F76" i="22714"/>
  <c r="F67" i="22714"/>
  <c r="F68" i="22714"/>
  <c r="F59" i="22714"/>
  <c r="F71" i="22714"/>
  <c r="F62" i="22714"/>
  <c r="F57" i="22714"/>
  <c r="F70" i="22714"/>
  <c r="N68" i="2"/>
  <c r="N43" i="2"/>
  <c r="N33" i="2"/>
  <c r="N42" i="2"/>
  <c r="M73" i="2"/>
  <c r="N57" i="2"/>
  <c r="N35" i="2"/>
  <c r="N32" i="2"/>
  <c r="N39" i="2"/>
  <c r="N41" i="2"/>
  <c r="N45" i="2"/>
  <c r="N59" i="2"/>
  <c r="N44" i="2"/>
  <c r="N62" i="2"/>
  <c r="N64" i="2"/>
  <c r="N58" i="2"/>
  <c r="N50" i="2"/>
  <c r="N34" i="2"/>
  <c r="N36" i="2"/>
  <c r="N54" i="2"/>
  <c r="N52" i="2"/>
  <c r="N69" i="2"/>
  <c r="M71" i="2"/>
  <c r="N47" i="2"/>
  <c r="N48" i="2"/>
  <c r="N27" i="2"/>
  <c r="N65" i="2"/>
  <c r="N19" i="2"/>
  <c r="N29" i="2"/>
  <c r="N55" i="2"/>
  <c r="N51" i="2"/>
  <c r="N60" i="2"/>
  <c r="N63" i="2"/>
  <c r="N31" i="2"/>
  <c r="E28" i="5"/>
  <c r="N46" i="2"/>
  <c r="N61" i="2"/>
  <c r="N28" i="2"/>
  <c r="N16" i="2"/>
  <c r="N56" i="2"/>
  <c r="N17" i="2"/>
  <c r="N49" i="2"/>
  <c r="N66" i="2"/>
  <c r="E83" i="22714" l="1"/>
  <c r="F71" i="22723" s="1"/>
  <c r="E82" i="22714"/>
  <c r="I197" i="22715"/>
  <c r="J199" i="22715"/>
  <c r="I199" i="22715" s="1"/>
  <c r="C152" i="22725"/>
  <c r="J201" i="22715" s="1"/>
  <c r="C154" i="22725"/>
  <c r="J203" i="22715" s="1"/>
  <c r="C155" i="22725"/>
  <c r="G28" i="5"/>
  <c r="F28" i="5"/>
  <c r="M74" i="2"/>
  <c r="J28" i="5" s="1"/>
  <c r="T72" i="2"/>
  <c r="S66" i="2" s="1"/>
  <c r="T66" i="2" s="1"/>
  <c r="T67" i="2" s="1"/>
  <c r="T68" i="2" s="1"/>
  <c r="T69" i="2" s="1"/>
  <c r="C28" i="5"/>
  <c r="D58" i="22715" l="1"/>
  <c r="C58" i="22715" s="1"/>
  <c r="U68" i="2"/>
  <c r="E65" i="22723"/>
  <c r="F65" i="22723" s="1"/>
  <c r="F66" i="22723" s="1"/>
  <c r="F67" i="22723" s="1"/>
  <c r="F68" i="22723" s="1"/>
  <c r="J26" i="22726"/>
  <c r="C26" i="22726"/>
  <c r="E26" i="22726" s="1"/>
  <c r="U62" i="2"/>
  <c r="U33" i="2"/>
  <c r="U36" i="2"/>
  <c r="T73" i="2"/>
  <c r="AA72" i="2" s="1"/>
  <c r="Z66" i="2" s="1"/>
  <c r="AA66" i="2" s="1"/>
  <c r="U64" i="2"/>
  <c r="U41" i="2"/>
  <c r="U44" i="2"/>
  <c r="U58" i="2"/>
  <c r="U65" i="2"/>
  <c r="U31" i="2"/>
  <c r="U49" i="2"/>
  <c r="U35" i="2"/>
  <c r="U30" i="2"/>
  <c r="U54" i="2"/>
  <c r="U47" i="2"/>
  <c r="U56" i="2"/>
  <c r="U51" i="2"/>
  <c r="U50" i="2"/>
  <c r="U46" i="2"/>
  <c r="U48" i="2"/>
  <c r="U69" i="2"/>
  <c r="U34" i="2"/>
  <c r="U67" i="2"/>
  <c r="U19" i="2"/>
  <c r="U29" i="2"/>
  <c r="U63" i="2"/>
  <c r="U52" i="2"/>
  <c r="U57" i="2"/>
  <c r="U28" i="2"/>
  <c r="U43" i="2"/>
  <c r="U55" i="2"/>
  <c r="U66" i="2"/>
  <c r="U60" i="2"/>
  <c r="U17" i="2"/>
  <c r="E29" i="5"/>
  <c r="F29" i="5" s="1"/>
  <c r="U39" i="2"/>
  <c r="U42" i="2"/>
  <c r="U59" i="2"/>
  <c r="U45" i="2"/>
  <c r="U16" i="2"/>
  <c r="U61" i="2"/>
  <c r="T71" i="2"/>
  <c r="U32" i="2"/>
  <c r="N26" i="22723" l="1"/>
  <c r="G27" i="22723"/>
  <c r="F26" i="22726"/>
  <c r="G26" i="22726"/>
  <c r="T74" i="2"/>
  <c r="J29" i="5" s="1"/>
  <c r="G67" i="22723"/>
  <c r="G29" i="5"/>
  <c r="C29" i="5"/>
  <c r="AA67" i="2"/>
  <c r="G56" i="22723"/>
  <c r="G64" i="22723"/>
  <c r="G68" i="22723"/>
  <c r="G60" i="22723"/>
  <c r="G50" i="22723"/>
  <c r="G59" i="22723"/>
  <c r="G43" i="22723"/>
  <c r="G61" i="22723"/>
  <c r="F72" i="22723"/>
  <c r="G40" i="22723"/>
  <c r="G51" i="22723"/>
  <c r="G44" i="22723"/>
  <c r="G30" i="22723"/>
  <c r="G46" i="22723"/>
  <c r="G49" i="22723"/>
  <c r="G63" i="22723"/>
  <c r="G58" i="22723"/>
  <c r="G47" i="22723"/>
  <c r="G42" i="22723"/>
  <c r="G41" i="22723"/>
  <c r="G55" i="22723"/>
  <c r="E27" i="22726"/>
  <c r="G31" i="22723"/>
  <c r="G38" i="22723"/>
  <c r="G45" i="22723"/>
  <c r="F70" i="22723"/>
  <c r="G17" i="22723"/>
  <c r="G53" i="22723"/>
  <c r="G32" i="22723"/>
  <c r="G48" i="22723"/>
  <c r="G54" i="22723"/>
  <c r="G57" i="22723"/>
  <c r="G62" i="22723"/>
  <c r="G16" i="22723"/>
  <c r="G65" i="22723"/>
  <c r="G66" i="22723"/>
  <c r="AA68" i="2" l="1"/>
  <c r="AA69" i="2" s="1"/>
  <c r="AA73" i="2" s="1"/>
  <c r="G27" i="22726"/>
  <c r="F27" i="22726"/>
  <c r="C27" i="22726"/>
  <c r="M71" i="22723"/>
  <c r="L65" i="22723" s="1"/>
  <c r="M65" i="22723" s="1"/>
  <c r="F73" i="22723"/>
  <c r="J27" i="22726" s="1"/>
  <c r="AB67" i="2" l="1"/>
  <c r="AB68" i="2"/>
  <c r="AB46" i="2"/>
  <c r="AB63" i="2"/>
  <c r="AB54" i="2"/>
  <c r="AB65" i="2"/>
  <c r="AB49" i="2"/>
  <c r="AB39" i="2"/>
  <c r="AB16" i="2"/>
  <c r="AB60" i="2"/>
  <c r="AB51" i="2"/>
  <c r="AB44" i="2"/>
  <c r="AB57" i="2"/>
  <c r="AB41" i="2"/>
  <c r="AB32" i="2"/>
  <c r="AB34" i="2"/>
  <c r="AB64" i="2"/>
  <c r="AB47" i="2"/>
  <c r="AB42" i="2"/>
  <c r="AB36" i="2"/>
  <c r="AB17" i="2"/>
  <c r="AB59" i="2"/>
  <c r="AB50" i="2"/>
  <c r="AB62" i="2"/>
  <c r="AB56" i="2"/>
  <c r="AB52" i="2"/>
  <c r="AB31" i="2"/>
  <c r="E30" i="5"/>
  <c r="AB55" i="2"/>
  <c r="AB61" i="2"/>
  <c r="AB69" i="2"/>
  <c r="AB35" i="2"/>
  <c r="AB48" i="2"/>
  <c r="AB58" i="2"/>
  <c r="AB29" i="2"/>
  <c r="AB19" i="2"/>
  <c r="AB33" i="2"/>
  <c r="AA71" i="2"/>
  <c r="AB45" i="2"/>
  <c r="AB43" i="2"/>
  <c r="AB66" i="2"/>
  <c r="M66" i="22723"/>
  <c r="G30" i="5" l="1"/>
  <c r="F30" i="5"/>
  <c r="AA74" i="2"/>
  <c r="C30" i="5"/>
  <c r="AH72" i="2"/>
  <c r="AG66" i="2" s="1"/>
  <c r="AH66" i="2" s="1"/>
  <c r="M67" i="22723"/>
  <c r="J30" i="5" l="1"/>
  <c r="AH74" i="2"/>
  <c r="C29" i="3"/>
  <c r="AH67" i="2"/>
  <c r="M68" i="22723"/>
  <c r="N34" i="22723" l="1"/>
  <c r="N32" i="22723"/>
  <c r="N35" i="22723"/>
  <c r="N33" i="22723"/>
  <c r="N36" i="22723"/>
  <c r="N27" i="22723"/>
  <c r="N67" i="22723"/>
  <c r="AH68" i="2"/>
  <c r="B59" i="22715"/>
  <c r="C31" i="3"/>
  <c r="E63" i="3" s="1"/>
  <c r="F63" i="3" s="1"/>
  <c r="F29" i="3"/>
  <c r="J31" i="5"/>
  <c r="AO74" i="2"/>
  <c r="M72" i="22723"/>
  <c r="N58" i="22723"/>
  <c r="N57" i="22723"/>
  <c r="N54" i="22723"/>
  <c r="N62" i="22723"/>
  <c r="N38" i="22723"/>
  <c r="N28" i="22723"/>
  <c r="N47" i="22723"/>
  <c r="N61" i="22723"/>
  <c r="N48" i="22723"/>
  <c r="N60" i="22723"/>
  <c r="N63" i="22723"/>
  <c r="N56" i="22723"/>
  <c r="N31" i="22723"/>
  <c r="N17" i="22723"/>
  <c r="N49" i="22723"/>
  <c r="N46" i="22723"/>
  <c r="N50" i="22723"/>
  <c r="N41" i="22723"/>
  <c r="N68" i="22723"/>
  <c r="N44" i="22723"/>
  <c r="N64" i="22723"/>
  <c r="N51" i="22723"/>
  <c r="N16" i="22723"/>
  <c r="N59" i="22723"/>
  <c r="N40" i="22723"/>
  <c r="E28" i="22726"/>
  <c r="N45" i="22723"/>
  <c r="M70" i="22723"/>
  <c r="N55" i="22723"/>
  <c r="N43" i="22723"/>
  <c r="N19" i="22723"/>
  <c r="N53" i="22723"/>
  <c r="N42" i="22723"/>
  <c r="N65" i="22723"/>
  <c r="N66" i="22723"/>
  <c r="B96" i="3" l="1"/>
  <c r="F64" i="3"/>
  <c r="AV74" i="2"/>
  <c r="J32" i="5"/>
  <c r="B60" i="22715"/>
  <c r="F31" i="3"/>
  <c r="AH69" i="2"/>
  <c r="G28" i="22726"/>
  <c r="F28" i="22726"/>
  <c r="T71" i="22723"/>
  <c r="S65" i="22723" s="1"/>
  <c r="T65" i="22723" s="1"/>
  <c r="M73" i="22723"/>
  <c r="J28" i="22726" s="1"/>
  <c r="C28" i="22726"/>
  <c r="AI68" i="2" l="1"/>
  <c r="BC74" i="2"/>
  <c r="J33" i="5"/>
  <c r="B122" i="3"/>
  <c r="B89" i="3"/>
  <c r="B61" i="22715"/>
  <c r="F65" i="3"/>
  <c r="AI31" i="2"/>
  <c r="AI45" i="2"/>
  <c r="AI54" i="2"/>
  <c r="AI39" i="2"/>
  <c r="E31" i="5"/>
  <c r="AI50" i="2"/>
  <c r="AI59" i="2"/>
  <c r="AI49" i="2"/>
  <c r="AI48" i="2"/>
  <c r="AI52" i="2"/>
  <c r="AI42" i="2"/>
  <c r="AI16" i="2"/>
  <c r="AI61" i="2"/>
  <c r="AI35" i="2"/>
  <c r="AI57" i="2"/>
  <c r="AI55" i="2"/>
  <c r="AI51" i="2"/>
  <c r="AI41" i="2"/>
  <c r="AI19" i="2"/>
  <c r="AI56" i="2"/>
  <c r="AI32" i="2"/>
  <c r="AI69" i="2"/>
  <c r="AI65" i="2"/>
  <c r="AI62" i="2"/>
  <c r="AI60" i="2"/>
  <c r="AI34" i="2"/>
  <c r="AI43" i="2"/>
  <c r="AI64" i="2"/>
  <c r="AH71" i="2"/>
  <c r="AI17" i="2"/>
  <c r="AI33" i="2"/>
  <c r="AI63" i="2"/>
  <c r="AI44" i="2"/>
  <c r="AH73" i="2"/>
  <c r="AI29" i="2"/>
  <c r="AI47" i="2"/>
  <c r="AI36" i="2"/>
  <c r="AI58" i="2"/>
  <c r="AI46" i="2"/>
  <c r="AI66" i="2"/>
  <c r="AI67" i="2"/>
  <c r="H99" i="22715"/>
  <c r="H100" i="22715" s="1"/>
  <c r="B97" i="3"/>
  <c r="C95" i="3" s="1"/>
  <c r="T66" i="22723"/>
  <c r="F66" i="3" l="1"/>
  <c r="B68" i="22715"/>
  <c r="B130" i="3"/>
  <c r="C74" i="3"/>
  <c r="B67" i="22715"/>
  <c r="F74" i="3"/>
  <c r="B66" i="22715" s="1"/>
  <c r="B129" i="3"/>
  <c r="F31" i="5"/>
  <c r="G31" i="5"/>
  <c r="H127" i="22715"/>
  <c r="H86" i="22715"/>
  <c r="H102" i="22715"/>
  <c r="AO72" i="2"/>
  <c r="AN66" i="2" s="1"/>
  <c r="AO66" i="2" s="1"/>
  <c r="C31" i="5"/>
  <c r="C96" i="3"/>
  <c r="H103" i="22715" s="1"/>
  <c r="J34" i="5"/>
  <c r="BJ74" i="2"/>
  <c r="T67" i="22723"/>
  <c r="G34" i="3" l="1"/>
  <c r="G35" i="3"/>
  <c r="H154" i="22715"/>
  <c r="B131" i="3"/>
  <c r="C129" i="3" s="1"/>
  <c r="H155" i="22715"/>
  <c r="AO67" i="2"/>
  <c r="J35" i="5"/>
  <c r="BQ74" i="2"/>
  <c r="C97" i="3"/>
  <c r="G65" i="3"/>
  <c r="G44" i="3"/>
  <c r="F79" i="3"/>
  <c r="B53" i="22715" s="1"/>
  <c r="H13" i="22715" s="1"/>
  <c r="G24" i="3"/>
  <c r="B149" i="3"/>
  <c r="G61" i="3"/>
  <c r="G36" i="3"/>
  <c r="G48" i="3"/>
  <c r="G45" i="3"/>
  <c r="C164" i="3"/>
  <c r="G60" i="3"/>
  <c r="G15" i="3"/>
  <c r="K78" i="3"/>
  <c r="K79" i="3" s="1"/>
  <c r="G53" i="3"/>
  <c r="G17" i="3"/>
  <c r="G26" i="3"/>
  <c r="G33" i="3"/>
  <c r="G55" i="3"/>
  <c r="C148" i="3"/>
  <c r="G32" i="3"/>
  <c r="G57" i="3"/>
  <c r="E83" i="3"/>
  <c r="F83" i="3" s="1"/>
  <c r="D55" i="5" s="1"/>
  <c r="E81" i="3"/>
  <c r="F81" i="3" s="1"/>
  <c r="G66" i="3"/>
  <c r="E82" i="3"/>
  <c r="F82" i="3" s="1"/>
  <c r="D54" i="5" s="1"/>
  <c r="B91" i="3"/>
  <c r="C146" i="3"/>
  <c r="B167" i="3"/>
  <c r="G47" i="3"/>
  <c r="G38" i="3"/>
  <c r="F67" i="3"/>
  <c r="G28" i="3"/>
  <c r="G43" i="3"/>
  <c r="G41" i="3"/>
  <c r="G22" i="3"/>
  <c r="G59" i="3"/>
  <c r="G56" i="3"/>
  <c r="G58" i="3"/>
  <c r="F68" i="3"/>
  <c r="H47" i="22715" s="1"/>
  <c r="G21" i="3"/>
  <c r="G52" i="3"/>
  <c r="C140" i="3"/>
  <c r="C141" i="3"/>
  <c r="G23" i="3"/>
  <c r="G62" i="3"/>
  <c r="G46" i="3"/>
  <c r="C162" i="3"/>
  <c r="B52" i="22715"/>
  <c r="C161" i="3"/>
  <c r="G16" i="3"/>
  <c r="E84" i="3"/>
  <c r="F84" i="3" s="1"/>
  <c r="G20" i="3"/>
  <c r="C142" i="3"/>
  <c r="G42" i="3"/>
  <c r="G40" i="3"/>
  <c r="G25" i="3"/>
  <c r="G49" i="3"/>
  <c r="G51" i="3"/>
  <c r="F70" i="3"/>
  <c r="C166" i="3"/>
  <c r="H228" i="22715" s="1"/>
  <c r="G19" i="3"/>
  <c r="G54" i="3"/>
  <c r="G18" i="3"/>
  <c r="G30" i="3"/>
  <c r="G39" i="3"/>
  <c r="C137" i="3"/>
  <c r="G29" i="3"/>
  <c r="G63" i="3"/>
  <c r="G31" i="3"/>
  <c r="G64" i="3"/>
  <c r="T68" i="22723"/>
  <c r="H180" i="22715" l="1"/>
  <c r="I176" i="22715"/>
  <c r="U36" i="22723"/>
  <c r="U67" i="22723"/>
  <c r="C143" i="3"/>
  <c r="H158" i="22715"/>
  <c r="B70" i="22715"/>
  <c r="F71" i="3"/>
  <c r="D56" i="5"/>
  <c r="B56" i="22715"/>
  <c r="C56" i="22715" s="1"/>
  <c r="B90" i="3"/>
  <c r="B124" i="3"/>
  <c r="C88" i="3"/>
  <c r="C89" i="3"/>
  <c r="H91" i="22715" s="1"/>
  <c r="C149" i="3"/>
  <c r="H181" i="22715" s="1"/>
  <c r="H177" i="22715"/>
  <c r="H178" i="22715" s="1"/>
  <c r="F78" i="3"/>
  <c r="H53" i="22715" s="1"/>
  <c r="H45" i="22715"/>
  <c r="F69" i="3"/>
  <c r="H60" i="22715" s="1"/>
  <c r="H224" i="22715"/>
  <c r="H225" i="22715" s="1"/>
  <c r="C167" i="3"/>
  <c r="H229" i="22715" s="1"/>
  <c r="AO68" i="2"/>
  <c r="H156" i="22715"/>
  <c r="D53" i="5"/>
  <c r="B55" i="22715"/>
  <c r="H12" i="22715" s="1"/>
  <c r="J36" i="5"/>
  <c r="BX74" i="2"/>
  <c r="C130" i="3"/>
  <c r="H159" i="22715" s="1"/>
  <c r="U62" i="22723"/>
  <c r="U40" i="22723"/>
  <c r="U60" i="22723"/>
  <c r="U57" i="22723"/>
  <c r="U33" i="22723"/>
  <c r="U30" i="22723"/>
  <c r="U35" i="22723"/>
  <c r="U45" i="22723"/>
  <c r="U59" i="22723"/>
  <c r="U28" i="22723"/>
  <c r="U56" i="22723"/>
  <c r="BR29" i="22723"/>
  <c r="U44" i="22723"/>
  <c r="U41" i="22723"/>
  <c r="T70" i="22723"/>
  <c r="U42" i="22723"/>
  <c r="U54" i="22723"/>
  <c r="U55" i="22723"/>
  <c r="U63" i="22723"/>
  <c r="U29" i="22723"/>
  <c r="U48" i="22723"/>
  <c r="E29" i="22726"/>
  <c r="U64" i="22723"/>
  <c r="U34" i="22723"/>
  <c r="U32" i="22723"/>
  <c r="U50" i="22723"/>
  <c r="T72" i="22723"/>
  <c r="U38" i="22723"/>
  <c r="U68" i="22723"/>
  <c r="U31" i="22723"/>
  <c r="U46" i="22723"/>
  <c r="U19" i="22723"/>
  <c r="U58" i="22723"/>
  <c r="U53" i="22723"/>
  <c r="U49" i="22723"/>
  <c r="U16" i="22723"/>
  <c r="U43" i="22723"/>
  <c r="U47" i="22723"/>
  <c r="U51" i="22723"/>
  <c r="U17" i="22723"/>
  <c r="U61" i="22723"/>
  <c r="U65" i="22723"/>
  <c r="U66" i="22723"/>
  <c r="J37" i="5" l="1"/>
  <c r="CE74" i="2"/>
  <c r="H129" i="22715"/>
  <c r="H130" i="22715" s="1"/>
  <c r="B125" i="3"/>
  <c r="F72" i="3"/>
  <c r="B71" i="22715"/>
  <c r="B74" i="22715" s="1"/>
  <c r="F73" i="3"/>
  <c r="H74" i="22715" s="1"/>
  <c r="H9" i="22715" s="1"/>
  <c r="H87" i="22715"/>
  <c r="C90" i="3"/>
  <c r="H92" i="22715" s="1"/>
  <c r="AO69" i="2"/>
  <c r="C131" i="3"/>
  <c r="H90" i="22715"/>
  <c r="F29" i="22726"/>
  <c r="G29" i="22726"/>
  <c r="C29" i="22726"/>
  <c r="AA71" i="22723"/>
  <c r="Z65" i="22723" s="1"/>
  <c r="AA65" i="22723" s="1"/>
  <c r="T73" i="22723"/>
  <c r="J29" i="22726" s="1"/>
  <c r="C91" i="3" l="1"/>
  <c r="C124" i="3"/>
  <c r="H135" i="22715" s="1"/>
  <c r="C123" i="3"/>
  <c r="H134" i="22715" s="1"/>
  <c r="C122" i="3"/>
  <c r="J38" i="5"/>
  <c r="CL74" i="2"/>
  <c r="AP59" i="2"/>
  <c r="AP44" i="2"/>
  <c r="AP29" i="2"/>
  <c r="AP69" i="2"/>
  <c r="AP65" i="2"/>
  <c r="AP51" i="2"/>
  <c r="AP47" i="2"/>
  <c r="AP42" i="2"/>
  <c r="AP36" i="2"/>
  <c r="AP43" i="2"/>
  <c r="AP58" i="2"/>
  <c r="AP32" i="2"/>
  <c r="AP33" i="2"/>
  <c r="AP39" i="2"/>
  <c r="AP54" i="2"/>
  <c r="AP41" i="2"/>
  <c r="AP61" i="2"/>
  <c r="AP62" i="2"/>
  <c r="AP60" i="2"/>
  <c r="AO71" i="2"/>
  <c r="AP35" i="2"/>
  <c r="AP64" i="2"/>
  <c r="AP16" i="2"/>
  <c r="AP31" i="2"/>
  <c r="AP50" i="2"/>
  <c r="AO73" i="2"/>
  <c r="AP55" i="2"/>
  <c r="AP56" i="2"/>
  <c r="AP52" i="2"/>
  <c r="AP19" i="2"/>
  <c r="AP57" i="2"/>
  <c r="AP48" i="2"/>
  <c r="AP45" i="2"/>
  <c r="AP63" i="2"/>
  <c r="AP17" i="2"/>
  <c r="AP49" i="2"/>
  <c r="AP34" i="2"/>
  <c r="AP46" i="2"/>
  <c r="E32" i="5"/>
  <c r="AP66" i="2"/>
  <c r="AP67" i="2"/>
  <c r="AP68" i="2"/>
  <c r="D48" i="5"/>
  <c r="H71" i="22715"/>
  <c r="H10" i="22715" s="1"/>
  <c r="AA66" i="22723"/>
  <c r="C32" i="5" l="1"/>
  <c r="AV72" i="2"/>
  <c r="AU66" i="2" s="1"/>
  <c r="AV66" i="2" s="1"/>
  <c r="H133" i="22715"/>
  <c r="C125" i="3"/>
  <c r="F32" i="5"/>
  <c r="G32" i="5"/>
  <c r="J39" i="5"/>
  <c r="CS74" i="2"/>
  <c r="AA67" i="22723"/>
  <c r="CZ74" i="2" l="1"/>
  <c r="J40" i="5"/>
  <c r="AV67" i="2"/>
  <c r="AA68" i="22723"/>
  <c r="AB27" i="22723" s="1"/>
  <c r="DH36" i="22723" l="1"/>
  <c r="CT36" i="22723"/>
  <c r="CF36" i="22723"/>
  <c r="BR36" i="22723"/>
  <c r="BD36" i="22723"/>
  <c r="AP36" i="22723"/>
  <c r="AB36" i="22723"/>
  <c r="AP35" i="22723"/>
  <c r="BK35" i="22723"/>
  <c r="AI35" i="22723"/>
  <c r="DH35" i="22723"/>
  <c r="CT35" i="22723"/>
  <c r="CF35" i="22723"/>
  <c r="BR35" i="22723"/>
  <c r="BD35" i="22723"/>
  <c r="DA36" i="22723"/>
  <c r="CM36" i="22723"/>
  <c r="BY36" i="22723"/>
  <c r="BK36" i="22723"/>
  <c r="AW36" i="22723"/>
  <c r="AI36" i="22723"/>
  <c r="DA35" i="22723"/>
  <c r="CM35" i="22723"/>
  <c r="BY35" i="22723"/>
  <c r="AW35" i="22723"/>
  <c r="AB67" i="22723"/>
  <c r="AV68" i="2"/>
  <c r="DG74" i="2"/>
  <c r="J42" i="5" s="1"/>
  <c r="J41" i="5"/>
  <c r="AB28" i="22723"/>
  <c r="AB64" i="22723"/>
  <c r="AB58" i="22723"/>
  <c r="AB47" i="22723"/>
  <c r="AB38" i="22723"/>
  <c r="AB17" i="22723"/>
  <c r="AB32" i="22723"/>
  <c r="AB54" i="22723"/>
  <c r="AB42" i="22723"/>
  <c r="AB55" i="22723"/>
  <c r="AB40" i="22723"/>
  <c r="AB68" i="22723"/>
  <c r="AB43" i="22723"/>
  <c r="AB50" i="22723"/>
  <c r="AB63" i="22723"/>
  <c r="AA72" i="22723"/>
  <c r="AB49" i="22723"/>
  <c r="AB30" i="22723"/>
  <c r="AB41" i="22723"/>
  <c r="AA70" i="22723"/>
  <c r="AB16" i="22723"/>
  <c r="AB48" i="22723"/>
  <c r="AB61" i="22723"/>
  <c r="E30" i="22726"/>
  <c r="AB19" i="22723"/>
  <c r="AB51" i="22723"/>
  <c r="AB34" i="22723"/>
  <c r="AB60" i="22723"/>
  <c r="AB56" i="22723"/>
  <c r="AB44" i="22723"/>
  <c r="AB33" i="22723"/>
  <c r="AB31" i="22723"/>
  <c r="AB45" i="22723"/>
  <c r="AB62" i="22723"/>
  <c r="AB46" i="22723"/>
  <c r="AB57" i="22723"/>
  <c r="AB59" i="22723"/>
  <c r="AB53" i="22723"/>
  <c r="AB35" i="22723"/>
  <c r="AB65" i="22723"/>
  <c r="AB66" i="22723"/>
  <c r="AV69" i="2" l="1"/>
  <c r="F30" i="22726"/>
  <c r="G30" i="22726"/>
  <c r="AH71" i="22723"/>
  <c r="AG65" i="22723" s="1"/>
  <c r="AH65" i="22723" s="1"/>
  <c r="C30" i="22726"/>
  <c r="AA73" i="22723"/>
  <c r="AW68" i="2" l="1"/>
  <c r="AW43" i="2"/>
  <c r="AW49" i="2"/>
  <c r="AW47" i="2"/>
  <c r="AW45" i="2"/>
  <c r="AW61" i="2"/>
  <c r="AW42" i="2"/>
  <c r="AW19" i="2"/>
  <c r="AW16" i="2"/>
  <c r="E33" i="5"/>
  <c r="AW46" i="2"/>
  <c r="AW69" i="2"/>
  <c r="AW56" i="2"/>
  <c r="AW35" i="2"/>
  <c r="AW59" i="2"/>
  <c r="AW32" i="2"/>
  <c r="AW29" i="2"/>
  <c r="AW52" i="2"/>
  <c r="AW44" i="2"/>
  <c r="AW41" i="2"/>
  <c r="AW48" i="2"/>
  <c r="AW31" i="2"/>
  <c r="AW36" i="2"/>
  <c r="AW54" i="2"/>
  <c r="AW39" i="2"/>
  <c r="AW51" i="2"/>
  <c r="AW58" i="2"/>
  <c r="AW57" i="2"/>
  <c r="AW65" i="2"/>
  <c r="AV71" i="2"/>
  <c r="AW55" i="2"/>
  <c r="AW50" i="2"/>
  <c r="AW17" i="2"/>
  <c r="AW60" i="2"/>
  <c r="AW63" i="2"/>
  <c r="AW34" i="2"/>
  <c r="AW62" i="2"/>
  <c r="AW33" i="2"/>
  <c r="AV73" i="2"/>
  <c r="AW64" i="2"/>
  <c r="AW66" i="2"/>
  <c r="AW67" i="2"/>
  <c r="AH66" i="22723"/>
  <c r="AH73" i="22723"/>
  <c r="C29" i="22725"/>
  <c r="J30" i="22726"/>
  <c r="F33" i="5" l="1"/>
  <c r="G33" i="5"/>
  <c r="C33" i="5"/>
  <c r="BC72" i="2"/>
  <c r="BB66" i="2" s="1"/>
  <c r="BC66" i="2" s="1"/>
  <c r="J31" i="22726"/>
  <c r="AO73" i="22723"/>
  <c r="F29" i="22725"/>
  <c r="D59" i="22715"/>
  <c r="C59" i="22715" s="1"/>
  <c r="C31" i="22725"/>
  <c r="E63" i="22725" s="1"/>
  <c r="F63" i="22725" s="1"/>
  <c r="AH67" i="22723"/>
  <c r="BC67" i="2" l="1"/>
  <c r="D60" i="22715"/>
  <c r="C60" i="22715" s="1"/>
  <c r="F31" i="22725"/>
  <c r="AV73" i="22723"/>
  <c r="J32" i="22726"/>
  <c r="AH68" i="22723"/>
  <c r="AI27" i="22723" s="1"/>
  <c r="B96" i="22725"/>
  <c r="F64" i="22725"/>
  <c r="AI67" i="22723" l="1"/>
  <c r="BC68" i="2"/>
  <c r="J33" i="22726"/>
  <c r="BC73" i="22723"/>
  <c r="J99" i="22715"/>
  <c r="B97" i="22725"/>
  <c r="C95" i="22725" s="1"/>
  <c r="AI17" i="22723"/>
  <c r="AI68" i="22723"/>
  <c r="AI60" i="22723"/>
  <c r="AI47" i="22723"/>
  <c r="AI62" i="22723"/>
  <c r="AI33" i="22723"/>
  <c r="AI50" i="22723"/>
  <c r="AI19" i="22723"/>
  <c r="AI53" i="22723"/>
  <c r="AI59" i="22723"/>
  <c r="E31" i="22726"/>
  <c r="AH72" i="22723"/>
  <c r="AI43" i="22723"/>
  <c r="AI32" i="22723"/>
  <c r="AI44" i="22723"/>
  <c r="AI45" i="22723"/>
  <c r="AI46" i="22723"/>
  <c r="AI63" i="22723"/>
  <c r="AI34" i="22723"/>
  <c r="AI57" i="22723"/>
  <c r="AI31" i="22723"/>
  <c r="AI64" i="22723"/>
  <c r="AI54" i="22723"/>
  <c r="AI51" i="22723"/>
  <c r="AI56" i="22723"/>
  <c r="AI42" i="22723"/>
  <c r="AI58" i="22723"/>
  <c r="AI38" i="22723"/>
  <c r="AI49" i="22723"/>
  <c r="AI41" i="22723"/>
  <c r="AH70" i="22723"/>
  <c r="AI48" i="22723"/>
  <c r="AI30" i="22723"/>
  <c r="AI61" i="22723"/>
  <c r="AI40" i="22723"/>
  <c r="AI16" i="22723"/>
  <c r="AI55" i="22723"/>
  <c r="AI65" i="22723"/>
  <c r="AI66" i="22723"/>
  <c r="B122" i="22725"/>
  <c r="D61" i="22715"/>
  <c r="C61" i="22715" s="1"/>
  <c r="B89" i="22725"/>
  <c r="BC69" i="2" l="1"/>
  <c r="J102" i="22715"/>
  <c r="AO71" i="22723"/>
  <c r="AN65" i="22723" s="1"/>
  <c r="AO65" i="22723" s="1"/>
  <c r="C31" i="22726"/>
  <c r="J100" i="22715"/>
  <c r="I100" i="22715" s="1"/>
  <c r="I99" i="22715"/>
  <c r="F66" i="22725"/>
  <c r="B130" i="22725"/>
  <c r="D68" i="22715"/>
  <c r="C68" i="22715" s="1"/>
  <c r="J127" i="22715"/>
  <c r="G31" i="22726"/>
  <c r="F31" i="22726"/>
  <c r="BJ73" i="22723"/>
  <c r="J34" i="22726"/>
  <c r="J86" i="22715"/>
  <c r="I86" i="22715" s="1"/>
  <c r="B129" i="22725"/>
  <c r="C74" i="22725"/>
  <c r="F74" i="22725"/>
  <c r="D66" i="22715" s="1"/>
  <c r="C66" i="22715" s="1"/>
  <c r="D67" i="22715"/>
  <c r="C67" i="22715" s="1"/>
  <c r="C96" i="22725"/>
  <c r="J103" i="22715" s="1"/>
  <c r="BD68" i="2" l="1"/>
  <c r="G65" i="22725"/>
  <c r="BD43" i="2"/>
  <c r="BD49" i="2"/>
  <c r="BC73" i="2"/>
  <c r="BD59" i="2"/>
  <c r="BD41" i="2"/>
  <c r="BD32" i="2"/>
  <c r="BD57" i="2"/>
  <c r="BD16" i="2"/>
  <c r="BD29" i="2"/>
  <c r="BD42" i="2"/>
  <c r="BD60" i="2"/>
  <c r="BD33" i="2"/>
  <c r="BD45" i="2"/>
  <c r="BD34" i="2"/>
  <c r="BD31" i="2"/>
  <c r="BD48" i="2"/>
  <c r="BD62" i="2"/>
  <c r="BD64" i="2"/>
  <c r="BD55" i="2"/>
  <c r="BD58" i="2"/>
  <c r="BD61" i="2"/>
  <c r="BD54" i="2"/>
  <c r="E34" i="5"/>
  <c r="BD63" i="2"/>
  <c r="BD46" i="2"/>
  <c r="BD36" i="2"/>
  <c r="BD51" i="2"/>
  <c r="BD52" i="2"/>
  <c r="BD56" i="2"/>
  <c r="BD47" i="2"/>
  <c r="BD17" i="2"/>
  <c r="BC71" i="2"/>
  <c r="BD50" i="2"/>
  <c r="BD44" i="2"/>
  <c r="BD35" i="2"/>
  <c r="BD65" i="2"/>
  <c r="BD19" i="2"/>
  <c r="BD69" i="2"/>
  <c r="BD39" i="2"/>
  <c r="BD66" i="2"/>
  <c r="BD67" i="2"/>
  <c r="J35" i="22726"/>
  <c r="BQ73" i="22723"/>
  <c r="J155" i="22715"/>
  <c r="I155" i="22715" s="1"/>
  <c r="I127" i="22715"/>
  <c r="G35" i="22725"/>
  <c r="G17" i="22725"/>
  <c r="G41" i="22725"/>
  <c r="F70" i="22725"/>
  <c r="G40" i="22725"/>
  <c r="C137" i="22725"/>
  <c r="G46" i="22725"/>
  <c r="G38" i="22725"/>
  <c r="G66" i="22725"/>
  <c r="G28" i="22725"/>
  <c r="G62" i="22725"/>
  <c r="G16" i="22725"/>
  <c r="G56" i="22725"/>
  <c r="C146" i="22725"/>
  <c r="G47" i="22725"/>
  <c r="C140" i="22725"/>
  <c r="G53" i="22725"/>
  <c r="G57" i="22725"/>
  <c r="C164" i="22725"/>
  <c r="G54" i="22725"/>
  <c r="G48" i="22725"/>
  <c r="F79" i="22725"/>
  <c r="D53" i="22715" s="1"/>
  <c r="G49" i="22725"/>
  <c r="C141" i="22725"/>
  <c r="G33" i="22725"/>
  <c r="D52" i="22715"/>
  <c r="C52" i="22715" s="1"/>
  <c r="E81" i="22725"/>
  <c r="F81" i="22725" s="1"/>
  <c r="G26" i="22725"/>
  <c r="G25" i="22725"/>
  <c r="G36" i="22725"/>
  <c r="G18" i="22725"/>
  <c r="B167" i="22725"/>
  <c r="E84" i="22725"/>
  <c r="F84" i="22725" s="1"/>
  <c r="F67" i="22725"/>
  <c r="C166" i="22725"/>
  <c r="J228" i="22715" s="1"/>
  <c r="G51" i="22725"/>
  <c r="C142" i="22725"/>
  <c r="G59" i="22725"/>
  <c r="G15" i="22725"/>
  <c r="E82" i="22725"/>
  <c r="F82" i="22725" s="1"/>
  <c r="D54" i="22726" s="1"/>
  <c r="G52" i="22725"/>
  <c r="G30" i="22725"/>
  <c r="G23" i="22725"/>
  <c r="D55" i="22726"/>
  <c r="G42" i="22725"/>
  <c r="G60" i="22725"/>
  <c r="G32" i="22725"/>
  <c r="G22" i="22725"/>
  <c r="C161" i="22725"/>
  <c r="G19" i="22725"/>
  <c r="C162" i="22725"/>
  <c r="G20" i="22725"/>
  <c r="G61" i="22725"/>
  <c r="G21" i="22725"/>
  <c r="G58" i="22725"/>
  <c r="C148" i="22725"/>
  <c r="J180" i="22715" s="1"/>
  <c r="F68" i="22725"/>
  <c r="J47" i="22715" s="1"/>
  <c r="I47" i="22715" s="1"/>
  <c r="G24" i="22725"/>
  <c r="G55" i="22725"/>
  <c r="B91" i="22725"/>
  <c r="G39" i="22725"/>
  <c r="B149" i="22725"/>
  <c r="G43" i="22725"/>
  <c r="G45" i="22725"/>
  <c r="G44" i="22725"/>
  <c r="G63" i="22725"/>
  <c r="G29" i="22725"/>
  <c r="G31" i="22725"/>
  <c r="G64" i="22725"/>
  <c r="AO66" i="22723"/>
  <c r="C97" i="22725"/>
  <c r="B131" i="22725"/>
  <c r="C129" i="22725" s="1"/>
  <c r="J154" i="22715"/>
  <c r="C34" i="5" l="1"/>
  <c r="BJ72" i="2"/>
  <c r="BI66" i="2" s="1"/>
  <c r="BJ66" i="2" s="1"/>
  <c r="F34" i="5"/>
  <c r="G34" i="5"/>
  <c r="C130" i="22725"/>
  <c r="J159" i="22715" s="1"/>
  <c r="C167" i="22725"/>
  <c r="J229" i="22715" s="1"/>
  <c r="J224" i="22715"/>
  <c r="J156" i="22715"/>
  <c r="I156" i="22715" s="1"/>
  <c r="I154" i="22715"/>
  <c r="AO67" i="22723"/>
  <c r="J177" i="22715"/>
  <c r="C149" i="22725"/>
  <c r="J181" i="22715" s="1"/>
  <c r="D55" i="22715"/>
  <c r="D53" i="22726"/>
  <c r="J45" i="22715"/>
  <c r="I45" i="22715" s="1"/>
  <c r="F69" i="22725"/>
  <c r="J60" i="22715" s="1"/>
  <c r="I60" i="22715" s="1"/>
  <c r="F78" i="22725"/>
  <c r="J53" i="22715" s="1"/>
  <c r="I53" i="22715" s="1"/>
  <c r="J158" i="22715"/>
  <c r="D56" i="22715"/>
  <c r="D56" i="22726"/>
  <c r="C143" i="22725"/>
  <c r="F71" i="22725"/>
  <c r="D70" i="22715"/>
  <c r="C70" i="22715" s="1"/>
  <c r="BX73" i="22723"/>
  <c r="J36" i="22726"/>
  <c r="C88" i="22725"/>
  <c r="B124" i="22725"/>
  <c r="B90" i="22725"/>
  <c r="C89" i="22725"/>
  <c r="J91" i="22715" s="1"/>
  <c r="C53" i="22715"/>
  <c r="J13" i="22715"/>
  <c r="I13" i="22715" s="1"/>
  <c r="C131" i="22725" l="1"/>
  <c r="BJ67" i="2"/>
  <c r="J129" i="22715"/>
  <c r="B125" i="22725"/>
  <c r="J90" i="22715"/>
  <c r="D71" i="22715"/>
  <c r="F73" i="22725"/>
  <c r="J74" i="22715" s="1"/>
  <c r="F72" i="22725"/>
  <c r="I177" i="22715"/>
  <c r="J178" i="22715"/>
  <c r="I178" i="22715" s="1"/>
  <c r="I224" i="22715"/>
  <c r="J225" i="22715"/>
  <c r="I225" i="22715" s="1"/>
  <c r="J87" i="22715"/>
  <c r="I87" i="22715" s="1"/>
  <c r="C90" i="22725"/>
  <c r="J92" i="22715" s="1"/>
  <c r="J37" i="22726"/>
  <c r="CE73" i="22723"/>
  <c r="J12" i="22715"/>
  <c r="I12" i="22715" s="1"/>
  <c r="C55" i="22715"/>
  <c r="AO68" i="22723"/>
  <c r="AP27" i="22723" s="1"/>
  <c r="AP67" i="22723" l="1"/>
  <c r="BJ68" i="2"/>
  <c r="BJ69" i="2" s="1"/>
  <c r="J38" i="22726"/>
  <c r="CL73" i="22723"/>
  <c r="AP32" i="22723"/>
  <c r="AP50" i="22723"/>
  <c r="AP51" i="22723"/>
  <c r="AP48" i="22723"/>
  <c r="AP64" i="22723"/>
  <c r="AP31" i="22723"/>
  <c r="AP68" i="22723"/>
  <c r="AO72" i="22723"/>
  <c r="AP61" i="22723"/>
  <c r="AP40" i="22723"/>
  <c r="AP16" i="22723"/>
  <c r="AP30" i="22723"/>
  <c r="AP44" i="22723"/>
  <c r="AP60" i="22723"/>
  <c r="E32" i="22726"/>
  <c r="AP55" i="22723"/>
  <c r="AP56" i="22723"/>
  <c r="AP46" i="22723"/>
  <c r="AP43" i="22723"/>
  <c r="AP42" i="22723"/>
  <c r="AO70" i="22723"/>
  <c r="AP49" i="22723"/>
  <c r="AP54" i="22723"/>
  <c r="AP62" i="22723"/>
  <c r="AP59" i="22723"/>
  <c r="AP33" i="22723"/>
  <c r="AP53" i="22723"/>
  <c r="AP63" i="22723"/>
  <c r="AP38" i="22723"/>
  <c r="AP19" i="22723"/>
  <c r="AP45" i="22723"/>
  <c r="AP17" i="22723"/>
  <c r="AP58" i="22723"/>
  <c r="AP28" i="22723"/>
  <c r="AP47" i="22723"/>
  <c r="AP41" i="22723"/>
  <c r="AP34" i="22723"/>
  <c r="AP57" i="22723"/>
  <c r="AP65" i="22723"/>
  <c r="AP66" i="22723"/>
  <c r="I74" i="22715"/>
  <c r="J9" i="22715"/>
  <c r="I9" i="22715" s="1"/>
  <c r="C123" i="22725"/>
  <c r="J134" i="22715" s="1"/>
  <c r="C122" i="22725"/>
  <c r="D48" i="22726"/>
  <c r="J71" i="22715"/>
  <c r="C71" i="22715"/>
  <c r="D74" i="22715"/>
  <c r="C74" i="22715" s="1"/>
  <c r="C124" i="22725"/>
  <c r="J135" i="22715" s="1"/>
  <c r="C91" i="22725"/>
  <c r="I129" i="22715"/>
  <c r="J130" i="22715"/>
  <c r="I130" i="22715" s="1"/>
  <c r="BK67" i="2" l="1"/>
  <c r="BK68" i="2"/>
  <c r="BK32" i="2"/>
  <c r="BK63" i="2"/>
  <c r="BK64" i="2"/>
  <c r="BJ73" i="2"/>
  <c r="BK52" i="2"/>
  <c r="BK60" i="2"/>
  <c r="BK16" i="2"/>
  <c r="BK48" i="2"/>
  <c r="BK49" i="2"/>
  <c r="E35" i="5"/>
  <c r="BK51" i="2"/>
  <c r="BK41" i="2"/>
  <c r="BK19" i="2"/>
  <c r="BK44" i="2"/>
  <c r="BK45" i="2"/>
  <c r="BK43" i="2"/>
  <c r="BK65" i="2"/>
  <c r="BK34" i="2"/>
  <c r="BK35" i="2"/>
  <c r="BJ71" i="2"/>
  <c r="BK33" i="2"/>
  <c r="BK29" i="2"/>
  <c r="BK17" i="2"/>
  <c r="BK54" i="2"/>
  <c r="BK31" i="2"/>
  <c r="BK47" i="2"/>
  <c r="BK46" i="2"/>
  <c r="BK42" i="2"/>
  <c r="BK36" i="2"/>
  <c r="BK61" i="2"/>
  <c r="BK55" i="2"/>
  <c r="BK39" i="2"/>
  <c r="BK69" i="2"/>
  <c r="BK58" i="2"/>
  <c r="BK57" i="2"/>
  <c r="BK56" i="2"/>
  <c r="BK50" i="2"/>
  <c r="BK59" i="2"/>
  <c r="BK62" i="2"/>
  <c r="BK66" i="2"/>
  <c r="I71" i="22715"/>
  <c r="J10" i="22715"/>
  <c r="I10" i="22715" s="1"/>
  <c r="G32" i="22726"/>
  <c r="F32" i="22726"/>
  <c r="AV71" i="22723"/>
  <c r="AU65" i="22723" s="1"/>
  <c r="AV65" i="22723" s="1"/>
  <c r="C32" i="22726"/>
  <c r="CS73" i="22723"/>
  <c r="J39" i="22726"/>
  <c r="J133" i="22715"/>
  <c r="C125" i="22725"/>
  <c r="G35" i="5" l="1"/>
  <c r="F35" i="5"/>
  <c r="BQ72" i="2"/>
  <c r="BP66" i="2" s="1"/>
  <c r="BQ66" i="2" s="1"/>
  <c r="C35" i="5"/>
  <c r="CZ73" i="22723"/>
  <c r="J40" i="22726"/>
  <c r="AV66" i="22723"/>
  <c r="BQ67" i="2" l="1"/>
  <c r="AV67" i="22723"/>
  <c r="J41" i="22726"/>
  <c r="DG73" i="22723"/>
  <c r="J42" i="22726" s="1"/>
  <c r="BQ68" i="2" l="1"/>
  <c r="BQ69" i="2" s="1"/>
  <c r="AV68" i="22723"/>
  <c r="AW27" i="22723" s="1"/>
  <c r="BR67" i="2" l="1"/>
  <c r="AW67" i="22723"/>
  <c r="BR68" i="2"/>
  <c r="BR69" i="2"/>
  <c r="BQ71" i="2"/>
  <c r="BR28" i="2"/>
  <c r="BR61" i="2"/>
  <c r="BR19" i="2"/>
  <c r="BR52" i="2"/>
  <c r="BQ73" i="2"/>
  <c r="BR35" i="2"/>
  <c r="BR16" i="2"/>
  <c r="BR36" i="2"/>
  <c r="BR44" i="2"/>
  <c r="BR43" i="2"/>
  <c r="BR31" i="2"/>
  <c r="BR29" i="2"/>
  <c r="BR46" i="2"/>
  <c r="BR42" i="2"/>
  <c r="E36" i="5"/>
  <c r="BR51" i="2"/>
  <c r="BR45" i="2"/>
  <c r="BR41" i="2"/>
  <c r="BR49" i="2"/>
  <c r="BR56" i="2"/>
  <c r="BR47" i="2"/>
  <c r="BR58" i="2"/>
  <c r="BR63" i="2"/>
  <c r="BR60" i="2"/>
  <c r="BR32" i="2"/>
  <c r="BR59" i="2"/>
  <c r="BR65" i="2"/>
  <c r="BR64" i="2"/>
  <c r="BR62" i="2"/>
  <c r="BR57" i="2"/>
  <c r="BR17" i="2"/>
  <c r="BR30" i="2"/>
  <c r="BR55" i="2"/>
  <c r="BR34" i="2"/>
  <c r="BR33" i="2"/>
  <c r="BR50" i="2"/>
  <c r="BR39" i="2"/>
  <c r="BR48" i="2"/>
  <c r="BR54" i="2"/>
  <c r="BR66" i="2"/>
  <c r="AW54" i="22723"/>
  <c r="AW62" i="22723"/>
  <c r="AW33" i="22723"/>
  <c r="AW53" i="22723"/>
  <c r="AW55" i="22723"/>
  <c r="AW38" i="22723"/>
  <c r="AW58" i="22723"/>
  <c r="AW31" i="22723"/>
  <c r="E33" i="22726"/>
  <c r="AW63" i="22723"/>
  <c r="AW41" i="22723"/>
  <c r="AW68" i="22723"/>
  <c r="AW17" i="22723"/>
  <c r="AW43" i="22723"/>
  <c r="AW60" i="22723"/>
  <c r="AV70" i="22723"/>
  <c r="AW45" i="22723"/>
  <c r="AW48" i="22723"/>
  <c r="AW19" i="22723"/>
  <c r="AW49" i="22723"/>
  <c r="AW64" i="22723"/>
  <c r="AW40" i="22723"/>
  <c r="AW57" i="22723"/>
  <c r="AW50" i="22723"/>
  <c r="AW42" i="22723"/>
  <c r="AW61" i="22723"/>
  <c r="AW56" i="22723"/>
  <c r="AW16" i="22723"/>
  <c r="AW34" i="22723"/>
  <c r="AW47" i="22723"/>
  <c r="AW46" i="22723"/>
  <c r="AW51" i="22723"/>
  <c r="AV72" i="22723"/>
  <c r="AW44" i="22723"/>
  <c r="AW28" i="22723"/>
  <c r="AW30" i="22723"/>
  <c r="AW32" i="22723"/>
  <c r="AW59" i="22723"/>
  <c r="AW65" i="22723"/>
  <c r="AW66" i="22723"/>
  <c r="F36" i="5" l="1"/>
  <c r="G36" i="5"/>
  <c r="BX72" i="2"/>
  <c r="BW66" i="2" s="1"/>
  <c r="BX66" i="2" s="1"/>
  <c r="C36" i="5"/>
  <c r="C33" i="22726"/>
  <c r="BC71" i="22723"/>
  <c r="BB65" i="22723" s="1"/>
  <c r="BC65" i="22723" s="1"/>
  <c r="F33" i="22726"/>
  <c r="G33" i="22726"/>
  <c r="BX67" i="2" l="1"/>
  <c r="BC66" i="22723"/>
  <c r="BX68" i="2" l="1"/>
  <c r="BC67" i="22723"/>
  <c r="BX69" i="2" l="1"/>
  <c r="BC68" i="22723"/>
  <c r="BD27" i="22723" s="1"/>
  <c r="BD67" i="22723" l="1"/>
  <c r="BY46" i="2"/>
  <c r="BY57" i="2"/>
  <c r="BY47" i="2"/>
  <c r="BY64" i="2"/>
  <c r="BY61" i="2"/>
  <c r="BY55" i="2"/>
  <c r="BY52" i="2"/>
  <c r="BY16" i="2"/>
  <c r="BY65" i="2"/>
  <c r="BY17" i="2"/>
  <c r="BY29" i="2"/>
  <c r="BY39" i="2"/>
  <c r="BY51" i="2"/>
  <c r="BY48" i="2"/>
  <c r="BX73" i="2"/>
  <c r="BY54" i="2"/>
  <c r="BY35" i="2"/>
  <c r="BY33" i="2"/>
  <c r="BY34" i="2"/>
  <c r="BY19" i="2"/>
  <c r="BY62" i="2"/>
  <c r="BY31" i="2"/>
  <c r="E37" i="5"/>
  <c r="BY36" i="2"/>
  <c r="BY50" i="2"/>
  <c r="BY44" i="2"/>
  <c r="BY32" i="2"/>
  <c r="BY63" i="2"/>
  <c r="BX71" i="2"/>
  <c r="BY43" i="2"/>
  <c r="BY56" i="2"/>
  <c r="BY59" i="2"/>
  <c r="BY42" i="2"/>
  <c r="BY60" i="2"/>
  <c r="BY69" i="2"/>
  <c r="BY58" i="2"/>
  <c r="BY45" i="2"/>
  <c r="BY41" i="2"/>
  <c r="BY49" i="2"/>
  <c r="BY66" i="2"/>
  <c r="BY67" i="2"/>
  <c r="BY68" i="2"/>
  <c r="BD45" i="22723"/>
  <c r="BD48" i="22723"/>
  <c r="BD44" i="22723"/>
  <c r="BD28" i="22723"/>
  <c r="BD62" i="22723"/>
  <c r="BC72" i="22723"/>
  <c r="BD47" i="22723"/>
  <c r="BC70" i="22723"/>
  <c r="BD31" i="22723"/>
  <c r="BD64" i="22723"/>
  <c r="BD49" i="22723"/>
  <c r="BD56" i="22723"/>
  <c r="BD57" i="22723"/>
  <c r="BD58" i="22723"/>
  <c r="BD33" i="22723"/>
  <c r="BD55" i="22723"/>
  <c r="BD54" i="22723"/>
  <c r="BD32" i="22723"/>
  <c r="BD68" i="22723"/>
  <c r="BD41" i="22723"/>
  <c r="BD16" i="22723"/>
  <c r="BD17" i="22723"/>
  <c r="BD61" i="22723"/>
  <c r="BD46" i="22723"/>
  <c r="BD51" i="22723"/>
  <c r="BD59" i="22723"/>
  <c r="BD60" i="22723"/>
  <c r="E34" i="22726"/>
  <c r="BD34" i="22723"/>
  <c r="BD38" i="22723"/>
  <c r="BD40" i="22723"/>
  <c r="BD19" i="22723"/>
  <c r="BD43" i="22723"/>
  <c r="BD63" i="22723"/>
  <c r="BD53" i="22723"/>
  <c r="BD50" i="22723"/>
  <c r="BD42" i="22723"/>
  <c r="BD30" i="22723"/>
  <c r="BD65" i="22723"/>
  <c r="BD66" i="22723"/>
  <c r="G37" i="5" l="1"/>
  <c r="F37" i="5"/>
  <c r="C37" i="5"/>
  <c r="CE72" i="2"/>
  <c r="CD66" i="2" s="1"/>
  <c r="CE66" i="2" s="1"/>
  <c r="C34" i="22726"/>
  <c r="BJ71" i="22723"/>
  <c r="BI65" i="22723" s="1"/>
  <c r="BJ65" i="22723" s="1"/>
  <c r="F34" i="22726"/>
  <c r="G34" i="22726"/>
  <c r="CE67" i="2" l="1"/>
  <c r="BJ66" i="22723"/>
  <c r="CE68" i="2" l="1"/>
  <c r="BJ67" i="22723"/>
  <c r="BJ68" i="22723" s="1"/>
  <c r="BK27" i="22723" s="1"/>
  <c r="BK66" i="22723" l="1"/>
  <c r="CE69" i="2"/>
  <c r="BK67" i="22723"/>
  <c r="BK30" i="22723"/>
  <c r="BK19" i="22723"/>
  <c r="BK51" i="22723"/>
  <c r="BK55" i="22723"/>
  <c r="BK38" i="22723"/>
  <c r="BK62" i="22723"/>
  <c r="BK34" i="22723"/>
  <c r="BK50" i="22723"/>
  <c r="BK42" i="22723"/>
  <c r="BK47" i="22723"/>
  <c r="BK31" i="22723"/>
  <c r="E35" i="22726"/>
  <c r="BK16" i="22723"/>
  <c r="BK61" i="22723"/>
  <c r="BK44" i="22723"/>
  <c r="BK28" i="22723"/>
  <c r="BK46" i="22723"/>
  <c r="BK49" i="22723"/>
  <c r="BK68" i="22723"/>
  <c r="BK41" i="22723"/>
  <c r="BK43" i="22723"/>
  <c r="BK60" i="22723"/>
  <c r="BK45" i="22723"/>
  <c r="BK54" i="22723"/>
  <c r="BK17" i="22723"/>
  <c r="BK57" i="22723"/>
  <c r="BK63" i="22723"/>
  <c r="BK48" i="22723"/>
  <c r="BK64" i="22723"/>
  <c r="BK56" i="22723"/>
  <c r="BJ72" i="22723"/>
  <c r="BK32" i="22723"/>
  <c r="BJ70" i="22723"/>
  <c r="BK40" i="22723"/>
  <c r="BK58" i="22723"/>
  <c r="BK33" i="22723"/>
  <c r="BK53" i="22723"/>
  <c r="BK65" i="22723"/>
  <c r="CF51" i="2" l="1"/>
  <c r="CF29" i="2"/>
  <c r="CF19" i="2"/>
  <c r="CF56" i="2"/>
  <c r="CF35" i="2"/>
  <c r="CF63" i="2"/>
  <c r="CF54" i="2"/>
  <c r="CF16" i="2"/>
  <c r="CF46" i="2"/>
  <c r="CF39" i="2"/>
  <c r="CF43" i="2"/>
  <c r="CF41" i="2"/>
  <c r="CF58" i="2"/>
  <c r="CF42" i="2"/>
  <c r="CF65" i="2"/>
  <c r="CF36" i="2"/>
  <c r="CF45" i="2"/>
  <c r="CE71" i="2"/>
  <c r="CF33" i="2"/>
  <c r="CE73" i="2"/>
  <c r="CF44" i="2"/>
  <c r="CF32" i="2"/>
  <c r="CF64" i="2"/>
  <c r="CF48" i="2"/>
  <c r="CF59" i="2"/>
  <c r="CF49" i="2"/>
  <c r="CF69" i="2"/>
  <c r="CF31" i="2"/>
  <c r="CF50" i="2"/>
  <c r="CF62" i="2"/>
  <c r="CF60" i="2"/>
  <c r="CF61" i="2"/>
  <c r="CF17" i="2"/>
  <c r="E38" i="5"/>
  <c r="CF52" i="2"/>
  <c r="CF57" i="2"/>
  <c r="CF47" i="2"/>
  <c r="CF55" i="2"/>
  <c r="CF34" i="2"/>
  <c r="CF66" i="2"/>
  <c r="CF67" i="2"/>
  <c r="CF68" i="2"/>
  <c r="C35" i="22726"/>
  <c r="BQ71" i="22723"/>
  <c r="BP65" i="22723" s="1"/>
  <c r="BQ65" i="22723" s="1"/>
  <c r="G35" i="22726"/>
  <c r="F35" i="22726"/>
  <c r="G38" i="5" l="1"/>
  <c r="F38" i="5"/>
  <c r="CL72" i="2"/>
  <c r="CK66" i="2" s="1"/>
  <c r="CL66" i="2" s="1"/>
  <c r="C38" i="5"/>
  <c r="BQ66" i="22723"/>
  <c r="BQ67" i="22723" s="1"/>
  <c r="CL67" i="2" l="1"/>
  <c r="BQ68" i="22723"/>
  <c r="BR27" i="22723" s="1"/>
  <c r="BR67" i="22723" l="1"/>
  <c r="CL68" i="2"/>
  <c r="CL69" i="2" s="1"/>
  <c r="BR66" i="22723"/>
  <c r="BQ70" i="22723"/>
  <c r="BR44" i="22723"/>
  <c r="BR28" i="22723"/>
  <c r="E36" i="22726"/>
  <c r="BR45" i="22723"/>
  <c r="BR50" i="22723"/>
  <c r="BR46" i="22723"/>
  <c r="BQ72" i="22723"/>
  <c r="BR32" i="22723"/>
  <c r="BR41" i="22723"/>
  <c r="BR57" i="22723"/>
  <c r="BR47" i="22723"/>
  <c r="BR17" i="22723"/>
  <c r="BR55" i="22723"/>
  <c r="BR40" i="22723"/>
  <c r="BR64" i="22723"/>
  <c r="BR62" i="22723"/>
  <c r="BR31" i="22723"/>
  <c r="BR38" i="22723"/>
  <c r="BR48" i="22723"/>
  <c r="BR59" i="22723"/>
  <c r="BR68" i="22723"/>
  <c r="BR49" i="22723"/>
  <c r="BR16" i="22723"/>
  <c r="BR33" i="22723"/>
  <c r="BR60" i="22723"/>
  <c r="BR51" i="22723"/>
  <c r="BR53" i="22723"/>
  <c r="BR61" i="22723"/>
  <c r="BR58" i="22723"/>
  <c r="BR30" i="22723"/>
  <c r="BR56" i="22723"/>
  <c r="BR34" i="22723"/>
  <c r="BR43" i="22723"/>
  <c r="BR54" i="22723"/>
  <c r="BR19" i="22723"/>
  <c r="BR63" i="22723"/>
  <c r="BR42" i="22723"/>
  <c r="BR65" i="22723"/>
  <c r="CM67" i="2" l="1"/>
  <c r="CM68" i="2"/>
  <c r="CM36" i="2"/>
  <c r="CM56" i="2"/>
  <c r="CM31" i="2"/>
  <c r="CM19" i="2"/>
  <c r="CM33" i="2"/>
  <c r="CM55" i="2"/>
  <c r="CM60" i="2"/>
  <c r="CM42" i="2"/>
  <c r="CM54" i="2"/>
  <c r="E39" i="5"/>
  <c r="CM16" i="2"/>
  <c r="CM49" i="2"/>
  <c r="CM64" i="2"/>
  <c r="CM48" i="2"/>
  <c r="CM65" i="2"/>
  <c r="CM29" i="2"/>
  <c r="CM46" i="2"/>
  <c r="CM52" i="2"/>
  <c r="CM59" i="2"/>
  <c r="CM44" i="2"/>
  <c r="CL73" i="2"/>
  <c r="CM41" i="2"/>
  <c r="CM57" i="2"/>
  <c r="CM63" i="2"/>
  <c r="CM47" i="2"/>
  <c r="CM32" i="2"/>
  <c r="CM39" i="2"/>
  <c r="CM69" i="2"/>
  <c r="CM45" i="2"/>
  <c r="CM35" i="2"/>
  <c r="CM62" i="2"/>
  <c r="CM58" i="2"/>
  <c r="CM61" i="2"/>
  <c r="CM50" i="2"/>
  <c r="CL71" i="2"/>
  <c r="CM17" i="2"/>
  <c r="CM43" i="2"/>
  <c r="CM51" i="2"/>
  <c r="CM34" i="2"/>
  <c r="CM66" i="2"/>
  <c r="C36" i="22726"/>
  <c r="BX71" i="22723"/>
  <c r="BW65" i="22723" s="1"/>
  <c r="BX65" i="22723" s="1"/>
  <c r="G36" i="22726"/>
  <c r="F36" i="22726"/>
  <c r="C39" i="5" l="1"/>
  <c r="CS72" i="2"/>
  <c r="CR66" i="2" s="1"/>
  <c r="CS66" i="2" s="1"/>
  <c r="F39" i="5"/>
  <c r="G39" i="5"/>
  <c r="BX66" i="22723"/>
  <c r="CS67" i="2" l="1"/>
  <c r="BX67" i="22723"/>
  <c r="CS68" i="2" l="1"/>
  <c r="BX68" i="22723"/>
  <c r="BY27" i="22723" s="1"/>
  <c r="BY67" i="22723" l="1"/>
  <c r="CS69" i="2"/>
  <c r="BY17" i="22723"/>
  <c r="BY58" i="22723"/>
  <c r="BY41" i="22723"/>
  <c r="BX70" i="22723"/>
  <c r="BY46" i="22723"/>
  <c r="BY44" i="22723"/>
  <c r="BY45" i="22723"/>
  <c r="BY60" i="22723"/>
  <c r="BY30" i="22723"/>
  <c r="BY53" i="22723"/>
  <c r="BY55" i="22723"/>
  <c r="BX72" i="22723"/>
  <c r="BY42" i="22723"/>
  <c r="BY48" i="22723"/>
  <c r="BY16" i="22723"/>
  <c r="BY59" i="22723"/>
  <c r="BY43" i="22723"/>
  <c r="BY32" i="22723"/>
  <c r="CF30" i="22723"/>
  <c r="BY61" i="22723"/>
  <c r="BY62" i="22723"/>
  <c r="BY54" i="22723"/>
  <c r="BY68" i="22723"/>
  <c r="BY38" i="22723"/>
  <c r="BY31" i="22723"/>
  <c r="BY51" i="22723"/>
  <c r="BY63" i="22723"/>
  <c r="BY49" i="22723"/>
  <c r="E37" i="22726"/>
  <c r="BY33" i="22723"/>
  <c r="BY56" i="22723"/>
  <c r="BY40" i="22723"/>
  <c r="BY50" i="22723"/>
  <c r="BY28" i="22723"/>
  <c r="BY19" i="22723"/>
  <c r="BY47" i="22723"/>
  <c r="BY34" i="22723"/>
  <c r="BY57" i="22723"/>
  <c r="BY64" i="22723"/>
  <c r="BY65" i="22723"/>
  <c r="BY66" i="22723"/>
  <c r="CT68" i="2" l="1"/>
  <c r="CT63" i="2"/>
  <c r="CT56" i="2"/>
  <c r="CT50" i="2"/>
  <c r="CT47" i="2"/>
  <c r="CT33" i="2"/>
  <c r="CT58" i="2"/>
  <c r="CT51" i="2"/>
  <c r="CT41" i="2"/>
  <c r="CT17" i="2"/>
  <c r="CS73" i="2"/>
  <c r="CT49" i="2"/>
  <c r="CT59" i="2"/>
  <c r="CT42" i="2"/>
  <c r="CT45" i="2"/>
  <c r="CT19" i="2"/>
  <c r="CT32" i="2"/>
  <c r="CT29" i="2"/>
  <c r="CT60" i="2"/>
  <c r="CT55" i="2"/>
  <c r="CT48" i="2"/>
  <c r="CT35" i="2"/>
  <c r="CT52" i="2"/>
  <c r="CT31" i="2"/>
  <c r="CT64" i="2"/>
  <c r="E40" i="5"/>
  <c r="CT36" i="2"/>
  <c r="CT69" i="2"/>
  <c r="CT34" i="2"/>
  <c r="CT62" i="2"/>
  <c r="CT16" i="2"/>
  <c r="CT44" i="2"/>
  <c r="CT61" i="2"/>
  <c r="CT57" i="2"/>
  <c r="CT54" i="2"/>
  <c r="CT65" i="2"/>
  <c r="CT39" i="2"/>
  <c r="CT46" i="2"/>
  <c r="CT43" i="2"/>
  <c r="CS71" i="2"/>
  <c r="CT66" i="2"/>
  <c r="CT67" i="2"/>
  <c r="G37" i="22726"/>
  <c r="F37" i="22726"/>
  <c r="CE71" i="22723"/>
  <c r="CD65" i="22723" s="1"/>
  <c r="CE65" i="22723" s="1"/>
  <c r="C37" i="22726"/>
  <c r="G40" i="5" l="1"/>
  <c r="F40" i="5"/>
  <c r="C40" i="5"/>
  <c r="CZ72" i="2"/>
  <c r="CY66" i="2" s="1"/>
  <c r="CZ66" i="2" s="1"/>
  <c r="CE66" i="22723"/>
  <c r="CZ67" i="2" l="1"/>
  <c r="CE67" i="22723"/>
  <c r="CZ68" i="2" l="1"/>
  <c r="CE68" i="22723"/>
  <c r="CF27" i="22723" s="1"/>
  <c r="CF67" i="22723" l="1"/>
  <c r="CZ69" i="2"/>
  <c r="CF45" i="22723"/>
  <c r="CF68" i="22723"/>
  <c r="CF41" i="22723"/>
  <c r="CF50" i="22723"/>
  <c r="CF57" i="22723"/>
  <c r="CF59" i="22723"/>
  <c r="CF58" i="22723"/>
  <c r="CE72" i="22723"/>
  <c r="CF62" i="22723"/>
  <c r="CF32" i="22723"/>
  <c r="CF53" i="22723"/>
  <c r="E38" i="22726"/>
  <c r="CF46" i="22723"/>
  <c r="CF19" i="22723"/>
  <c r="CF31" i="22723"/>
  <c r="CF16" i="22723"/>
  <c r="CF28" i="22723"/>
  <c r="CF55" i="22723"/>
  <c r="CF40" i="22723"/>
  <c r="CF56" i="22723"/>
  <c r="CF34" i="22723"/>
  <c r="CF44" i="22723"/>
  <c r="CE70" i="22723"/>
  <c r="CF60" i="22723"/>
  <c r="CF33" i="22723"/>
  <c r="CF43" i="22723"/>
  <c r="CF47" i="22723"/>
  <c r="CF51" i="22723"/>
  <c r="CF38" i="22723"/>
  <c r="CF54" i="22723"/>
  <c r="CF64" i="22723"/>
  <c r="CF61" i="22723"/>
  <c r="CF17" i="22723"/>
  <c r="CF42" i="22723"/>
  <c r="CF49" i="22723"/>
  <c r="CF63" i="22723"/>
  <c r="CF48" i="22723"/>
  <c r="CF65" i="22723"/>
  <c r="CF66" i="22723"/>
  <c r="DA68" i="2" l="1"/>
  <c r="DA58" i="2"/>
  <c r="DA61" i="2"/>
  <c r="DA44" i="2"/>
  <c r="DA35" i="2"/>
  <c r="DA31" i="2"/>
  <c r="DA64" i="2"/>
  <c r="DA60" i="2"/>
  <c r="DA47" i="2"/>
  <c r="CZ71" i="2"/>
  <c r="DA49" i="2"/>
  <c r="DA52" i="2"/>
  <c r="DA32" i="2"/>
  <c r="DA41" i="2"/>
  <c r="DA33" i="2"/>
  <c r="DA16" i="2"/>
  <c r="DA36" i="2"/>
  <c r="DA50" i="2"/>
  <c r="DA48" i="2"/>
  <c r="DA51" i="2"/>
  <c r="DA55" i="2"/>
  <c r="DA65" i="2"/>
  <c r="DA46" i="2"/>
  <c r="E41" i="5"/>
  <c r="DA63" i="2"/>
  <c r="DA39" i="2"/>
  <c r="DA56" i="2"/>
  <c r="DA59" i="2"/>
  <c r="DA29" i="2"/>
  <c r="DA69" i="2"/>
  <c r="DA54" i="2"/>
  <c r="DA42" i="2"/>
  <c r="DA34" i="2"/>
  <c r="DA62" i="2"/>
  <c r="DA57" i="2"/>
  <c r="DA17" i="2"/>
  <c r="CZ73" i="2"/>
  <c r="DA19" i="2"/>
  <c r="DA45" i="2"/>
  <c r="DA43" i="2"/>
  <c r="DA66" i="2"/>
  <c r="DA67" i="2"/>
  <c r="F38" i="22726"/>
  <c r="G38" i="22726"/>
  <c r="C38" i="22726"/>
  <c r="CL71" i="22723"/>
  <c r="CK65" i="22723" s="1"/>
  <c r="CL65" i="22723" s="1"/>
  <c r="DG72" i="2" l="1"/>
  <c r="DF66" i="2" s="1"/>
  <c r="DG66" i="2" s="1"/>
  <c r="C41" i="5"/>
  <c r="F41" i="5"/>
  <c r="G41" i="5"/>
  <c r="CL66" i="22723"/>
  <c r="CL67" i="22723" s="1"/>
  <c r="DG67" i="2" l="1"/>
  <c r="CL68" i="22723"/>
  <c r="CM27" i="22723" s="1"/>
  <c r="CM67" i="22723" l="1"/>
  <c r="DG68" i="2"/>
  <c r="DG69" i="2" s="1"/>
  <c r="CM66" i="22723"/>
  <c r="CM63" i="22723"/>
  <c r="CM56" i="22723"/>
  <c r="CM30" i="22723"/>
  <c r="CM48" i="22723"/>
  <c r="CM38" i="22723"/>
  <c r="CM19" i="22723"/>
  <c r="CM54" i="22723"/>
  <c r="CM53" i="22723"/>
  <c r="CM58" i="22723"/>
  <c r="CM16" i="22723"/>
  <c r="CM47" i="22723"/>
  <c r="CM55" i="22723"/>
  <c r="CM50" i="22723"/>
  <c r="CM49" i="22723"/>
  <c r="CM40" i="22723"/>
  <c r="CM42" i="22723"/>
  <c r="CM34" i="22723"/>
  <c r="CM32" i="22723"/>
  <c r="CM51" i="22723"/>
  <c r="CM60" i="22723"/>
  <c r="CM31" i="22723"/>
  <c r="CM68" i="22723"/>
  <c r="E39" i="22726"/>
  <c r="CM61" i="22723"/>
  <c r="CM44" i="22723"/>
  <c r="CM59" i="22723"/>
  <c r="CM64" i="22723"/>
  <c r="CM45" i="22723"/>
  <c r="CM41" i="22723"/>
  <c r="CM46" i="22723"/>
  <c r="CM57" i="22723"/>
  <c r="CL72" i="22723"/>
  <c r="CM62" i="22723"/>
  <c r="CM33" i="22723"/>
  <c r="CM43" i="22723"/>
  <c r="CM17" i="22723"/>
  <c r="CL70" i="22723"/>
  <c r="CM28" i="22723"/>
  <c r="CM65" i="22723"/>
  <c r="DH67" i="2" l="1"/>
  <c r="DH68" i="2"/>
  <c r="DH34" i="2"/>
  <c r="DH32" i="2"/>
  <c r="DH65" i="2"/>
  <c r="DH51" i="2"/>
  <c r="E42" i="5"/>
  <c r="DH43" i="2"/>
  <c r="DH39" i="2"/>
  <c r="DG73" i="2"/>
  <c r="C42" i="5" s="1"/>
  <c r="DH64" i="2"/>
  <c r="DH52" i="2"/>
  <c r="DH63" i="2"/>
  <c r="DH69" i="2"/>
  <c r="DH47" i="2"/>
  <c r="DH61" i="2"/>
  <c r="DH48" i="2"/>
  <c r="DG71" i="2"/>
  <c r="DH54" i="2"/>
  <c r="DH19" i="2"/>
  <c r="DH44" i="2"/>
  <c r="DH36" i="2"/>
  <c r="DH16" i="2"/>
  <c r="DH29" i="2"/>
  <c r="DH41" i="2"/>
  <c r="DH57" i="2"/>
  <c r="DH17" i="2"/>
  <c r="DH56" i="2"/>
  <c r="DH55" i="2"/>
  <c r="DH33" i="2"/>
  <c r="DH58" i="2"/>
  <c r="DH46" i="2"/>
  <c r="DH49" i="2"/>
  <c r="DH59" i="2"/>
  <c r="DH62" i="2"/>
  <c r="DH50" i="2"/>
  <c r="DH45" i="2"/>
  <c r="DH31" i="2"/>
  <c r="DH35" i="2"/>
  <c r="DH60" i="2"/>
  <c r="DH42" i="2"/>
  <c r="DH66" i="2"/>
  <c r="F39" i="22726"/>
  <c r="G39" i="22726"/>
  <c r="CS71" i="22723"/>
  <c r="CR65" i="22723" s="1"/>
  <c r="CS65" i="22723" s="1"/>
  <c r="C39" i="22726"/>
  <c r="D46" i="5" l="1"/>
  <c r="H66" i="22715"/>
  <c r="F42" i="5"/>
  <c r="G42" i="5"/>
  <c r="CS66" i="22723"/>
  <c r="CS67" i="22723" l="1"/>
  <c r="CS68" i="22723" l="1"/>
  <c r="CT27" i="22723" s="1"/>
  <c r="CT68" i="22723" l="1"/>
  <c r="CT30" i="22723"/>
  <c r="CT28" i="22723"/>
  <c r="CT54" i="22723"/>
  <c r="CT47" i="22723"/>
  <c r="CT17" i="22723"/>
  <c r="E40" i="22726"/>
  <c r="CT33" i="22723"/>
  <c r="CT61" i="22723"/>
  <c r="CT55" i="22723"/>
  <c r="CT64" i="22723"/>
  <c r="CS72" i="22723"/>
  <c r="CT19" i="22723"/>
  <c r="CS70" i="22723"/>
  <c r="CT59" i="22723"/>
  <c r="CT46" i="22723"/>
  <c r="CT41" i="22723"/>
  <c r="CT56" i="22723"/>
  <c r="CT38" i="22723"/>
  <c r="CT32" i="22723"/>
  <c r="CT57" i="22723"/>
  <c r="CT42" i="22723"/>
  <c r="CT51" i="22723"/>
  <c r="CT45" i="22723"/>
  <c r="CT43" i="22723"/>
  <c r="CT34" i="22723"/>
  <c r="CT40" i="22723"/>
  <c r="CT63" i="22723"/>
  <c r="CT31" i="22723"/>
  <c r="CT16" i="22723"/>
  <c r="CT44" i="22723"/>
  <c r="CT60" i="22723"/>
  <c r="CT53" i="22723"/>
  <c r="CT48" i="22723"/>
  <c r="CT62" i="22723"/>
  <c r="CT50" i="22723"/>
  <c r="CT49" i="22723"/>
  <c r="CT58" i="22723"/>
  <c r="CT65" i="22723"/>
  <c r="CT66" i="22723"/>
  <c r="CT67" i="22723"/>
  <c r="C40" i="22726" l="1"/>
  <c r="CZ71" i="22723"/>
  <c r="CY65" i="22723" s="1"/>
  <c r="CZ65" i="22723" s="1"/>
  <c r="G40" i="22726"/>
  <c r="F40" i="22726"/>
  <c r="CZ66" i="22723" l="1"/>
  <c r="CZ67" i="22723" l="1"/>
  <c r="CZ68" i="22723" l="1"/>
  <c r="DA27" i="22723" l="1"/>
  <c r="DA22" i="22723"/>
  <c r="DA24" i="22723"/>
  <c r="DA23" i="22723"/>
  <c r="DA25" i="22723"/>
  <c r="DA21" i="22723"/>
  <c r="DA46" i="22723"/>
  <c r="DA17" i="22723"/>
  <c r="DA63" i="22723"/>
  <c r="DA30" i="22723"/>
  <c r="DA32" i="22723"/>
  <c r="CZ72" i="22723"/>
  <c r="DA41" i="22723"/>
  <c r="DA64" i="22723"/>
  <c r="DA50" i="22723"/>
  <c r="DA28" i="22723"/>
  <c r="DA19" i="22723"/>
  <c r="DA40" i="22723"/>
  <c r="DA53" i="22723"/>
  <c r="DA59" i="22723"/>
  <c r="DA34" i="22723"/>
  <c r="DA61" i="22723"/>
  <c r="DA48" i="22723"/>
  <c r="CZ70" i="22723"/>
  <c r="DA57" i="22723"/>
  <c r="DA43" i="22723"/>
  <c r="DA31" i="22723"/>
  <c r="DA55" i="22723"/>
  <c r="DA47" i="22723"/>
  <c r="DA38" i="22723"/>
  <c r="DA62" i="22723"/>
  <c r="DA44" i="22723"/>
  <c r="DA54" i="22723"/>
  <c r="DA42" i="22723"/>
  <c r="DA56" i="22723"/>
  <c r="DA49" i="22723"/>
  <c r="DA45" i="22723"/>
  <c r="DA58" i="22723"/>
  <c r="DA51" i="22723"/>
  <c r="DA68" i="22723"/>
  <c r="DA33" i="22723"/>
  <c r="DA16" i="22723"/>
  <c r="DA60" i="22723"/>
  <c r="E41" i="22726"/>
  <c r="DA65" i="22723"/>
  <c r="DA66" i="22723"/>
  <c r="DA67" i="22723"/>
  <c r="G41" i="22726" l="1"/>
  <c r="F41" i="22726"/>
  <c r="C41" i="22726"/>
  <c r="DG71" i="22723"/>
  <c r="DF65" i="22723" s="1"/>
  <c r="DG65" i="22723" s="1"/>
  <c r="DG66" i="22723" l="1"/>
  <c r="DG67" i="22723" l="1"/>
  <c r="DG68" i="22723" l="1"/>
  <c r="BR26" i="22723" l="1"/>
  <c r="BR37" i="22723" s="1"/>
  <c r="BD26" i="22723"/>
  <c r="BD37" i="22723" s="1"/>
  <c r="AP26" i="22723"/>
  <c r="AP37" i="22723" s="1"/>
  <c r="AI26" i="22723"/>
  <c r="AI37" i="22723" s="1"/>
  <c r="BY37" i="22723"/>
  <c r="CM37" i="22723"/>
  <c r="DA37" i="22723"/>
  <c r="DH27" i="22723"/>
  <c r="BK26" i="22723"/>
  <c r="BK37" i="22723" s="1"/>
  <c r="AW26" i="22723"/>
  <c r="AW37" i="22723" s="1"/>
  <c r="CF26" i="22723"/>
  <c r="CF37" i="22723" s="1"/>
  <c r="CT37" i="22723"/>
  <c r="DH67" i="22723"/>
  <c r="DH54" i="22723"/>
  <c r="DH19" i="22723"/>
  <c r="DH51" i="22723"/>
  <c r="DH32" i="22723"/>
  <c r="DH58" i="22723"/>
  <c r="DH17" i="22723"/>
  <c r="DH28" i="22723"/>
  <c r="DH50" i="22723"/>
  <c r="DH53" i="22723"/>
  <c r="DH45" i="22723"/>
  <c r="E42" i="22726"/>
  <c r="DH68" i="22723"/>
  <c r="DH60" i="22723"/>
  <c r="DH49" i="22723"/>
  <c r="DH30" i="22723"/>
  <c r="DH55" i="22723"/>
  <c r="DH46" i="22723"/>
  <c r="DH64" i="22723"/>
  <c r="DH33" i="22723"/>
  <c r="DH57" i="22723"/>
  <c r="DH41" i="22723"/>
  <c r="DH56" i="22723"/>
  <c r="DH48" i="22723"/>
  <c r="DH44" i="22723"/>
  <c r="DH62" i="22723"/>
  <c r="DH63" i="22723"/>
  <c r="DH42" i="22723"/>
  <c r="DH47" i="22723"/>
  <c r="DG70" i="22723"/>
  <c r="DH61" i="22723"/>
  <c r="DH34" i="22723"/>
  <c r="DH43" i="22723"/>
  <c r="DG72" i="22723"/>
  <c r="C42" i="22726" s="1"/>
  <c r="DH31" i="22723"/>
  <c r="DH40" i="22723"/>
  <c r="DH16" i="22723"/>
  <c r="DH38" i="22723"/>
  <c r="DH59" i="22723"/>
  <c r="DH65" i="22723"/>
  <c r="DH66" i="22723"/>
  <c r="DH37" i="22723" l="1"/>
  <c r="G42" i="22726"/>
  <c r="F42" i="22726"/>
  <c r="J66" i="22715"/>
  <c r="I66" i="22715" s="1"/>
  <c r="D46" i="22726"/>
</calcChain>
</file>

<file path=xl/comments1.xml><?xml version="1.0" encoding="utf-8"?>
<comments xmlns="http://schemas.openxmlformats.org/spreadsheetml/2006/main">
  <authors>
    <author>Esther Bravin</author>
    <author>FAW</author>
  </authors>
  <commentList>
    <comment ref="D10" authorId="0" shapeId="0">
      <text>
        <r>
          <rPr>
            <b/>
            <sz val="9"/>
            <color indexed="81"/>
            <rFont val="Segoe UI"/>
            <charset val="1"/>
          </rPr>
          <t>Esther Bravin:</t>
        </r>
        <r>
          <rPr>
            <sz val="9"/>
            <color indexed="81"/>
            <rFont val="Segoe UI"/>
            <charset val="1"/>
          </rPr>
          <t xml:space="preserve">
Werden nicht ausbezahlt</t>
        </r>
      </text>
    </comment>
    <comment ref="G43" authorId="1" shapeId="0">
      <text>
        <r>
          <rPr>
            <sz val="9"/>
            <color indexed="81"/>
            <rFont val="Tahoma"/>
            <family val="2"/>
          </rPr>
          <t>Dünger + PBM + Hagelversicherung + Abzüge + var. Maschinenkosten + Lohnkosten</t>
        </r>
      </text>
    </comment>
  </commentList>
</comments>
</file>

<file path=xl/comments2.xml><?xml version="1.0" encoding="utf-8"?>
<comments xmlns="http://schemas.openxmlformats.org/spreadsheetml/2006/main">
  <authors>
    <author>FAW</author>
    <author>P. Mouron</author>
    <author>referent</author>
  </authors>
  <commentList>
    <comment ref="B10" authorId="0" shapeId="0">
      <text>
        <r>
          <rPr>
            <sz val="10"/>
            <color indexed="81"/>
            <rFont val="Tahoma"/>
            <family val="2"/>
          </rPr>
          <t>Berechnung siehe Tabelle "Var Erstellung"</t>
        </r>
      </text>
    </comment>
    <comment ref="A25" authorId="0" shapeId="0">
      <text>
        <r>
          <rPr>
            <sz val="8"/>
            <color indexed="81"/>
            <rFont val="Tahoma"/>
            <family val="2"/>
          </rPr>
          <t>Quelle M Salathé:
Kordia benötigt keine Lizenz</t>
        </r>
      </text>
    </comment>
    <comment ref="C35" authorId="1" shapeId="0">
      <text>
        <r>
          <rPr>
            <sz val="10"/>
            <color indexed="81"/>
            <rFont val="Tahoma"/>
            <family val="2"/>
          </rPr>
          <t>Nach FAT
genauer Faktor bei 12 Jahren Abschreibungsdauer: 0.542</t>
        </r>
      </text>
    </comment>
    <comment ref="B39" authorId="0" shapeId="0">
      <text>
        <r>
          <rPr>
            <sz val="10"/>
            <color indexed="81"/>
            <rFont val="Tahoma"/>
            <family val="2"/>
          </rPr>
          <t>lose Ware netto , Fr/kg ohne Gebinde</t>
        </r>
      </text>
    </comment>
    <comment ref="C39" authorId="0" shapeId="0">
      <text>
        <r>
          <rPr>
            <sz val="10"/>
            <color indexed="81"/>
            <rFont val="Tahoma"/>
            <family val="2"/>
          </rPr>
          <t>Je Schale von 500 g netto, Fr./kg ohne Gebinde</t>
        </r>
        <r>
          <rPr>
            <sz val="8"/>
            <color indexed="81"/>
            <rFont val="Tahoma"/>
            <family val="2"/>
          </rPr>
          <t xml:space="preserve">
</t>
        </r>
      </text>
    </comment>
    <comment ref="D39" authorId="0" shapeId="0">
      <text>
        <r>
          <rPr>
            <sz val="10"/>
            <color indexed="81"/>
            <rFont val="Tahoma"/>
            <family val="2"/>
          </rPr>
          <t>Schale von 500g netto, Fr./kg ohne Gebinde</t>
        </r>
        <r>
          <rPr>
            <sz val="8"/>
            <color indexed="81"/>
            <rFont val="Tahoma"/>
            <family val="2"/>
          </rPr>
          <t xml:space="preserve">
</t>
        </r>
      </text>
    </comment>
    <comment ref="F62" authorId="1" shapeId="0">
      <text>
        <r>
          <rPr>
            <sz val="8"/>
            <color indexed="81"/>
            <rFont val="Tahoma"/>
            <family val="2"/>
          </rPr>
          <t>Ernte in Grosskisten, sortiert am Baum,
inkl. Transport und Gebindeumschlag)</t>
        </r>
      </text>
    </comment>
    <comment ref="D95" authorId="2" shapeId="0">
      <text>
        <r>
          <rPr>
            <b/>
            <sz val="8"/>
            <color indexed="81"/>
            <rFont val="Tahoma"/>
            <family val="2"/>
          </rPr>
          <t>referent:</t>
        </r>
        <r>
          <rPr>
            <sz val="8"/>
            <color indexed="81"/>
            <rFont val="Tahoma"/>
            <family val="2"/>
          </rPr>
          <t xml:space="preserve">
Transportkosten</t>
        </r>
      </text>
    </comment>
    <comment ref="D105" authorId="0" shapeId="0">
      <text>
        <r>
          <rPr>
            <b/>
            <sz val="8"/>
            <color indexed="81"/>
            <rFont val="Tahoma"/>
            <family val="2"/>
          </rPr>
          <t>FAW:</t>
        </r>
        <r>
          <rPr>
            <sz val="8"/>
            <color indexed="81"/>
            <rFont val="Tahoma"/>
            <family val="2"/>
          </rPr>
          <t xml:space="preserve">
Alle drei Jahre</t>
        </r>
      </text>
    </comment>
    <comment ref="F150" authorId="1" shapeId="0">
      <text>
        <r>
          <rPr>
            <sz val="10"/>
            <color indexed="81"/>
            <rFont val="Tahoma"/>
            <family val="2"/>
          </rPr>
          <t>Sobald abgedeckt muss während ca. 5 Wochen bewässert werden</t>
        </r>
      </text>
    </comment>
  </commentList>
</comments>
</file>

<file path=xl/comments3.xml><?xml version="1.0" encoding="utf-8"?>
<comments xmlns="http://schemas.openxmlformats.org/spreadsheetml/2006/main">
  <authors>
    <author>P. Mouron</author>
    <author>FAW</author>
  </authors>
  <commentList>
    <comment ref="F13" authorId="0" shapeId="0">
      <text>
        <r>
          <rPr>
            <sz val="8"/>
            <color indexed="81"/>
            <rFont val="Tahoma"/>
            <family val="2"/>
          </rPr>
          <t xml:space="preserve">
Traktor mit Normalspur möglich</t>
        </r>
      </text>
    </comment>
    <comment ref="C50" authorId="0" shapeId="0">
      <text>
        <r>
          <rPr>
            <sz val="8"/>
            <color indexed="81"/>
            <rFont val="Tahoma"/>
            <family val="2"/>
          </rPr>
          <t xml:space="preserve">
Faustregel: 10 % der Arbeit</t>
        </r>
      </text>
    </comment>
    <comment ref="C57" authorId="1" shapeId="0">
      <text>
        <r>
          <rPr>
            <sz val="8"/>
            <color indexed="81"/>
            <rFont val="Tahoma"/>
            <family val="2"/>
          </rPr>
          <t xml:space="preserve">Umfang der eingezäunten Fläche abzüglich 2 Tore à je ca. 6 m 
</t>
        </r>
      </text>
    </comment>
    <comment ref="D57" authorId="0" shapeId="0">
      <text>
        <r>
          <rPr>
            <sz val="10"/>
            <color indexed="81"/>
            <rFont val="Tahoma"/>
            <family val="2"/>
          </rPr>
          <t>Ursus Knotengitter schwer (Hortima)
Typ 11/120 (Abstände der Querdrähte 15cm)
Preis: 9.55 Fr. per lm
Ab 2000 Fr.  gibt es 15% Rabatt
Variante
Ursus Knotengitter leicht,Typ 23/160 
Preis: 8.25 Fr. per lm</t>
        </r>
      </text>
    </comment>
    <comment ref="B58" authorId="1" shapeId="0">
      <text>
        <r>
          <rPr>
            <sz val="9"/>
            <color indexed="81"/>
            <rFont val="Tahoma"/>
            <family val="2"/>
          </rPr>
          <t>200cm Länge, 7x7 cm Dimension; nur oben gefasst</t>
        </r>
      </text>
    </comment>
    <comment ref="C58" authorId="1" shapeId="0">
      <text>
        <r>
          <rPr>
            <sz val="9"/>
            <color indexed="81"/>
            <rFont val="Tahoma"/>
            <family val="2"/>
          </rPr>
          <t>Jeder 5te Pfahl ist ein stärkerer, dh. von 100 sind 20 Pfähle stärker</t>
        </r>
      </text>
    </comment>
    <comment ref="D58" authorId="1" shapeId="0">
      <text>
        <r>
          <rPr>
            <sz val="9"/>
            <color indexed="81"/>
            <rFont val="Tahoma"/>
            <family val="2"/>
          </rPr>
          <t>ab 1000 Fr. 10% Rabatt, urspr. Stückpreis war 13.9 Fr.</t>
        </r>
      </text>
    </comment>
    <comment ref="B59" authorId="1" shapeId="0">
      <text>
        <r>
          <rPr>
            <sz val="9"/>
            <color indexed="81"/>
            <rFont val="Tahoma"/>
            <family val="2"/>
          </rPr>
          <t>225 cm lang; 8x8cm Dimension, nur oben gefasst</t>
        </r>
      </text>
    </comment>
    <comment ref="D59" authorId="1" shapeId="0">
      <text>
        <r>
          <rPr>
            <sz val="9"/>
            <color indexed="81"/>
            <rFont val="Tahoma"/>
            <family val="2"/>
          </rPr>
          <t>es werden 20 Pfähle gekauft da es dann Rabatt von 3% gibt (ab 300 Fr.), urspr. Stückpreis 21.4</t>
        </r>
      </text>
    </comment>
    <comment ref="B60" authorId="1" shapeId="0">
      <text>
        <r>
          <rPr>
            <sz val="9"/>
            <color indexed="81"/>
            <rFont val="Tahoma"/>
            <family val="2"/>
          </rPr>
          <t>225 cm lang; 8x10cm Dimension, nur oben gefasst; für die Befestigung der Tore gebraucht</t>
        </r>
      </text>
    </comment>
    <comment ref="D61" authorId="1" shapeId="0">
      <text>
        <r>
          <rPr>
            <sz val="9"/>
            <color indexed="81"/>
            <rFont val="Tahoma"/>
            <family val="2"/>
          </rPr>
          <t>je nach Schiebetor etwas billiger/teurer.
Angaben von Durchschnittspreis von Roland Rot</t>
        </r>
      </text>
    </comment>
    <comment ref="B62" authorId="1" shapeId="0">
      <text>
        <r>
          <rPr>
            <sz val="9"/>
            <color indexed="81"/>
            <rFont val="Tahoma"/>
            <family val="2"/>
          </rPr>
          <t>Eisendraht stark verzinkt, 3mm Durchmesser, ca 18m per kg</t>
        </r>
      </text>
    </comment>
    <comment ref="B63" authorId="1" shapeId="0">
      <text>
        <r>
          <rPr>
            <sz val="10"/>
            <color indexed="81"/>
            <rFont val="Tahoma"/>
            <family val="2"/>
          </rPr>
          <t>verzinkt, 4.0/ 40mm , 150 Stk./kg
Pro Pfahl 4 x Agraffen=400</t>
        </r>
      </text>
    </comment>
    <comment ref="B65" authorId="1" shapeId="0">
      <text>
        <r>
          <rPr>
            <sz val="8"/>
            <color indexed="81"/>
            <rFont val="Tahoma"/>
            <family val="2"/>
          </rPr>
          <t>Gemäss Anbauempfehlungen NW Schweiz: Kt. BL gibt 3 Fr. pro Laufmeter Knotengitter, dh. 1194 Fr. pro ha</t>
        </r>
      </text>
    </comment>
    <comment ref="D103" authorId="0" shapeId="0">
      <text>
        <r>
          <rPr>
            <sz val="8"/>
            <color indexed="81"/>
            <rFont val="Tahoma"/>
            <family val="2"/>
          </rPr>
          <t xml:space="preserve">
ohne Folienmontage (10
Zkh)</t>
        </r>
      </text>
    </comment>
    <comment ref="D106" authorId="0" shapeId="0">
      <text>
        <r>
          <rPr>
            <sz val="8"/>
            <color indexed="81"/>
            <rFont val="Tahoma"/>
            <family val="2"/>
          </rPr>
          <t xml:space="preserve">
ohne Folien Montage (150 Akh)</t>
        </r>
      </text>
    </comment>
    <comment ref="A109" authorId="1" shapeId="0">
      <text>
        <r>
          <rPr>
            <sz val="10"/>
            <color indexed="81"/>
            <rFont val="Tahoma"/>
            <family val="2"/>
          </rPr>
          <t>34 x 2.3m x 108m</t>
        </r>
      </text>
    </comment>
    <comment ref="A139" authorId="1" shapeId="0">
      <text>
        <r>
          <rPr>
            <sz val="8"/>
            <color indexed="81"/>
            <rFont val="Tahoma"/>
            <family val="2"/>
          </rPr>
          <t>Exklusiv: Bewässerungscomputer, Pumpe
Kosten der Bewässerungsanlage innerhalb der Parzelle (ohne den Weg der Anlage bis zur Parzelle da sehr individuell)</t>
        </r>
      </text>
    </comment>
    <comment ref="D144" authorId="1" shapeId="0">
      <text>
        <r>
          <rPr>
            <sz val="8"/>
            <color indexed="81"/>
            <rFont val="Tahoma"/>
            <family val="2"/>
          </rPr>
          <t xml:space="preserve">Bei Tropfschlauchanlage ca. 80 h </t>
        </r>
      </text>
    </comment>
  </commentList>
</comments>
</file>

<file path=xl/comments4.xml><?xml version="1.0" encoding="utf-8"?>
<comments xmlns="http://schemas.openxmlformats.org/spreadsheetml/2006/main">
  <authors>
    <author>FAW</author>
    <author>P. Mouron</author>
  </authors>
  <commentList>
    <comment ref="F5" authorId="0" shapeId="0">
      <text>
        <r>
          <rPr>
            <sz val="9"/>
            <color indexed="81"/>
            <rFont val="Tahoma"/>
            <family val="2"/>
          </rPr>
          <t>P. Mouron: Diese Seite ist schreibgeschützt. Der Schutz kann aufgehoben werden mit dem Kennwort "Arbokost"</t>
        </r>
      </text>
    </comment>
    <comment ref="T5" authorId="0" shapeId="0">
      <text>
        <r>
          <rPr>
            <sz val="9"/>
            <color indexed="81"/>
            <rFont val="Tahoma"/>
            <family val="2"/>
          </rPr>
          <t>P. Mouron: Diese Seite ist schreibgeschützt. Der Schutz kann aufgehoben werden mit dem Kennwort "Arbokost"</t>
        </r>
      </text>
    </comment>
    <comment ref="C16" authorId="1" shapeId="0">
      <text>
        <r>
          <rPr>
            <b/>
            <sz val="8"/>
            <color indexed="81"/>
            <rFont val="Tahoma"/>
            <family val="2"/>
          </rPr>
          <t>P. Mouron:</t>
        </r>
        <r>
          <rPr>
            <sz val="8"/>
            <color indexed="81"/>
            <rFont val="Tahoma"/>
            <family val="2"/>
          </rPr>
          <t xml:space="preserve">
keine düngung verrechnet, weil Dünger von erstellung teilweise während dem  1. Standjahr verabreicht wird.</t>
        </r>
      </text>
    </comment>
    <comment ref="C19" authorId="1" shapeId="0">
      <text>
        <r>
          <rPr>
            <b/>
            <sz val="8"/>
            <color indexed="81"/>
            <rFont val="Tahoma"/>
            <family val="2"/>
          </rPr>
          <t>P. Mouron:</t>
        </r>
        <r>
          <rPr>
            <sz val="8"/>
            <color indexed="81"/>
            <rFont val="Tahoma"/>
            <family val="2"/>
          </rPr>
          <t xml:space="preserve">
Anzahl Fahrten
</t>
        </r>
      </text>
    </comment>
    <comment ref="D38" authorId="1" shapeId="0">
      <text>
        <r>
          <rPr>
            <sz val="10"/>
            <color indexed="81"/>
            <rFont val="Tahoma"/>
            <family val="2"/>
          </rPr>
          <t>für Lager von PBM, Dünger und Gebinde.
Sortierraum 0.5 Belegt durch Kirschenproduktion. Quelle: Flugschrift 61, Tab. 18</t>
        </r>
        <r>
          <rPr>
            <sz val="8"/>
            <color indexed="81"/>
            <rFont val="Tahoma"/>
            <family val="2"/>
          </rPr>
          <t xml:space="preserve">
</t>
        </r>
      </text>
    </comment>
    <comment ref="K38" authorId="1" shapeId="0">
      <text>
        <r>
          <rPr>
            <sz val="10"/>
            <color indexed="81"/>
            <rFont val="Tahoma"/>
            <family val="2"/>
          </rPr>
          <t>für Lager von PBM, Dünger und Gebinde.</t>
        </r>
        <r>
          <rPr>
            <sz val="8"/>
            <color indexed="81"/>
            <rFont val="Tahoma"/>
            <family val="2"/>
          </rPr>
          <t xml:space="preserve">
</t>
        </r>
      </text>
    </comment>
    <comment ref="R38" authorId="1" shapeId="0">
      <text>
        <r>
          <rPr>
            <sz val="10"/>
            <color indexed="81"/>
            <rFont val="Tahoma"/>
            <family val="2"/>
          </rPr>
          <t>für Lager von PBM, Dünger und Gebinde.</t>
        </r>
        <r>
          <rPr>
            <sz val="8"/>
            <color indexed="81"/>
            <rFont val="Tahoma"/>
            <family val="2"/>
          </rPr>
          <t xml:space="preserve">
</t>
        </r>
      </text>
    </comment>
    <comment ref="Y38" authorId="1" shapeId="0">
      <text>
        <r>
          <rPr>
            <sz val="10"/>
            <color indexed="81"/>
            <rFont val="Tahoma"/>
            <family val="2"/>
          </rPr>
          <t>für Lager von PBM, Dünger und Gebinde.</t>
        </r>
        <r>
          <rPr>
            <sz val="8"/>
            <color indexed="81"/>
            <rFont val="Tahoma"/>
            <family val="2"/>
          </rPr>
          <t xml:space="preserve">
</t>
        </r>
      </text>
    </comment>
    <comment ref="AF38" authorId="1" shapeId="0">
      <text>
        <r>
          <rPr>
            <sz val="10"/>
            <color indexed="81"/>
            <rFont val="Tahoma"/>
            <family val="2"/>
          </rPr>
          <t>für Lager von PBM, Dünger und Gebinde.</t>
        </r>
        <r>
          <rPr>
            <sz val="8"/>
            <color indexed="81"/>
            <rFont val="Tahoma"/>
            <family val="2"/>
          </rPr>
          <t xml:space="preserve">
</t>
        </r>
      </text>
    </comment>
    <comment ref="AT38" authorId="1" shapeId="0">
      <text>
        <r>
          <rPr>
            <sz val="10"/>
            <color indexed="81"/>
            <rFont val="Tahoma"/>
            <family val="2"/>
          </rPr>
          <t>für Lager von PBM, Dünger und Gebinde.</t>
        </r>
        <r>
          <rPr>
            <sz val="8"/>
            <color indexed="81"/>
            <rFont val="Tahoma"/>
            <family val="2"/>
          </rPr>
          <t xml:space="preserve">
</t>
        </r>
      </text>
    </comment>
    <comment ref="BA38" authorId="1" shapeId="0">
      <text>
        <r>
          <rPr>
            <sz val="10"/>
            <color indexed="81"/>
            <rFont val="Tahoma"/>
            <family val="2"/>
          </rPr>
          <t>für Lager von PBM, Dünger und Gebinde.</t>
        </r>
        <r>
          <rPr>
            <sz val="8"/>
            <color indexed="81"/>
            <rFont val="Tahoma"/>
            <family val="2"/>
          </rPr>
          <t xml:space="preserve">
</t>
        </r>
      </text>
    </comment>
    <comment ref="BH38" authorId="1" shapeId="0">
      <text>
        <r>
          <rPr>
            <sz val="10"/>
            <color indexed="81"/>
            <rFont val="Tahoma"/>
            <family val="2"/>
          </rPr>
          <t>für Lager von PBM, Dünger und Gebinde.</t>
        </r>
        <r>
          <rPr>
            <sz val="8"/>
            <color indexed="81"/>
            <rFont val="Tahoma"/>
            <family val="2"/>
          </rPr>
          <t xml:space="preserve">
</t>
        </r>
      </text>
    </comment>
    <comment ref="BO38" authorId="1" shapeId="0">
      <text>
        <r>
          <rPr>
            <sz val="10"/>
            <color indexed="81"/>
            <rFont val="Tahoma"/>
            <family val="2"/>
          </rPr>
          <t>für Lager von PBM, Dünger und Gebinde.</t>
        </r>
        <r>
          <rPr>
            <sz val="8"/>
            <color indexed="81"/>
            <rFont val="Tahoma"/>
            <family val="2"/>
          </rPr>
          <t xml:space="preserve">
</t>
        </r>
      </text>
    </comment>
    <comment ref="BV38" authorId="1" shapeId="0">
      <text>
        <r>
          <rPr>
            <sz val="10"/>
            <color indexed="81"/>
            <rFont val="Tahoma"/>
            <family val="2"/>
          </rPr>
          <t>für Lager von PBM, Dünger und Gebinde.</t>
        </r>
        <r>
          <rPr>
            <sz val="8"/>
            <color indexed="81"/>
            <rFont val="Tahoma"/>
            <family val="2"/>
          </rPr>
          <t xml:space="preserve">
</t>
        </r>
      </text>
    </comment>
    <comment ref="CC38" authorId="1" shapeId="0">
      <text>
        <r>
          <rPr>
            <sz val="10"/>
            <color indexed="81"/>
            <rFont val="Tahoma"/>
            <family val="2"/>
          </rPr>
          <t>für Lager von PBM, Dünger und Gebinde.</t>
        </r>
        <r>
          <rPr>
            <sz val="8"/>
            <color indexed="81"/>
            <rFont val="Tahoma"/>
            <family val="2"/>
          </rPr>
          <t xml:space="preserve">
</t>
        </r>
      </text>
    </comment>
    <comment ref="CJ38" authorId="1" shapeId="0">
      <text>
        <r>
          <rPr>
            <sz val="10"/>
            <color indexed="81"/>
            <rFont val="Tahoma"/>
            <family val="2"/>
          </rPr>
          <t>für Lager von PBM, Dünger und Gebinde.</t>
        </r>
        <r>
          <rPr>
            <sz val="8"/>
            <color indexed="81"/>
            <rFont val="Tahoma"/>
            <family val="2"/>
          </rPr>
          <t xml:space="preserve">
</t>
        </r>
      </text>
    </comment>
    <comment ref="CQ38" authorId="1" shapeId="0">
      <text>
        <r>
          <rPr>
            <sz val="10"/>
            <color indexed="81"/>
            <rFont val="Tahoma"/>
            <family val="2"/>
          </rPr>
          <t>für Lager von PBM, Dünger und Gebinde.</t>
        </r>
        <r>
          <rPr>
            <sz val="8"/>
            <color indexed="81"/>
            <rFont val="Tahoma"/>
            <family val="2"/>
          </rPr>
          <t xml:space="preserve">
</t>
        </r>
      </text>
    </comment>
    <comment ref="CX38" authorId="1" shapeId="0">
      <text>
        <r>
          <rPr>
            <sz val="10"/>
            <color indexed="81"/>
            <rFont val="Tahoma"/>
            <family val="2"/>
          </rPr>
          <t>für Lager von PBM, Dünger und Gebinde.</t>
        </r>
        <r>
          <rPr>
            <sz val="8"/>
            <color indexed="81"/>
            <rFont val="Tahoma"/>
            <family val="2"/>
          </rPr>
          <t xml:space="preserve">
</t>
        </r>
      </text>
    </comment>
    <comment ref="DE38" authorId="1" shapeId="0">
      <text>
        <r>
          <rPr>
            <sz val="10"/>
            <color indexed="81"/>
            <rFont val="Tahoma"/>
            <family val="2"/>
          </rPr>
          <t>für Lager von PBM, Dünger und Gebinde.</t>
        </r>
        <r>
          <rPr>
            <sz val="8"/>
            <color indexed="81"/>
            <rFont val="Tahoma"/>
            <family val="2"/>
          </rPr>
          <t xml:space="preserve">
</t>
        </r>
      </text>
    </comment>
    <comment ref="DC74" authorId="1" shapeId="0">
      <text>
        <r>
          <rPr>
            <b/>
            <sz val="8"/>
            <color indexed="81"/>
            <rFont val="Tahoma"/>
            <family val="2"/>
          </rPr>
          <t>P. Mouron:</t>
        </r>
        <r>
          <rPr>
            <sz val="8"/>
            <color indexed="81"/>
            <rFont val="Tahoma"/>
            <family val="2"/>
          </rPr>
          <t xml:space="preserve">
Rodungskosten fallen im letzten Jahr an.
</t>
        </r>
      </text>
    </comment>
  </commentList>
</comments>
</file>

<file path=xl/comments5.xml><?xml version="1.0" encoding="utf-8"?>
<comments xmlns="http://schemas.openxmlformats.org/spreadsheetml/2006/main">
  <authors>
    <author>P. Mouron</author>
  </authors>
  <commentList>
    <comment ref="E6" authorId="0" shapeId="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C17" authorId="0" shapeId="0">
      <text>
        <r>
          <rPr>
            <sz val="8"/>
            <color indexed="81"/>
            <rFont val="Tahoma"/>
            <family val="2"/>
          </rPr>
          <t xml:space="preserve">
Anzahl Fahrten
</t>
        </r>
      </text>
    </comment>
    <comment ref="C30" authorId="0" shapeId="0">
      <text>
        <r>
          <rPr>
            <sz val="8"/>
            <color indexed="81"/>
            <rFont val="Tahoma"/>
            <family val="2"/>
          </rPr>
          <t xml:space="preserve">
Annahme: Eine 2. Folie ist ca. im 10 Stj. Notwendig.
Zur Vereinfachung wird gerechnet, wie wenn die Folie zu Beginn Vollertrag bereitsgekauft wäre. Deshalb die Abschreibedauer von 12 J., obwohl für die Folie nur mit einer Einsatzdauer von 7 ausgegangen werden kann. </t>
        </r>
      </text>
    </comment>
    <comment ref="E37" authorId="0" shapeId="0">
      <text>
        <r>
          <rPr>
            <sz val="8"/>
            <color indexed="81"/>
            <rFont val="Tahoma"/>
            <family val="2"/>
          </rPr>
          <t xml:space="preserve">
Fr./Durchgang = Fr./ha weil Arbokost die Kosten für 1 ha ausweist
FAT-Ansätze für fixe+variable Kosten</t>
        </r>
      </text>
    </comment>
    <comment ref="A75" authorId="0" shapeId="0">
      <text>
        <r>
          <rPr>
            <sz val="10"/>
            <color indexed="81"/>
            <rFont val="Tahoma"/>
            <family val="2"/>
          </rPr>
          <t>Wenn dieser Betrag mit dem Gesamterlös im Durchschnitt nicht gedeckt werden kann, sollte die Parzelle gerodet werden.
Mit dem Betriebsminimum werden die variablen Kosten gedeckt. Nicht gedeckt sind: Abschreibung Obstanlage, Abschreibung Maschinen und Zinsanspruch</t>
        </r>
      </text>
    </comment>
  </commentList>
</comments>
</file>

<file path=xl/comments6.xml><?xml version="1.0" encoding="utf-8"?>
<comments xmlns="http://schemas.openxmlformats.org/spreadsheetml/2006/main">
  <authors>
    <author>FAW</author>
    <author>P. Mouron</author>
    <author>referent</author>
  </authors>
  <commentList>
    <comment ref="B11" authorId="0" shapeId="0">
      <text>
        <r>
          <rPr>
            <sz val="11"/>
            <color indexed="81"/>
            <rFont val="Tahoma"/>
            <family val="2"/>
          </rPr>
          <t>Berechnung siehe Tabelle "Standard Erstellung"</t>
        </r>
      </text>
    </comment>
    <comment ref="A26" authorId="0" shapeId="0">
      <text>
        <r>
          <rPr>
            <sz val="8"/>
            <color indexed="81"/>
            <rFont val="Tahoma"/>
            <family val="2"/>
          </rPr>
          <t>Quelle M Salathé:
Kordia benötigt keine Lizenz</t>
        </r>
      </text>
    </comment>
    <comment ref="C36" authorId="1" shapeId="0">
      <text>
        <r>
          <rPr>
            <sz val="10"/>
            <color indexed="81"/>
            <rFont val="Tahoma"/>
            <family val="2"/>
          </rPr>
          <t>Nach FAT
genauer Faktor bei 12 Jahren Abschreibungsdauer: 0.542</t>
        </r>
      </text>
    </comment>
    <comment ref="B40" authorId="0" shapeId="0">
      <text>
        <r>
          <rPr>
            <sz val="10"/>
            <color indexed="81"/>
            <rFont val="Tahoma"/>
            <family val="2"/>
          </rPr>
          <t>lose Ware netto , Fr/kg ohne Gebinde</t>
        </r>
      </text>
    </comment>
    <comment ref="C40" authorId="0" shapeId="0">
      <text>
        <r>
          <rPr>
            <sz val="10"/>
            <color indexed="81"/>
            <rFont val="Tahoma"/>
            <family val="2"/>
          </rPr>
          <t>Je Schale von 500 g netto, Fr./kg ohne Gebinde</t>
        </r>
        <r>
          <rPr>
            <sz val="8"/>
            <color indexed="81"/>
            <rFont val="Tahoma"/>
            <family val="2"/>
          </rPr>
          <t xml:space="preserve">
</t>
        </r>
      </text>
    </comment>
    <comment ref="D40" authorId="0" shapeId="0">
      <text>
        <r>
          <rPr>
            <sz val="10"/>
            <color indexed="81"/>
            <rFont val="Tahoma"/>
            <family val="2"/>
          </rPr>
          <t>Schale von 500g netto, Fr./kg ohne Gebinde</t>
        </r>
        <r>
          <rPr>
            <sz val="8"/>
            <color indexed="81"/>
            <rFont val="Tahoma"/>
            <family val="2"/>
          </rPr>
          <t xml:space="preserve">
</t>
        </r>
      </text>
    </comment>
    <comment ref="F63" authorId="1" shapeId="0">
      <text>
        <r>
          <rPr>
            <sz val="8"/>
            <color indexed="81"/>
            <rFont val="Tahoma"/>
            <family val="2"/>
          </rPr>
          <t>Ernte in Grosskisten, grob sortiert am Baum,
inkl. Transport und Gebindeumschlag)</t>
        </r>
      </text>
    </comment>
    <comment ref="D96" authorId="2" shapeId="0">
      <text>
        <r>
          <rPr>
            <b/>
            <sz val="8"/>
            <color indexed="81"/>
            <rFont val="Tahoma"/>
            <family val="2"/>
          </rPr>
          <t>referent:</t>
        </r>
        <r>
          <rPr>
            <sz val="8"/>
            <color indexed="81"/>
            <rFont val="Tahoma"/>
            <family val="2"/>
          </rPr>
          <t xml:space="preserve">
Transportkosten</t>
        </r>
      </text>
    </comment>
    <comment ref="D106" authorId="0" shapeId="0">
      <text>
        <r>
          <rPr>
            <b/>
            <sz val="8"/>
            <color indexed="81"/>
            <rFont val="Tahoma"/>
            <family val="2"/>
          </rPr>
          <t>FAW:</t>
        </r>
        <r>
          <rPr>
            <sz val="8"/>
            <color indexed="81"/>
            <rFont val="Tahoma"/>
            <family val="2"/>
          </rPr>
          <t xml:space="preserve">
Alle drei Jahre</t>
        </r>
      </text>
    </comment>
    <comment ref="C130" authorId="0" shapeId="0">
      <text>
        <r>
          <rPr>
            <sz val="10"/>
            <color indexed="81"/>
            <rFont val="Tahoma"/>
            <family val="2"/>
          </rPr>
          <t>Diese Angaben sind inklusiv zB. Spritzen füllen,vorbereiten der Maschinen, wenden usw.</t>
        </r>
      </text>
    </comment>
    <comment ref="D130" authorId="1" shapeId="0">
      <text>
        <r>
          <rPr>
            <sz val="10"/>
            <color indexed="81"/>
            <rFont val="Tahoma"/>
            <family val="2"/>
          </rPr>
          <t>Fr./Durchgang = Fr./ha , weil Arbokost die Kosten für 1 ha ausweist
FAT-Ansätze für fixe+variable Kosten</t>
        </r>
      </text>
    </comment>
    <comment ref="D132" authorId="1" shapeId="0">
      <text>
        <r>
          <rPr>
            <sz val="10"/>
            <color indexed="81"/>
            <rFont val="Tahoma"/>
            <family val="2"/>
          </rPr>
          <t xml:space="preserve">Angaben  ASA, Betrieb Nr. 17
</t>
        </r>
      </text>
    </comment>
    <comment ref="F151" authorId="1" shapeId="0">
      <text>
        <r>
          <rPr>
            <sz val="10"/>
            <color indexed="81"/>
            <rFont val="Tahoma"/>
            <family val="2"/>
          </rPr>
          <t>Sobald abgedeckt muss während ca. 5 Wochen bewässert werden</t>
        </r>
      </text>
    </comment>
  </commentList>
</comments>
</file>

<file path=xl/comments7.xml><?xml version="1.0" encoding="utf-8"?>
<comments xmlns="http://schemas.openxmlformats.org/spreadsheetml/2006/main">
  <authors>
    <author>P. Mouron</author>
    <author>FAW</author>
  </authors>
  <commentList>
    <comment ref="F13" authorId="0" shapeId="0">
      <text>
        <r>
          <rPr>
            <sz val="8"/>
            <color indexed="81"/>
            <rFont val="Tahoma"/>
            <family val="2"/>
          </rPr>
          <t xml:space="preserve">
Traktor mit Normalspur möglich</t>
        </r>
      </text>
    </comment>
    <comment ref="C50" authorId="0" shapeId="0">
      <text>
        <r>
          <rPr>
            <sz val="8"/>
            <color indexed="81"/>
            <rFont val="Tahoma"/>
            <family val="2"/>
          </rPr>
          <t xml:space="preserve">
Faustregel: 10 % der Arbeit</t>
        </r>
      </text>
    </comment>
    <comment ref="C57" authorId="1" shapeId="0">
      <text>
        <r>
          <rPr>
            <sz val="8"/>
            <color indexed="81"/>
            <rFont val="Tahoma"/>
            <family val="2"/>
          </rPr>
          <t xml:space="preserve">Umfang der eingezäunten Fläche abzüglich 2 Tore à je ca. 6 m 
</t>
        </r>
      </text>
    </comment>
    <comment ref="D57" authorId="0" shapeId="0">
      <text>
        <r>
          <rPr>
            <sz val="10"/>
            <color indexed="81"/>
            <rFont val="Tahoma"/>
            <family val="2"/>
          </rPr>
          <t>Ursus Knotengitter schwer (Hortima)
Typ 11/120 (Abstände der Querdrähte 15cm)
Preis: 9.55 Fr. per lm
Ab 2000 Fr.  gibt es 15% Rabatt
Variante
Ursus Knotengitter leicht,Typ 23/160 
Preis: 8.25 Fr. per lm</t>
        </r>
      </text>
    </comment>
    <comment ref="B58" authorId="1" shapeId="0">
      <text>
        <r>
          <rPr>
            <sz val="9"/>
            <color indexed="81"/>
            <rFont val="Tahoma"/>
            <family val="2"/>
          </rPr>
          <t>200cm Länge, 7x7 cm Dimension; nur oben gefasst</t>
        </r>
      </text>
    </comment>
    <comment ref="C58" authorId="1" shapeId="0">
      <text>
        <r>
          <rPr>
            <sz val="9"/>
            <color indexed="81"/>
            <rFont val="Tahoma"/>
            <family val="2"/>
          </rPr>
          <t>Jeder 5te Pfahl ist ein stärkerer, dh. von 100 sind 20 Pfähle stärker</t>
        </r>
      </text>
    </comment>
    <comment ref="D58" authorId="1" shapeId="0">
      <text>
        <r>
          <rPr>
            <sz val="9"/>
            <color indexed="81"/>
            <rFont val="Tahoma"/>
            <family val="2"/>
          </rPr>
          <t>ab 1000 Fr. 10% Rabatt, urspr. Stückpreis war 13.90 Fr.</t>
        </r>
      </text>
    </comment>
    <comment ref="B59" authorId="1" shapeId="0">
      <text>
        <r>
          <rPr>
            <sz val="9"/>
            <color indexed="81"/>
            <rFont val="Tahoma"/>
            <family val="2"/>
          </rPr>
          <t>225 cm lang; 8x8cm Dimension, nur oben gefasst</t>
        </r>
      </text>
    </comment>
    <comment ref="D59" authorId="1" shapeId="0">
      <text>
        <r>
          <rPr>
            <sz val="9"/>
            <color indexed="81"/>
            <rFont val="Tahoma"/>
            <family val="2"/>
          </rPr>
          <t>es werden 20 Pfähle gekauft da es dann Rabatt von 3% gibt (ab 300 Fr.), urspr. Stückpreis 21.4</t>
        </r>
      </text>
    </comment>
    <comment ref="B60" authorId="1" shapeId="0">
      <text>
        <r>
          <rPr>
            <sz val="9"/>
            <color indexed="81"/>
            <rFont val="Tahoma"/>
            <family val="2"/>
          </rPr>
          <t>225 cm lang; 8x10cm Dimension, nur oben gefasst; für die Befestigung der Tore gebraucht</t>
        </r>
      </text>
    </comment>
    <comment ref="D61" authorId="1" shapeId="0">
      <text>
        <r>
          <rPr>
            <sz val="9"/>
            <color indexed="81"/>
            <rFont val="Tahoma"/>
            <family val="2"/>
          </rPr>
          <t>je nach Schiebetor etwas billiger/teurer.
Angaben von Durchschnittspreis von Roland Rot</t>
        </r>
      </text>
    </comment>
    <comment ref="B62" authorId="1" shapeId="0">
      <text>
        <r>
          <rPr>
            <sz val="9"/>
            <color indexed="81"/>
            <rFont val="Tahoma"/>
            <family val="2"/>
          </rPr>
          <t>Eisendraht stark verzinkt, 3mm Durchmesser, ca 18m per kg</t>
        </r>
      </text>
    </comment>
    <comment ref="B63" authorId="1" shapeId="0">
      <text>
        <r>
          <rPr>
            <sz val="10"/>
            <color indexed="81"/>
            <rFont val="Tahoma"/>
            <family val="2"/>
          </rPr>
          <t>verzinkt, 4.0/ 40mm , 150 Stk./kg
Pro Pfahl 4 x Agraffen=400</t>
        </r>
      </text>
    </comment>
    <comment ref="B65" authorId="1" shapeId="0">
      <text>
        <r>
          <rPr>
            <sz val="8"/>
            <color indexed="81"/>
            <rFont val="Tahoma"/>
            <family val="2"/>
          </rPr>
          <t>Gemäss Anbauempfehlungen NW Schweiz: Kt. BL gibt 3 Fr. pro Laufmeter Knotengitter, dh. 1194 Fr. pro ha</t>
        </r>
      </text>
    </comment>
    <comment ref="D103" authorId="0" shapeId="0">
      <text>
        <r>
          <rPr>
            <sz val="8"/>
            <color indexed="81"/>
            <rFont val="Tahoma"/>
            <family val="2"/>
          </rPr>
          <t xml:space="preserve">
ohne Folienmontage (10
Zkh)</t>
        </r>
      </text>
    </comment>
    <comment ref="D106" authorId="0" shapeId="0">
      <text>
        <r>
          <rPr>
            <sz val="8"/>
            <color indexed="81"/>
            <rFont val="Tahoma"/>
            <family val="2"/>
          </rPr>
          <t xml:space="preserve">
ohne Folien Montage (150 Akh)</t>
        </r>
      </text>
    </comment>
    <comment ref="A109" authorId="1" shapeId="0">
      <text>
        <r>
          <rPr>
            <sz val="10"/>
            <color indexed="81"/>
            <rFont val="Tahoma"/>
            <family val="2"/>
          </rPr>
          <t>34 x 2.3m x 108m</t>
        </r>
      </text>
    </comment>
    <comment ref="A139" authorId="1" shapeId="0">
      <text>
        <r>
          <rPr>
            <sz val="8"/>
            <color indexed="81"/>
            <rFont val="Tahoma"/>
            <family val="2"/>
          </rPr>
          <t>Exklusiv: Bewässerungscomputer, Pumpe
Kosten der Bewässerungsanlage innerhalb der Parzelle (ohne den Weg der Anlage bis zur Parzelle da sehr individuell)</t>
        </r>
      </text>
    </comment>
    <comment ref="D144" authorId="1" shapeId="0">
      <text>
        <r>
          <rPr>
            <sz val="8"/>
            <color indexed="81"/>
            <rFont val="Tahoma"/>
            <family val="2"/>
          </rPr>
          <t xml:space="preserve">Bei Tropfschlauchanlage ca. 80 h </t>
        </r>
      </text>
    </comment>
  </commentList>
</comments>
</file>

<file path=xl/comments8.xml><?xml version="1.0" encoding="utf-8"?>
<comments xmlns="http://schemas.openxmlformats.org/spreadsheetml/2006/main">
  <authors>
    <author>FAW</author>
    <author>P. Mouron</author>
  </authors>
  <commentList>
    <comment ref="F5" authorId="0" shapeId="0">
      <text>
        <r>
          <rPr>
            <sz val="9"/>
            <color indexed="81"/>
            <rFont val="Tahoma"/>
            <family val="2"/>
          </rPr>
          <t>Diese Seite ist schreibgeschützt. Der Schutz kann aufgehoben werden mit dem Kennwort "Arbokost"</t>
        </r>
      </text>
    </comment>
    <comment ref="CL5" authorId="0" shapeId="0">
      <text>
        <r>
          <rPr>
            <sz val="9"/>
            <color indexed="81"/>
            <rFont val="Tahoma"/>
            <family val="2"/>
          </rPr>
          <t>P. Mouron: Diese Seite ist schreibgeschützt. Der Schutz kann aufgehoben werden mit dem Kennwort "Arbokost"</t>
        </r>
      </text>
    </comment>
    <comment ref="CZ5" authorId="0" shapeId="0">
      <text>
        <r>
          <rPr>
            <sz val="9"/>
            <color indexed="81"/>
            <rFont val="Tahoma"/>
            <family val="2"/>
          </rPr>
          <t>P. Mouron: Diese Seite ist schreibgeschützt. Der Schutz kann aufgehoben werden mit dem Kennwort "Arbokost"</t>
        </r>
      </text>
    </comment>
    <comment ref="C16" authorId="1" shapeId="0">
      <text>
        <r>
          <rPr>
            <sz val="8"/>
            <color indexed="81"/>
            <rFont val="Tahoma"/>
            <family val="2"/>
          </rPr>
          <t>keine düngung verrechnet, weil Dünger von erstellung teilweise während dem  1. Standjahr verabreicht wird.</t>
        </r>
      </text>
    </comment>
    <comment ref="C19" authorId="1" shapeId="0">
      <text>
        <r>
          <rPr>
            <sz val="8"/>
            <color indexed="81"/>
            <rFont val="Tahoma"/>
            <family val="2"/>
          </rPr>
          <t xml:space="preserve">
Anzahl Fahrten
</t>
        </r>
      </text>
    </comment>
    <comment ref="D39" authorId="1" shapeId="0">
      <text>
        <r>
          <rPr>
            <sz val="10"/>
            <color indexed="81"/>
            <rFont val="Tahoma"/>
            <family val="2"/>
          </rPr>
          <t>für Lager von PBM, Dünger und Gebinde.
Sortierraum 0.5 Belegt durch Kirschenproduktion. Quelle: Flugschrift 61, Tab. 18</t>
        </r>
        <r>
          <rPr>
            <sz val="8"/>
            <color indexed="81"/>
            <rFont val="Tahoma"/>
            <family val="2"/>
          </rPr>
          <t xml:space="preserve">
</t>
        </r>
      </text>
    </comment>
    <comment ref="K39" authorId="1" shapeId="0">
      <text>
        <r>
          <rPr>
            <sz val="10"/>
            <color indexed="81"/>
            <rFont val="Tahoma"/>
            <family val="2"/>
          </rPr>
          <t>für Lager von PBM, Dünger und Gebinde.</t>
        </r>
        <r>
          <rPr>
            <sz val="8"/>
            <color indexed="81"/>
            <rFont val="Tahoma"/>
            <family val="2"/>
          </rPr>
          <t xml:space="preserve">
Quelle: Flugschrift 61, Tab. 18</t>
        </r>
      </text>
    </comment>
    <comment ref="R39" authorId="1" shapeId="0">
      <text>
        <r>
          <rPr>
            <sz val="10"/>
            <color indexed="81"/>
            <rFont val="Tahoma"/>
            <family val="2"/>
          </rPr>
          <t>für Lager von PBM, Dünger und Gebinde.</t>
        </r>
        <r>
          <rPr>
            <sz val="8"/>
            <color indexed="81"/>
            <rFont val="Tahoma"/>
            <family val="2"/>
          </rPr>
          <t xml:space="preserve">
Quelle: Flugschrift 61, Tab. 18</t>
        </r>
      </text>
    </comment>
    <comment ref="Y39" authorId="1" shapeId="0">
      <text>
        <r>
          <rPr>
            <sz val="10"/>
            <color indexed="81"/>
            <rFont val="Tahoma"/>
            <family val="2"/>
          </rPr>
          <t>für Lager von PBM, Dünger und Gebinde.</t>
        </r>
        <r>
          <rPr>
            <sz val="8"/>
            <color indexed="81"/>
            <rFont val="Tahoma"/>
            <family val="2"/>
          </rPr>
          <t xml:space="preserve">
Quelle: Flugschrift 61, Tab. 18</t>
        </r>
      </text>
    </comment>
    <comment ref="AF39" authorId="1" shapeId="0">
      <text>
        <r>
          <rPr>
            <sz val="10"/>
            <color indexed="81"/>
            <rFont val="Tahoma"/>
            <family val="2"/>
          </rPr>
          <t>für Lager von PBM, Dünger und Gebinde.</t>
        </r>
        <r>
          <rPr>
            <sz val="8"/>
            <color indexed="81"/>
            <rFont val="Tahoma"/>
            <family val="2"/>
          </rPr>
          <t xml:space="preserve">
Quelle: Flugschrift 61, Tab. 18</t>
        </r>
      </text>
    </comment>
    <comment ref="AM39" authorId="1" shapeId="0">
      <text>
        <r>
          <rPr>
            <sz val="10"/>
            <color indexed="81"/>
            <rFont val="Tahoma"/>
            <family val="2"/>
          </rPr>
          <t>für Lager von PBM, Dünger und Gebinde.</t>
        </r>
        <r>
          <rPr>
            <sz val="8"/>
            <color indexed="81"/>
            <rFont val="Tahoma"/>
            <family val="2"/>
          </rPr>
          <t xml:space="preserve">
Quelle: Flugschrift 61, Tab. 18</t>
        </r>
      </text>
    </comment>
    <comment ref="AT39" authorId="1" shapeId="0">
      <text>
        <r>
          <rPr>
            <sz val="10"/>
            <color indexed="81"/>
            <rFont val="Tahoma"/>
            <family val="2"/>
          </rPr>
          <t>für Lager von PBM, Dünger und Gebinde.</t>
        </r>
        <r>
          <rPr>
            <sz val="8"/>
            <color indexed="81"/>
            <rFont val="Tahoma"/>
            <family val="2"/>
          </rPr>
          <t xml:space="preserve">
Quelle: Flugschrift 61, Tab. 18</t>
        </r>
      </text>
    </comment>
    <comment ref="BA39" authorId="1" shapeId="0">
      <text>
        <r>
          <rPr>
            <sz val="10"/>
            <color indexed="81"/>
            <rFont val="Tahoma"/>
            <family val="2"/>
          </rPr>
          <t>für Lager von PBM, Dünger und Gebinde.</t>
        </r>
        <r>
          <rPr>
            <sz val="8"/>
            <color indexed="81"/>
            <rFont val="Tahoma"/>
            <family val="2"/>
          </rPr>
          <t xml:space="preserve">
Quelle: Flugschrift 61, Tab. 18</t>
        </r>
      </text>
    </comment>
    <comment ref="BH39" authorId="1" shapeId="0">
      <text>
        <r>
          <rPr>
            <sz val="10"/>
            <color indexed="81"/>
            <rFont val="Tahoma"/>
            <family val="2"/>
          </rPr>
          <t>für Lager von PBM, Dünger und Gebinde.</t>
        </r>
        <r>
          <rPr>
            <sz val="8"/>
            <color indexed="81"/>
            <rFont val="Tahoma"/>
            <family val="2"/>
          </rPr>
          <t xml:space="preserve">
Quelle: Flugschrift 61, Tab. 18</t>
        </r>
      </text>
    </comment>
    <comment ref="BO39" authorId="1" shapeId="0">
      <text>
        <r>
          <rPr>
            <sz val="10"/>
            <color indexed="81"/>
            <rFont val="Tahoma"/>
            <family val="2"/>
          </rPr>
          <t>für Lager von PBM, Dünger und Gebinde.</t>
        </r>
        <r>
          <rPr>
            <sz val="8"/>
            <color indexed="81"/>
            <rFont val="Tahoma"/>
            <family val="2"/>
          </rPr>
          <t xml:space="preserve">
Quelle: Flugschrift 61, Tab. 18</t>
        </r>
      </text>
    </comment>
    <comment ref="BV39" authorId="1" shapeId="0">
      <text>
        <r>
          <rPr>
            <sz val="10"/>
            <color indexed="81"/>
            <rFont val="Tahoma"/>
            <family val="2"/>
          </rPr>
          <t>für Lager von PBM, Dünger und Gebinde.</t>
        </r>
        <r>
          <rPr>
            <sz val="8"/>
            <color indexed="81"/>
            <rFont val="Tahoma"/>
            <family val="2"/>
          </rPr>
          <t xml:space="preserve">
Quelle: Flugschrift 61, Tab. 18</t>
        </r>
      </text>
    </comment>
    <comment ref="CC39" authorId="1" shapeId="0">
      <text>
        <r>
          <rPr>
            <sz val="10"/>
            <color indexed="81"/>
            <rFont val="Tahoma"/>
            <family val="2"/>
          </rPr>
          <t>für Lager von PBM, Dünger und Gebinde.</t>
        </r>
        <r>
          <rPr>
            <sz val="8"/>
            <color indexed="81"/>
            <rFont val="Tahoma"/>
            <family val="2"/>
          </rPr>
          <t xml:space="preserve">
Quelle: Flugschrift 61, Tab. 18</t>
        </r>
      </text>
    </comment>
    <comment ref="CJ39" authorId="1" shapeId="0">
      <text>
        <r>
          <rPr>
            <sz val="10"/>
            <color indexed="81"/>
            <rFont val="Tahoma"/>
            <family val="2"/>
          </rPr>
          <t>für Lager von PBM, Dünger und Gebinde.</t>
        </r>
        <r>
          <rPr>
            <sz val="8"/>
            <color indexed="81"/>
            <rFont val="Tahoma"/>
            <family val="2"/>
          </rPr>
          <t xml:space="preserve">
Quelle: Flugschrift 61, Tab. 18</t>
        </r>
      </text>
    </comment>
    <comment ref="CQ39" authorId="1" shapeId="0">
      <text>
        <r>
          <rPr>
            <sz val="10"/>
            <color indexed="81"/>
            <rFont val="Tahoma"/>
            <family val="2"/>
          </rPr>
          <t>für Lager von PBM, Dünger und Gebinde.</t>
        </r>
        <r>
          <rPr>
            <sz val="8"/>
            <color indexed="81"/>
            <rFont val="Tahoma"/>
            <family val="2"/>
          </rPr>
          <t xml:space="preserve">
Quelle: Flugschrift 61, Tab. 18</t>
        </r>
      </text>
    </comment>
    <comment ref="CX39" authorId="1" shapeId="0">
      <text>
        <r>
          <rPr>
            <sz val="10"/>
            <color indexed="81"/>
            <rFont val="Tahoma"/>
            <family val="2"/>
          </rPr>
          <t>für Lager von PBM, Dünger und Gebinde.</t>
        </r>
        <r>
          <rPr>
            <sz val="8"/>
            <color indexed="81"/>
            <rFont val="Tahoma"/>
            <family val="2"/>
          </rPr>
          <t xml:space="preserve">
Quelle: Flugschrift 61, Tab. 18</t>
        </r>
      </text>
    </comment>
    <comment ref="DE39" authorId="1" shapeId="0">
      <text>
        <r>
          <rPr>
            <sz val="10"/>
            <color indexed="81"/>
            <rFont val="Tahoma"/>
            <family val="2"/>
          </rPr>
          <t>für Lager von PBM, Dünger und Gebinde.</t>
        </r>
        <r>
          <rPr>
            <sz val="8"/>
            <color indexed="81"/>
            <rFont val="Tahoma"/>
            <family val="2"/>
          </rPr>
          <t xml:space="preserve">
Quelle: Flugschrift 61, Tab. 18</t>
        </r>
      </text>
    </comment>
  </commentList>
</comments>
</file>

<file path=xl/comments9.xml><?xml version="1.0" encoding="utf-8"?>
<comments xmlns="http://schemas.openxmlformats.org/spreadsheetml/2006/main">
  <authors>
    <author>P. Mouron</author>
  </authors>
  <commentList>
    <comment ref="E6" authorId="0" shapeId="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C17" authorId="0" shapeId="0">
      <text>
        <r>
          <rPr>
            <sz val="8"/>
            <color indexed="81"/>
            <rFont val="Tahoma"/>
            <family val="2"/>
          </rPr>
          <t xml:space="preserve">Anzahl Fahrten
</t>
        </r>
      </text>
    </comment>
    <comment ref="F24" authorId="0" shapeId="0">
      <text>
        <r>
          <rPr>
            <sz val="10"/>
            <color indexed="81"/>
            <rFont val="Tahoma"/>
            <family val="2"/>
          </rPr>
          <t xml:space="preserve">Versicherungssumme   20'000.- Fr.
</t>
        </r>
      </text>
    </comment>
    <comment ref="C30" authorId="0" shapeId="0">
      <text>
        <r>
          <rPr>
            <sz val="8"/>
            <color indexed="81"/>
            <rFont val="Tahoma"/>
            <family val="2"/>
          </rPr>
          <t xml:space="preserve">
Annahme: Eine 2. Folie ist ca. im 10 Stj. Notwendig.
Zur Vereinfachung wird gerechnet, wie wenn die Folie zu Beginn Vollertrag bereitsgekauft wäre. Deshalb die Abschreibedauer von 12 J., obwohl für die Folie nur mit einer Einsatzdauer von 7 ausgegangen werden kann. </t>
        </r>
      </text>
    </comment>
    <comment ref="E37" authorId="0" shapeId="0">
      <text>
        <r>
          <rPr>
            <sz val="8"/>
            <color indexed="81"/>
            <rFont val="Tahoma"/>
            <family val="2"/>
          </rPr>
          <t xml:space="preserve">
Fr./Durchgang = Fr./ha weil Arbokost die Kosten für 1 ha ausweist
FAT-Ansätze für fixe+variable Kosten</t>
        </r>
      </text>
    </comment>
    <comment ref="A75" authorId="0" shapeId="0">
      <text>
        <r>
          <rPr>
            <sz val="8"/>
            <color indexed="81"/>
            <rFont val="Tahoma"/>
            <family val="2"/>
          </rPr>
          <t xml:space="preserve">
</t>
        </r>
        <r>
          <rPr>
            <sz val="10"/>
            <color indexed="81"/>
            <rFont val="Tahoma"/>
            <family val="2"/>
          </rPr>
          <t>Wenn dieser Betrag mit dem Gesamterlös im Durchschnitt nicht gedeckt werden kann, sollte die Parzelle gerodet werden.
Mit dem Betriebsminimum werden die variablen Kosten gedeckt. Nicht gedeckt sind: Abschreibung Obstanlage, Abschreibung Maschinen und Zinsanspruch</t>
        </r>
      </text>
    </comment>
    <comment ref="A87" authorId="0" shapeId="0">
      <text>
        <r>
          <rPr>
            <b/>
            <sz val="8"/>
            <color indexed="81"/>
            <rFont val="Tahoma"/>
            <family val="2"/>
          </rPr>
          <t>M.Zürcher:</t>
        </r>
        <r>
          <rPr>
            <sz val="8"/>
            <color indexed="81"/>
            <rFont val="Tahoma"/>
            <family val="2"/>
          </rPr>
          <t xml:space="preserve">
</t>
        </r>
        <r>
          <rPr>
            <sz val="10"/>
            <color indexed="81"/>
            <rFont val="Tahoma"/>
            <family val="2"/>
          </rPr>
          <t>siehe: Betriebswirtschaftliche Begriffe im Agrarbereich, LMZ 2005</t>
        </r>
      </text>
    </comment>
    <comment ref="A89" authorId="0" shapeId="0">
      <text>
        <r>
          <rPr>
            <sz val="8"/>
            <color indexed="81"/>
            <rFont val="Tahoma"/>
            <family val="2"/>
          </rPr>
          <t xml:space="preserve">
</t>
        </r>
        <r>
          <rPr>
            <sz val="10"/>
            <color indexed="81"/>
            <rFont val="Tahoma"/>
            <family val="2"/>
          </rPr>
          <t>Summe aus Zinsanspruch für das Eigenkapital und bezahlten Schuld- und Pachtzinsen ((Betriebswirtschaftliche Begriffe im Agrarbereich, LMZ 2005)
Hier: Zins für Investitionen und Boden.</t>
        </r>
      </text>
    </comment>
    <comment ref="A90" authorId="0" shapeId="0">
      <text>
        <r>
          <rPr>
            <sz val="10"/>
            <color indexed="81"/>
            <rFont val="Tahoma"/>
            <family val="2"/>
          </rPr>
          <t xml:space="preserve">
Kosten für die in der Produktion eingesetzten Produktionsmittel </t>
        </r>
        <r>
          <rPr>
            <b/>
            <i/>
            <sz val="10"/>
            <color indexed="81"/>
            <rFont val="Tahoma"/>
            <family val="2"/>
          </rPr>
          <t>einschliesslich der Abschreibungen</t>
        </r>
        <r>
          <rPr>
            <sz val="10"/>
            <color indexed="81"/>
            <rFont val="Tahoma"/>
            <family val="2"/>
          </rPr>
          <t>, aber ohne die Entschädigung für die Produktionsfaktoren Arbeit und Kapital. (Betriebswirtschaftliche Begriffe im Agrarbereich, LMZ 2005)</t>
        </r>
      </text>
    </comment>
  </commentList>
</comments>
</file>

<file path=xl/comments10.xml><?xml version="1.0" encoding="utf-8"?>
<comments xmlns="http://schemas.openxmlformats.org/spreadsheetml/2006/main">
  <authors>
    <author>Tschopp Damien AGROSCOPE</author>
  </authors>
  <commentList>
    <comment ref="C51" authorId="0" shapeId="0">
      <text>
        <r>
          <rPr>
            <b/>
            <sz val="9"/>
            <color indexed="81"/>
            <rFont val="Tahoma"/>
            <family val="2"/>
          </rPr>
          <t>Tschopp Damien AGROSCOPE:</t>
        </r>
        <r>
          <rPr>
            <sz val="9"/>
            <color indexed="81"/>
            <rFont val="Tahoma"/>
            <family val="2"/>
          </rPr>
          <t xml:space="preserve">
Ersetzt das Kupfer 50 S</t>
        </r>
      </text>
    </comment>
  </commentList>
</comments>
</file>

<file path=xl/sharedStrings.xml><?xml version="1.0" encoding="utf-8"?>
<sst xmlns="http://schemas.openxmlformats.org/spreadsheetml/2006/main" count="3417" uniqueCount="697">
  <si>
    <t>Bruttofläche</t>
  </si>
  <si>
    <t>Nettofläche</t>
  </si>
  <si>
    <t>Wendefläche</t>
  </si>
  <si>
    <t>Länge</t>
  </si>
  <si>
    <t>Breite</t>
  </si>
  <si>
    <t>berechnet</t>
  </si>
  <si>
    <t>m2</t>
  </si>
  <si>
    <t>Spindel</t>
  </si>
  <si>
    <t>Gassenbreite</t>
  </si>
  <si>
    <t>m</t>
  </si>
  <si>
    <t>Abschreibdauer</t>
  </si>
  <si>
    <t>Baumabstand</t>
  </si>
  <si>
    <t>Anzahl Reihen</t>
  </si>
  <si>
    <t>Ernte</t>
  </si>
  <si>
    <t>Bäume pro ha</t>
  </si>
  <si>
    <t>Pflanzgut</t>
  </si>
  <si>
    <t>Baumpreis</t>
  </si>
  <si>
    <t>Zinssatz</t>
  </si>
  <si>
    <t>Anzahl</t>
  </si>
  <si>
    <t>Stückpreis</t>
  </si>
  <si>
    <t>Kosten</t>
  </si>
  <si>
    <t>Einzäunung</t>
  </si>
  <si>
    <t>Tore</t>
  </si>
  <si>
    <t>Kant. Beitrag (Gemeinde, Jagdkasse)</t>
  </si>
  <si>
    <t>Verschiedenes</t>
  </si>
  <si>
    <t>Bodenanalyse</t>
  </si>
  <si>
    <t xml:space="preserve">Total direkte Kosten </t>
  </si>
  <si>
    <t>Zkh/ha</t>
  </si>
  <si>
    <t>Fr./h</t>
  </si>
  <si>
    <t>Fr./ha</t>
  </si>
  <si>
    <t>Maschinen</t>
  </si>
  <si>
    <t>Zugkraft</t>
  </si>
  <si>
    <t>Kleingeräte</t>
  </si>
  <si>
    <t>Total Maschinen und Zugkraftkosten</t>
  </si>
  <si>
    <t>Akh/ha</t>
  </si>
  <si>
    <t>Arbeit</t>
  </si>
  <si>
    <t>Düngung</t>
  </si>
  <si>
    <t>Bodenprobe</t>
  </si>
  <si>
    <t>Ausmessen</t>
  </si>
  <si>
    <t>Pflanzung inkl. Anbinden</t>
  </si>
  <si>
    <t>Einzäunung erstellen</t>
  </si>
  <si>
    <t>Einsaat</t>
  </si>
  <si>
    <t>Total Strukturkosten</t>
  </si>
  <si>
    <t>Total fixe Installationen</t>
  </si>
  <si>
    <t>Stj.</t>
  </si>
  <si>
    <t>kg / ha</t>
  </si>
  <si>
    <t>kg / B.</t>
  </si>
  <si>
    <t>Ernteleistung</t>
  </si>
  <si>
    <t>1. Standjahr</t>
  </si>
  <si>
    <t>2. Standjahr</t>
  </si>
  <si>
    <t>3. Standjahr</t>
  </si>
  <si>
    <t>4. Standjahr</t>
  </si>
  <si>
    <t>5. Standjahr</t>
  </si>
  <si>
    <t>6. Standjahr</t>
  </si>
  <si>
    <t>7. Standjahr</t>
  </si>
  <si>
    <t>8. Standjahr</t>
  </si>
  <si>
    <t>9. Standjahr</t>
  </si>
  <si>
    <t>10. Standjahr</t>
  </si>
  <si>
    <t>11. Standjahr</t>
  </si>
  <si>
    <t>12. Standjahr</t>
  </si>
  <si>
    <t>13. Standjahr</t>
  </si>
  <si>
    <t>14. Standjahr</t>
  </si>
  <si>
    <t>15. Standjahr</t>
  </si>
  <si>
    <t>kg/B.</t>
  </si>
  <si>
    <t>kg/ha</t>
  </si>
  <si>
    <t>Preis pro Einh.</t>
  </si>
  <si>
    <t>Rohertrag</t>
  </si>
  <si>
    <t>%</t>
  </si>
  <si>
    <t>Erträge</t>
  </si>
  <si>
    <t>Ammonsalpeter</t>
  </si>
  <si>
    <t>Hagelversicherung</t>
  </si>
  <si>
    <t>pro 100 kg</t>
  </si>
  <si>
    <t>Fläche</t>
  </si>
  <si>
    <t>Fr./h, Fr./ha</t>
  </si>
  <si>
    <t>Schnittholzhacker</t>
  </si>
  <si>
    <t>kg/h</t>
  </si>
  <si>
    <t>Arbeiten</t>
  </si>
  <si>
    <t>für Boden</t>
  </si>
  <si>
    <t>Zeitwert</t>
  </si>
  <si>
    <t xml:space="preserve">Zins </t>
  </si>
  <si>
    <t>Gewinn / Verlust pro ha und Jahr</t>
  </si>
  <si>
    <t>Produktionskosten ohne Arbeitskosten</t>
  </si>
  <si>
    <t>Arbeitseinkommen pro Akh</t>
  </si>
  <si>
    <t>Anteil am RE</t>
  </si>
  <si>
    <t>Anteil PK</t>
  </si>
  <si>
    <t>Standard</t>
  </si>
  <si>
    <t>kg/Baum</t>
  </si>
  <si>
    <t>Erstellungsjahr</t>
  </si>
  <si>
    <t>1. Sandjahr</t>
  </si>
  <si>
    <t>Aufbauphase</t>
  </si>
  <si>
    <t>Unter den gewählten Vorgaben ergeben sich folgende Kenngrössen aus der Kapitalflussrechnung:</t>
  </si>
  <si>
    <t>Arbeitseinkommen / Akh</t>
  </si>
  <si>
    <t>Akh / ha</t>
  </si>
  <si>
    <t>SOLL Fläche in ha bei 2700 Akh/J</t>
  </si>
  <si>
    <t>ha</t>
  </si>
  <si>
    <t>(1 Standard-Akh = 300 T * 9 Akh)</t>
  </si>
  <si>
    <t>Produktionskosten</t>
  </si>
  <si>
    <t>umsatzgewichtet</t>
  </si>
  <si>
    <t>h</t>
  </si>
  <si>
    <t>Total Standdauer</t>
  </si>
  <si>
    <t>Bewässerung, Beregnung</t>
  </si>
  <si>
    <t>Nein</t>
  </si>
  <si>
    <t>Ja</t>
  </si>
  <si>
    <t>Direktzahlungen ÖLN</t>
  </si>
  <si>
    <t>Gesamterlös (Leistung)</t>
  </si>
  <si>
    <t>Ertragsphase</t>
  </si>
  <si>
    <t>mit Direktzahlungen</t>
  </si>
  <si>
    <t xml:space="preserve">Produktionskosten </t>
  </si>
  <si>
    <t>durchschnittlich über alle Klassen:</t>
  </si>
  <si>
    <r>
      <t xml:space="preserve">Gebäudekosten </t>
    </r>
    <r>
      <rPr>
        <sz val="10"/>
        <rFont val="Arial"/>
        <family val="2"/>
      </rPr>
      <t>(Sortierraum 0 m2, Materiallager 10 m2)</t>
    </r>
  </si>
  <si>
    <t xml:space="preserve">Lohnkosten brutto    </t>
  </si>
  <si>
    <t>Total</t>
  </si>
  <si>
    <t>Arbeitseinkommen  intern pro Akh</t>
  </si>
  <si>
    <t xml:space="preserve">                                                        Akh extern total</t>
  </si>
  <si>
    <t>Erstellung</t>
  </si>
  <si>
    <t>Sämaschine 3 m</t>
  </si>
  <si>
    <t>Düngerstreuer Einkasten 2.5 m</t>
  </si>
  <si>
    <t>Pneuwagen 2achsig, 3 t</t>
  </si>
  <si>
    <t>Bewirtschaftung Obstanlage</t>
  </si>
  <si>
    <t>1 Wg.7h</t>
  </si>
  <si>
    <t>1 Wg. 7.5h</t>
  </si>
  <si>
    <t xml:space="preserve">Knotengitter </t>
  </si>
  <si>
    <t>Agraffen</t>
  </si>
  <si>
    <t>Total Zaunkosten</t>
  </si>
  <si>
    <t>Totale Erstellungskosten mit Zaun</t>
  </si>
  <si>
    <t>z.B. (Verwaltung) für Planen, organisieren</t>
  </si>
  <si>
    <t>Diverses Material und Kleingeräte</t>
  </si>
  <si>
    <t>Verwaltung + übrige Arbeiten</t>
  </si>
  <si>
    <t>Mulchen und Schnittholz hacken</t>
  </si>
  <si>
    <t>Behangsregulierung (von Hand + chemisch)</t>
  </si>
  <si>
    <t xml:space="preserve">            Ammonsalpeter </t>
  </si>
  <si>
    <t xml:space="preserve">Düngung:                       Arbellin </t>
  </si>
  <si>
    <t>Speziell für Erstellung</t>
  </si>
  <si>
    <t>Maschinen und Geräte</t>
  </si>
  <si>
    <t>Dünger</t>
  </si>
  <si>
    <t>1. Stj.</t>
  </si>
  <si>
    <t>2. Stj.</t>
  </si>
  <si>
    <t>3. Stj.</t>
  </si>
  <si>
    <t>Pflanzenbehandlungsmittel</t>
  </si>
  <si>
    <t>Geräte</t>
  </si>
  <si>
    <t>Quelle</t>
  </si>
  <si>
    <t>hier gewählt</t>
  </si>
  <si>
    <t>Zkh/Durchgang</t>
  </si>
  <si>
    <t>berechnet aus Anzahl PBM</t>
  </si>
  <si>
    <t>berechnet aus Anzahl Dünger</t>
  </si>
  <si>
    <t>Fr./Durchgang</t>
  </si>
  <si>
    <t>Total Gerätestunden</t>
  </si>
  <si>
    <t>Traktor für Ernte</t>
  </si>
  <si>
    <t xml:space="preserve">Variante </t>
  </si>
  <si>
    <t>intern (Familie)</t>
  </si>
  <si>
    <t>Resultate</t>
  </si>
  <si>
    <t>+/-</t>
  </si>
  <si>
    <t xml:space="preserve"> +/-</t>
  </si>
  <si>
    <t>fixe Kosten</t>
  </si>
  <si>
    <t>variable Kosten</t>
  </si>
  <si>
    <t>Fr/ha</t>
  </si>
  <si>
    <t>variable Kosten Maschinen und Geräte</t>
  </si>
  <si>
    <t>Kalkulierte Produktionskosten</t>
  </si>
  <si>
    <t>Betriebsminimum</t>
  </si>
  <si>
    <t>Dünger + PBM + Hagelversicherung +Abzüge+var.Maschinenkosten + Lohnkosten</t>
  </si>
  <si>
    <t>externe Arbeitskräfte</t>
  </si>
  <si>
    <t>Bäume / ha</t>
  </si>
  <si>
    <t>Systembeschreibung</t>
  </si>
  <si>
    <t>Obstart</t>
  </si>
  <si>
    <t>Produktionsweise</t>
  </si>
  <si>
    <t>Erziehungsform</t>
  </si>
  <si>
    <t>Geometrische Daten</t>
  </si>
  <si>
    <t>Variante</t>
  </si>
  <si>
    <t>Verwaltung+übrige Arbeiten</t>
  </si>
  <si>
    <t>Pflanzenschutzkontrolle</t>
  </si>
  <si>
    <t>Mausen</t>
  </si>
  <si>
    <t>Behangsregulierung Hand</t>
  </si>
  <si>
    <t>Akh</t>
  </si>
  <si>
    <t>Verwaltung</t>
  </si>
  <si>
    <t>übrige Arbeiten</t>
  </si>
  <si>
    <t xml:space="preserve">2. Stj. </t>
  </si>
  <si>
    <t>wie Ertragsphase</t>
  </si>
  <si>
    <t>Rodungskosten</t>
  </si>
  <si>
    <t>Rodekostenanteil abgezinst</t>
  </si>
  <si>
    <r>
      <t xml:space="preserve">Diverse Kosten               </t>
    </r>
    <r>
      <rPr>
        <sz val="10"/>
        <color indexed="8"/>
        <rFont val="Arial"/>
        <family val="2"/>
      </rPr>
      <t xml:space="preserve"> Ersatzmaterial 400.-  +   Büromaterial 200.-  + </t>
    </r>
  </si>
  <si>
    <t>Bewässerung</t>
  </si>
  <si>
    <t>eigene Maschinen</t>
  </si>
  <si>
    <t>Arbeitsproduktivität</t>
  </si>
  <si>
    <t>Gesamterlös pro Akh</t>
  </si>
  <si>
    <t>Rentabilität</t>
  </si>
  <si>
    <t>Tafelkirsche</t>
  </si>
  <si>
    <t>Versicherung Regendach</t>
  </si>
  <si>
    <t>Qualität und Ernteleistung</t>
  </si>
  <si>
    <t>Brennkirschen</t>
  </si>
  <si>
    <t>Summe 1.-4. Stj.</t>
  </si>
  <si>
    <t>Summe 1.-16. Stj.</t>
  </si>
  <si>
    <t>Durchschnitt 5.-16. Stj.</t>
  </si>
  <si>
    <t>Durchschnitt 1.-16. Stj.</t>
  </si>
  <si>
    <t>Superphosphat</t>
  </si>
  <si>
    <t>Patentkali</t>
  </si>
  <si>
    <t>pro ha</t>
  </si>
  <si>
    <t>l,kg pro ha</t>
  </si>
  <si>
    <t>Akarizide</t>
  </si>
  <si>
    <t>16. Standjahr</t>
  </si>
  <si>
    <t>Anzahl Tankmischungen (ohne Herbizide)</t>
  </si>
  <si>
    <t>Anzahl Fahrten</t>
  </si>
  <si>
    <t>Diverse Kleingeräte</t>
  </si>
  <si>
    <t xml:space="preserve">                                     Erntestd.</t>
  </si>
  <si>
    <r>
      <t>Ernte</t>
    </r>
    <r>
      <rPr>
        <sz val="10"/>
        <rFont val="Arial"/>
        <family val="2"/>
      </rPr>
      <t xml:space="preserve"> (inkl. Sortieren ohne kalibrieren)</t>
    </r>
  </si>
  <si>
    <t>Zins für Boden</t>
  </si>
  <si>
    <t>Erstellungskosten Bewässerungsanlage</t>
  </si>
  <si>
    <t>Baumgerüst</t>
  </si>
  <si>
    <t>Diverses (z.B. Telefon, Transport, Bindematerial)</t>
  </si>
  <si>
    <t>Fr./h Fahrt</t>
  </si>
  <si>
    <t>Spatenmaschine 2m</t>
  </si>
  <si>
    <t xml:space="preserve">nur im Baumstreifen </t>
  </si>
  <si>
    <t>Streifen spaten</t>
  </si>
  <si>
    <t>Streifen fräsen</t>
  </si>
  <si>
    <t>Baumpfahl stellen</t>
  </si>
  <si>
    <t>Erwirtschaftetes Kapital nach 16 Jahren</t>
  </si>
  <si>
    <t>Tafelkirschen</t>
  </si>
  <si>
    <r>
      <t xml:space="preserve">Gebäudekosten </t>
    </r>
    <r>
      <rPr>
        <sz val="10"/>
        <rFont val="Arial"/>
        <family val="2"/>
      </rPr>
      <t>(Sortierraum 30 m2, Materiallager 10 m2)</t>
    </r>
  </si>
  <si>
    <t>Materialkosten</t>
  </si>
  <si>
    <t>Arbeitskosten</t>
  </si>
  <si>
    <t>Totale Erstellungskosten</t>
  </si>
  <si>
    <t xml:space="preserve"> Akh gesamt pro ha </t>
  </si>
  <si>
    <t xml:space="preserve"> Akh  intern</t>
  </si>
  <si>
    <t>Faktor für mittleren Zins</t>
  </si>
  <si>
    <t>Pflanzenschutz inkl. Kontrolle und Mausen</t>
  </si>
  <si>
    <t>Jährliche Arbeiten</t>
  </si>
  <si>
    <t>Regendachfolie:  Montage + Einrollen</t>
  </si>
  <si>
    <t>Kontrolle</t>
  </si>
  <si>
    <t>Spühlung</t>
  </si>
  <si>
    <t>Einrollen</t>
  </si>
  <si>
    <t xml:space="preserve">                                                      Erntestunden</t>
  </si>
  <si>
    <t>Strom</t>
  </si>
  <si>
    <r>
      <t xml:space="preserve">Bewässerung                              </t>
    </r>
    <r>
      <rPr>
        <sz val="10"/>
        <rFont val="Arial"/>
        <family val="2"/>
      </rPr>
      <t>Wasser</t>
    </r>
  </si>
  <si>
    <t>m³</t>
  </si>
  <si>
    <t>Fr./m3</t>
  </si>
  <si>
    <t>pro Jahr (ab 1. Stj.)</t>
  </si>
  <si>
    <t>Fr./Jahr</t>
  </si>
  <si>
    <r>
      <t xml:space="preserve">Bewässerung                          </t>
    </r>
    <r>
      <rPr>
        <sz val="10"/>
        <rFont val="Arial"/>
        <family val="2"/>
      </rPr>
      <t>Wasser</t>
    </r>
  </si>
  <si>
    <t>Ertragsjahre</t>
  </si>
  <si>
    <t>wie Ertragsjahre</t>
  </si>
  <si>
    <t>ZA = Kapitalkosten</t>
  </si>
  <si>
    <t xml:space="preserve">PK ohne ZA </t>
  </si>
  <si>
    <t>Gewinn ohne ZA</t>
  </si>
  <si>
    <t>3. Stj. und folgende</t>
  </si>
  <si>
    <t>Annahme: alles eigene Maschinen: fixe Kosten + var. Kosten = Mietansätze - 10 %</t>
  </si>
  <si>
    <t>Ja, Folie im 3. Stj. und 10. Stj.</t>
  </si>
  <si>
    <t>Folie und Gummibänder</t>
  </si>
  <si>
    <t>Dachkonstruktion</t>
  </si>
  <si>
    <t xml:space="preserve">           Breite</t>
  </si>
  <si>
    <t>Regendachfolie:  1. Montage + Einrollen</t>
  </si>
  <si>
    <t>Traktor</t>
  </si>
  <si>
    <t>Folienerstmontage</t>
  </si>
  <si>
    <t>Kosten für jährliche Montage und Einrollen der Folie</t>
  </si>
  <si>
    <t>Jährliche Kosten für Montage und Einrollen der Folie</t>
  </si>
  <si>
    <t>Ausrollen</t>
  </si>
  <si>
    <t>Regendachfolie:  Ausrollen + Einrollen</t>
  </si>
  <si>
    <t>Erstellungskosten Regendachkonstruktion ohne Folie</t>
  </si>
  <si>
    <r>
      <t xml:space="preserve">Totale Erstellungskosten </t>
    </r>
    <r>
      <rPr>
        <sz val="10"/>
        <color indexed="9"/>
        <rFont val="Arial"/>
        <family val="2"/>
      </rPr>
      <t xml:space="preserve">mit Zaun + Regendach </t>
    </r>
    <r>
      <rPr>
        <b/>
        <sz val="10"/>
        <color indexed="9"/>
        <rFont val="Arial"/>
        <family val="2"/>
      </rPr>
      <t>ohne Folie</t>
    </r>
    <r>
      <rPr>
        <sz val="10"/>
        <color indexed="9"/>
        <rFont val="Arial"/>
        <family val="2"/>
      </rPr>
      <t xml:space="preserve"> + Bewässerungsanlage</t>
    </r>
  </si>
  <si>
    <t>Abschreibung 2. Folie</t>
  </si>
  <si>
    <r>
      <t>Total Erstellungskosten</t>
    </r>
    <r>
      <rPr>
        <sz val="12"/>
        <color indexed="9"/>
        <rFont val="Arial"/>
        <family val="2"/>
      </rPr>
      <t xml:space="preserve"> Anlage ohne Zaun</t>
    </r>
  </si>
  <si>
    <t>für aktuelle Investition</t>
  </si>
  <si>
    <t xml:space="preserve">für aktuelle Investition </t>
  </si>
  <si>
    <t xml:space="preserve">für Investition Kirschenanlage </t>
  </si>
  <si>
    <t>Anteil externe Akh für Ernte</t>
  </si>
  <si>
    <t xml:space="preserve">Anzahl Tage </t>
  </si>
  <si>
    <t>Liter / Baum</t>
  </si>
  <si>
    <t>Gesamt-erlös</t>
  </si>
  <si>
    <t>Arbeitseinkommen   intern      Fr./h</t>
  </si>
  <si>
    <t>Standard 1ha</t>
  </si>
  <si>
    <t>Definition Standard:</t>
  </si>
  <si>
    <t xml:space="preserve">Moderne Tafelkirschenanlage mit Regendach und Bewässerung; auf Betrieb mit mehr als 0.5 ha Tafelkirschen in Hauptproduktionsgebiet </t>
  </si>
  <si>
    <t>Regenschutzfolie</t>
  </si>
  <si>
    <t>Variante  1ha</t>
  </si>
  <si>
    <t>Definition Variante:</t>
  </si>
  <si>
    <t xml:space="preserve">Berechnungshilfe </t>
  </si>
  <si>
    <t xml:space="preserve">Seite 1 </t>
  </si>
  <si>
    <t xml:space="preserve">z.B. (Verwaltung) für Planen, </t>
  </si>
  <si>
    <t xml:space="preserve">         organisieren</t>
  </si>
  <si>
    <t>Fr./kg</t>
  </si>
  <si>
    <t>fixe Kosten Maschinen und Geräte</t>
  </si>
  <si>
    <t>Sorte und Unterlage</t>
  </si>
  <si>
    <r>
      <t>Quelle:</t>
    </r>
    <r>
      <rPr>
        <sz val="12"/>
        <color indexed="9"/>
        <rFont val="Arial"/>
        <family val="2"/>
      </rPr>
      <t xml:space="preserve"> Expertenschätzung von Produzenten, kantonalen Fachstellen und FAW</t>
    </r>
  </si>
  <si>
    <t>Brutto</t>
  </si>
  <si>
    <t>Netto</t>
  </si>
  <si>
    <t>Wendezone</t>
  </si>
  <si>
    <t>Sortierkategorien</t>
  </si>
  <si>
    <r>
      <t>Lohnkosten brutto</t>
    </r>
    <r>
      <rPr>
        <sz val="10"/>
        <color indexed="8"/>
        <rFont val="Arial"/>
        <family val="2"/>
      </rPr>
      <t xml:space="preserve">  intern (Familie)</t>
    </r>
  </si>
  <si>
    <r>
      <t>Lohnkosten brutto</t>
    </r>
    <r>
      <rPr>
        <sz val="10"/>
        <color indexed="8"/>
        <rFont val="Arial"/>
        <family val="2"/>
      </rPr>
      <t xml:space="preserve">  extern</t>
    </r>
  </si>
  <si>
    <t>Kostengliederung</t>
  </si>
  <si>
    <t>Gliederung nach Kostenarten</t>
  </si>
  <si>
    <t>Anteil an PK</t>
  </si>
  <si>
    <t>Kapitalkosten</t>
  </si>
  <si>
    <t>Sachkosten</t>
  </si>
  <si>
    <t>Gliederung Arbeitskosten (alle Arbeiten)</t>
  </si>
  <si>
    <t>Gliederung Arbeitskosten (&gt; 10%)</t>
  </si>
  <si>
    <t>übrige Arbeiten (aus Posten &lt; 10%)</t>
  </si>
  <si>
    <t>Gliederung nach Sachkosten</t>
  </si>
  <si>
    <t>übrige Kosten (aus Posten mit &lt; 10%)</t>
  </si>
  <si>
    <t>Gliederung nach buchhalterischer Konvention</t>
  </si>
  <si>
    <t>Zeitgemässe Tafelkirschenanlage auf schwachwachsender Unterlage. Werte sind ausgelegt auf gemischtwirtschaftliche Betriebe mit mehr als 0.5 ha Tafelkirschen, an geeigneten Standort in einem der Hauptproduktionsgebiete der Schweiz.</t>
  </si>
  <si>
    <t xml:space="preserve">Eigenkapitalsrente (Gewinn+Zinsanspruch) pro investiertem Kapital </t>
  </si>
  <si>
    <t>Ertrag / Jahr          Ertragsphase</t>
  </si>
  <si>
    <t>Arbeitseinkommen   durchsch.   Fr./h</t>
  </si>
  <si>
    <t>Produktionskosten durchschn.   Fr. / kg</t>
  </si>
  <si>
    <t>Indikatoren der Wirtschaftlichkeit</t>
  </si>
  <si>
    <t>Kalkulat. Gewinn</t>
  </si>
  <si>
    <t>Direktzahlungen</t>
  </si>
  <si>
    <t>Abschreibung Obstanlage</t>
  </si>
  <si>
    <t>Zinsanspruch pro Jahr</t>
  </si>
  <si>
    <t>Direktkosten</t>
  </si>
  <si>
    <t>Strukturkosten</t>
  </si>
  <si>
    <t>Lohnkosten extern</t>
  </si>
  <si>
    <t xml:space="preserve"> Akh gesamt nur Ernte</t>
  </si>
  <si>
    <t xml:space="preserve"> Anteil Akh gesamt für Ernte</t>
  </si>
  <si>
    <t>Akh externe Arbeitskräfte</t>
  </si>
  <si>
    <t xml:space="preserve">Arbeitseinkommen pro Akh          </t>
  </si>
  <si>
    <t>Produktionskosten-  / Leistungsvergleich</t>
  </si>
  <si>
    <t>als Leistung / Akh gesamt</t>
  </si>
  <si>
    <t>Was kostet die Ernte?</t>
  </si>
  <si>
    <t>Was kostet der Pflanzenschutz?</t>
  </si>
  <si>
    <t>Anzahl Durchfahrten</t>
  </si>
  <si>
    <t>Anzahl Mittel</t>
  </si>
  <si>
    <t>Fungizide</t>
  </si>
  <si>
    <t>Insektizide</t>
  </si>
  <si>
    <t>Herbizide</t>
  </si>
  <si>
    <t>Behangsregulierung</t>
  </si>
  <si>
    <t>Erlös Brennkirschen</t>
  </si>
  <si>
    <t>ohne Direktzahlungen</t>
  </si>
  <si>
    <t>Vergleichbarer Deckungsbeitrag</t>
  </si>
  <si>
    <t>Produktionskosten pro ha</t>
  </si>
  <si>
    <t>Produktionskosten ohne Abschreibung 1. Stj.</t>
  </si>
  <si>
    <t>Produktionskosten ohne Abschreibung 16. Stj.</t>
  </si>
  <si>
    <t>Produktionskosten ohne Abschreibung 15. Stj.</t>
  </si>
  <si>
    <t>Produktionskosten ohne Abschreibung 14. Stj.</t>
  </si>
  <si>
    <t>Produktionskosten ohne Abschreibung 13. Stj.</t>
  </si>
  <si>
    <t>Produktionskosten ohne Abschreibung 12. Stj.</t>
  </si>
  <si>
    <t>Produktionskosten ohne Abschreibung 11. Stj.</t>
  </si>
  <si>
    <t>Produktionskosten ohne Abschreibung 10. Stj.</t>
  </si>
  <si>
    <t>Produktionskosten ohne Abschreibung 9. Stj.</t>
  </si>
  <si>
    <t>Produktionskosten ohne Abschreibung 8. Stj.</t>
  </si>
  <si>
    <t>Produktionskosten ohne Abschreibung 7. Stj.</t>
  </si>
  <si>
    <t>Produktionskosten ohne Abschreibung 6. Stj.</t>
  </si>
  <si>
    <t>Produktionskosten ohne Abschreibung 5. Stj.</t>
  </si>
  <si>
    <t>Produktionskosten ohne Abschreibung 4. Stj.</t>
  </si>
  <si>
    <t>Produktionskosten ohne Abschreibung 3. Stj.</t>
  </si>
  <si>
    <t>Produktionskosten ohne Abschreibung 2. Stj.</t>
  </si>
  <si>
    <t>Gliederung Kapitalkosten</t>
  </si>
  <si>
    <t>Anteil Sachkosten</t>
  </si>
  <si>
    <t>Was kostet der direkte Pflanzenschutz?</t>
  </si>
  <si>
    <t>Material</t>
  </si>
  <si>
    <t>Total Pflanzenschutz</t>
  </si>
  <si>
    <t>übrige Produktionskosten</t>
  </si>
  <si>
    <t>Zusammenfassung</t>
  </si>
  <si>
    <t>Anteil Pflanzenschutzkosten</t>
  </si>
  <si>
    <r>
      <t xml:space="preserve">Was kostet die Ernte? </t>
    </r>
    <r>
      <rPr>
        <sz val="14"/>
        <color indexed="9"/>
        <rFont val="Arial"/>
        <family val="2"/>
      </rPr>
      <t>(ohne Gebindekosten)</t>
    </r>
  </si>
  <si>
    <t>Total Ernte</t>
  </si>
  <si>
    <t>Anteil an Ernte</t>
  </si>
  <si>
    <t>Anteil Arbeitskosten</t>
  </si>
  <si>
    <t>Total Direktkosten</t>
  </si>
  <si>
    <t>Leistung</t>
  </si>
  <si>
    <t>Deckungsgrad</t>
  </si>
  <si>
    <t>Cashflow</t>
  </si>
  <si>
    <t>Gesamt-Cashflow nach 1. Stj.</t>
  </si>
  <si>
    <t>Gesamt-Cashflow nach 2. Stj.</t>
  </si>
  <si>
    <r>
      <t xml:space="preserve">Cashflow nach der Erstellung </t>
    </r>
    <r>
      <rPr>
        <sz val="10"/>
        <rFont val="Arial"/>
        <family val="2"/>
      </rPr>
      <t>(inkl. Zaun, Regendachkonstruktion ohne Folie und Bewässerungsanlage)</t>
    </r>
  </si>
  <si>
    <t>Gesamt-Cashflow nach 16. Stj.</t>
  </si>
  <si>
    <t>Gesamt-Cashflow nach 15. Stj.</t>
  </si>
  <si>
    <t>Gesamt-Cashflow nach 14. Stj.</t>
  </si>
  <si>
    <t>Gesamt-Cashflow nach 13. Stj.</t>
  </si>
  <si>
    <t>Gesamt-Cashflow nach 12. Stj.</t>
  </si>
  <si>
    <t>Gesamt-Cashflow nach 11. Stj.</t>
  </si>
  <si>
    <t>Gesamt-Cashflow nach 10. Stj.</t>
  </si>
  <si>
    <t>Gesamt-Cashflow nach 9. Stj.</t>
  </si>
  <si>
    <t>Gesamt-Cashflow nach 8. Stj.</t>
  </si>
  <si>
    <t>Gesamt-Cashflow nach 7. Stj.</t>
  </si>
  <si>
    <t>Gesamt-Cashflow nach 6. Stj.</t>
  </si>
  <si>
    <t>Gesamt-Cashflow nach 5. Stj.</t>
  </si>
  <si>
    <t>Gesamt-Cashflow nach 4. Stj.</t>
  </si>
  <si>
    <t>Gesamt-Cashflow nach 3. Stj.</t>
  </si>
  <si>
    <t>Geldflussrechnung</t>
  </si>
  <si>
    <r>
      <t xml:space="preserve">Cashflow nach der Erstellung </t>
    </r>
    <r>
      <rPr>
        <sz val="10"/>
        <rFont val="Arial"/>
        <family val="2"/>
      </rPr>
      <t xml:space="preserve">(inkl. Zaun, Regendach </t>
    </r>
    <r>
      <rPr>
        <b/>
        <sz val="10"/>
        <rFont val="Arial"/>
        <family val="2"/>
      </rPr>
      <t>ohne Folie</t>
    </r>
    <r>
      <rPr>
        <sz val="10"/>
        <rFont val="Arial"/>
        <family val="2"/>
      </rPr>
      <t xml:space="preserve"> und Bewässerungsanlage)</t>
    </r>
  </si>
  <si>
    <t>Basis: Obstanlagewert   =                               - Cashflow Ende 4. Stj.</t>
  </si>
  <si>
    <t>Kapitalfluss (Gesamtcashflow)</t>
  </si>
  <si>
    <r>
      <t>Pflanzdichte</t>
    </r>
    <r>
      <rPr>
        <sz val="10"/>
        <color indexed="8"/>
        <rFont val="Arial"/>
        <family val="2"/>
      </rPr>
      <t xml:space="preserve">   Bäume / ha</t>
    </r>
  </si>
  <si>
    <t xml:space="preserve">Maschinenkosten    </t>
  </si>
  <si>
    <t>Düngerkosten</t>
  </si>
  <si>
    <t xml:space="preserve">Pflanzenschutzmittelkosten     </t>
  </si>
  <si>
    <r>
      <t>Wasserpreis</t>
    </r>
    <r>
      <rPr>
        <sz val="10"/>
        <color indexed="8"/>
        <rFont val="Arial"/>
        <family val="2"/>
      </rPr>
      <t xml:space="preserve"> pro m³</t>
    </r>
  </si>
  <si>
    <t>Pneuwagen 2achsig, 3t (Ernte)</t>
  </si>
  <si>
    <r>
      <t>Standard Vorgaben</t>
    </r>
    <r>
      <rPr>
        <b/>
        <sz val="15"/>
        <color indexed="9"/>
        <rFont val="Arial"/>
        <family val="2"/>
      </rPr>
      <t xml:space="preserve">             </t>
    </r>
    <r>
      <rPr>
        <b/>
        <sz val="13"/>
        <color indexed="9"/>
        <rFont val="Arial"/>
        <family val="2"/>
      </rPr>
      <t>Seite 1</t>
    </r>
    <r>
      <rPr>
        <b/>
        <sz val="15"/>
        <color indexed="9"/>
        <rFont val="Arial"/>
        <family val="2"/>
      </rPr>
      <t xml:space="preserve">   </t>
    </r>
    <r>
      <rPr>
        <b/>
        <sz val="20"/>
        <color indexed="9"/>
        <rFont val="Arial"/>
        <family val="2"/>
      </rPr>
      <t xml:space="preserve">               </t>
    </r>
  </si>
  <si>
    <r>
      <t>Arbeiten</t>
    </r>
    <r>
      <rPr>
        <sz val="20"/>
        <rFont val="Arial"/>
        <family val="2"/>
      </rPr>
      <t xml:space="preserve"> ohne Maschinen</t>
    </r>
  </si>
  <si>
    <t>Fixe Installationen</t>
  </si>
  <si>
    <t>Kordia auf Gisela 5</t>
  </si>
  <si>
    <r>
      <t>Standard Vorgaben</t>
    </r>
    <r>
      <rPr>
        <b/>
        <sz val="15"/>
        <color indexed="9"/>
        <rFont val="Arial"/>
        <family val="2"/>
      </rPr>
      <t xml:space="preserve">             </t>
    </r>
    <r>
      <rPr>
        <b/>
        <sz val="13"/>
        <color indexed="9"/>
        <rFont val="Arial"/>
        <family val="2"/>
      </rPr>
      <t>Seite 2</t>
    </r>
    <r>
      <rPr>
        <b/>
        <sz val="15"/>
        <color indexed="9"/>
        <rFont val="Arial"/>
        <family val="2"/>
      </rPr>
      <t xml:space="preserve">   </t>
    </r>
    <r>
      <rPr>
        <b/>
        <sz val="20"/>
        <color indexed="9"/>
        <rFont val="Arial"/>
        <family val="2"/>
      </rPr>
      <t xml:space="preserve">               </t>
    </r>
  </si>
  <si>
    <t>Cashflowkurve  (Kapitalfluss)</t>
  </si>
  <si>
    <t>Variante 1ha</t>
  </si>
  <si>
    <r>
      <t>Rodekosten</t>
    </r>
    <r>
      <rPr>
        <sz val="11"/>
        <rFont val="Arial"/>
        <family val="2"/>
      </rPr>
      <t xml:space="preserve"> (Arbeit + Maschinen)</t>
    </r>
  </si>
  <si>
    <r>
      <t xml:space="preserve">Direktzahlungen </t>
    </r>
    <r>
      <rPr>
        <sz val="11"/>
        <rFont val="Arial"/>
        <family val="2"/>
      </rPr>
      <t>ÖLN</t>
    </r>
  </si>
  <si>
    <t>Gesamt-Cashflow nach 1 Stj.</t>
  </si>
  <si>
    <t xml:space="preserve">Für die Berechnung gewählte Produzentenpreise: </t>
  </si>
  <si>
    <t>Baumerziehung (Sommer + Winter)</t>
  </si>
  <si>
    <t>Vollkosten für 1 durchschnittliches Ertragsjahr</t>
  </si>
  <si>
    <r>
      <t>Bewässerung</t>
    </r>
    <r>
      <rPr>
        <b/>
        <sz val="10"/>
        <rFont val="Arial"/>
      </rPr>
      <t xml:space="preserve">                       </t>
    </r>
    <r>
      <rPr>
        <sz val="10"/>
        <rFont val="Arial"/>
        <family val="2"/>
      </rPr>
      <t>Wasser</t>
    </r>
  </si>
  <si>
    <t xml:space="preserve">         Rodekostenanteil abgezinst</t>
  </si>
  <si>
    <r>
      <t>Diverse Kosten</t>
    </r>
    <r>
      <rPr>
        <b/>
        <sz val="10"/>
        <color indexed="8"/>
        <rFont val="Arial"/>
        <family val="2"/>
      </rPr>
      <t xml:space="preserve">                    </t>
    </r>
    <r>
      <rPr>
        <sz val="10"/>
        <color indexed="8"/>
        <rFont val="Arial"/>
        <family val="2"/>
      </rPr>
      <t xml:space="preserve">  Ersatzmaterial 400.-  +   Büromaterial 200.-  + </t>
    </r>
  </si>
  <si>
    <r>
      <t>Gebäudekosten</t>
    </r>
    <r>
      <rPr>
        <b/>
        <sz val="10"/>
        <rFont val="Arial"/>
      </rPr>
      <t xml:space="preserve"> </t>
    </r>
    <r>
      <rPr>
        <sz val="10"/>
        <rFont val="Arial"/>
        <family val="2"/>
      </rPr>
      <t>(Sortierraum 30 m2, Materiallager 10 m2)</t>
    </r>
  </si>
  <si>
    <r>
      <t xml:space="preserve">Deckungsgrad </t>
    </r>
    <r>
      <rPr>
        <sz val="10"/>
        <rFont val="Arial"/>
        <family val="2"/>
      </rPr>
      <t>(Gesamterlös / Totale Produktionskosten)</t>
    </r>
  </si>
  <si>
    <r>
      <t xml:space="preserve">Cashflow </t>
    </r>
    <r>
      <rPr>
        <sz val="10"/>
        <rFont val="Arial"/>
        <family val="2"/>
      </rPr>
      <t>(kalk.Gewinn plus Abschreibung Obstanlage)</t>
    </r>
  </si>
  <si>
    <r>
      <t xml:space="preserve">Arbeitseinkommen </t>
    </r>
    <r>
      <rPr>
        <sz val="10"/>
        <rFont val="Arial"/>
        <family val="2"/>
      </rPr>
      <t>(Gesamterlös - Prod.ko ohne Arbeitskosten)</t>
    </r>
  </si>
  <si>
    <t>Schlüssel = Umsatzanteil = Anteil Rohertrag (RE)</t>
  </si>
  <si>
    <r>
      <t xml:space="preserve">Erstellungskosten   </t>
    </r>
    <r>
      <rPr>
        <sz val="16"/>
        <rFont val="Arial"/>
        <family val="2"/>
      </rPr>
      <t xml:space="preserve"> </t>
    </r>
    <r>
      <rPr>
        <sz val="12"/>
        <rFont val="Arial"/>
        <family val="2"/>
      </rPr>
      <t xml:space="preserve">Pflanzlöcher von Hand (keine Setzmaschine) </t>
    </r>
  </si>
  <si>
    <r>
      <t xml:space="preserve">Standard Erstellungskosten   </t>
    </r>
    <r>
      <rPr>
        <sz val="16"/>
        <color indexed="9"/>
        <rFont val="Arial"/>
        <family val="2"/>
      </rPr>
      <t/>
    </r>
  </si>
  <si>
    <r>
      <t xml:space="preserve">Variante Erstellungskosten   </t>
    </r>
    <r>
      <rPr>
        <sz val="16"/>
        <color indexed="9"/>
        <rFont val="Arial"/>
        <family val="2"/>
      </rPr>
      <t/>
    </r>
  </si>
  <si>
    <t>kg Premium pro Arbeitskraftstunde</t>
  </si>
  <si>
    <t>Nutzungsdauer:</t>
  </si>
  <si>
    <t>Baumerziehung 
(Sommer+Winter)</t>
  </si>
  <si>
    <t>Lieferung an Genossenschaft, 
Sortierung am Baum (baumfallend)</t>
  </si>
  <si>
    <t>Anteil externe Akh für Ernte:</t>
  </si>
  <si>
    <t>Baumerziehung
(Sommer+Winter)</t>
  </si>
  <si>
    <t>Amistar</t>
  </si>
  <si>
    <t>Kennzahlenübersicht   pro Ertragsjahr</t>
  </si>
  <si>
    <t>Erlös Kl. Extra 24mm</t>
  </si>
  <si>
    <t>Erlös Kl. Premium 26-28mm</t>
  </si>
  <si>
    <t>Erlös KL. I 21mm</t>
  </si>
  <si>
    <t xml:space="preserve">Produktionskosten      </t>
  </si>
  <si>
    <r>
      <t>Erstellungskosten</t>
    </r>
    <r>
      <rPr>
        <sz val="11"/>
        <rFont val="Arial"/>
        <family val="2"/>
      </rPr>
      <t xml:space="preserve"> </t>
    </r>
  </si>
  <si>
    <r>
      <t>Gliederung nach Kostenarten</t>
    </r>
    <r>
      <rPr>
        <b/>
        <i/>
        <sz val="17"/>
        <rFont val="Arial"/>
        <family val="2"/>
      </rPr>
      <t xml:space="preserve"> detailliert</t>
    </r>
  </si>
  <si>
    <t xml:space="preserve"> Produktionskosten Brennkirschen</t>
  </si>
  <si>
    <r>
      <t xml:space="preserve">Betriebsminimum </t>
    </r>
    <r>
      <rPr>
        <sz val="9"/>
        <rFont val="Arial"/>
        <family val="2"/>
      </rPr>
      <t>= laufende Kosten</t>
    </r>
  </si>
  <si>
    <r>
      <t xml:space="preserve">Kennzahlenübersicht  </t>
    </r>
    <r>
      <rPr>
        <sz val="17"/>
        <rFont val="Arial"/>
        <family val="2"/>
      </rPr>
      <t>pro Ertragsjahr</t>
    </r>
  </si>
  <si>
    <t>Produktionskosten  pro ha</t>
  </si>
  <si>
    <r>
      <t xml:space="preserve">Pflanzenschutz </t>
    </r>
    <r>
      <rPr>
        <sz val="10"/>
        <rFont val="Arial"/>
        <family val="2"/>
      </rPr>
      <t>(Material, Maschinen, Arbeit)</t>
    </r>
  </si>
  <si>
    <t>1 ha</t>
  </si>
  <si>
    <t>Ertragsphase:</t>
  </si>
  <si>
    <t>Aufbauphase:</t>
  </si>
  <si>
    <t>Mit Regendach, Bewässerung &amp; Zaun</t>
  </si>
  <si>
    <t>Spanndraht 3mm</t>
  </si>
  <si>
    <r>
      <t>Akazienpfähle 225cm; D</t>
    </r>
    <r>
      <rPr>
        <sz val="9"/>
        <rFont val="Arial"/>
        <family val="2"/>
      </rPr>
      <t>istanz 4m</t>
    </r>
  </si>
  <si>
    <r>
      <t>Akazienpfähle 200cm; D</t>
    </r>
    <r>
      <rPr>
        <sz val="9"/>
        <rFont val="Arial"/>
        <family val="2"/>
      </rPr>
      <t>istanz 4m</t>
    </r>
  </si>
  <si>
    <r>
      <t>Leistung</t>
    </r>
    <r>
      <rPr>
        <sz val="11"/>
        <rFont val="Arial"/>
        <family val="2"/>
      </rPr>
      <t xml:space="preserve"> (Gesamterlös)</t>
    </r>
  </si>
  <si>
    <r>
      <t>Produktionskosten</t>
    </r>
    <r>
      <rPr>
        <sz val="12"/>
        <rFont val="Arial"/>
        <family val="2"/>
      </rPr>
      <t xml:space="preserve"> pro ha</t>
    </r>
  </si>
  <si>
    <t>Produktionskosten durchschnittlich 
über alle Klassen</t>
  </si>
  <si>
    <t>Mulchgerät mit Schwenkarm, 2.8m</t>
  </si>
  <si>
    <t>Liter / ha</t>
  </si>
  <si>
    <t>Traktor 4-Rad 50 kW</t>
  </si>
  <si>
    <t>Obstbautraktor 4-Rad</t>
  </si>
  <si>
    <t>Sprinkleranlage: Kontrolle, Spühlung</t>
  </si>
  <si>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</si>
  <si>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</si>
  <si>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</si>
  <si>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</si>
  <si>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</si>
  <si>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</si>
  <si>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</si>
  <si>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</si>
  <si>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Erstellungskosten Zaun </t>
    </r>
    <r>
      <rPr>
        <sz val="11"/>
        <rFont val="Arial"/>
        <family val="2"/>
      </rPr>
      <t>(Material+Arbeit+Maschinen)</t>
    </r>
  </si>
  <si>
    <r>
      <t>Variante Vorgaben</t>
    </r>
    <r>
      <rPr>
        <b/>
        <sz val="15"/>
        <color indexed="9"/>
        <rFont val="Arial"/>
        <family val="2"/>
      </rPr>
      <t xml:space="preserve">             </t>
    </r>
    <r>
      <rPr>
        <b/>
        <sz val="13"/>
        <color indexed="9"/>
        <rFont val="Arial"/>
        <family val="2"/>
      </rPr>
      <t>Seite 1</t>
    </r>
    <r>
      <rPr>
        <b/>
        <sz val="15"/>
        <color indexed="9"/>
        <rFont val="Arial"/>
        <family val="2"/>
      </rPr>
      <t xml:space="preserve">   </t>
    </r>
    <r>
      <rPr>
        <b/>
        <sz val="20"/>
        <color indexed="9"/>
        <rFont val="Arial"/>
        <family val="2"/>
      </rPr>
      <t xml:space="preserve">               </t>
    </r>
  </si>
  <si>
    <t>Ernteschutznetz</t>
  </si>
  <si>
    <t>Niederstammanlage mit Regendach, Ernteschutznetz, Bewässerung und Zaun</t>
  </si>
  <si>
    <t>7 Jahre</t>
  </si>
  <si>
    <t>Arbeitskosten jährlich</t>
  </si>
  <si>
    <t>Ernteschutznetz: Ein- und Ausrollen</t>
  </si>
  <si>
    <r>
      <t>Abschreibung Kirschenanlage</t>
    </r>
    <r>
      <rPr>
        <b/>
        <sz val="10"/>
        <rFont val="Arial"/>
        <family val="2"/>
      </rPr>
      <t xml:space="preserve"> </t>
    </r>
    <r>
      <rPr>
        <sz val="9"/>
        <rFont val="Arial"/>
        <family val="2"/>
      </rPr>
      <t>(inkl. Regendach mit 1x Folie, Ernteschutznetz 1x, Bewässerungsanlage und Zaun)</t>
    </r>
  </si>
  <si>
    <t>1j.V.</t>
  </si>
  <si>
    <r>
      <t xml:space="preserve">Variante Vorgaben           </t>
    </r>
    <r>
      <rPr>
        <b/>
        <sz val="13"/>
        <color indexed="9"/>
        <rFont val="Arial"/>
        <family val="2"/>
      </rPr>
      <t>Seite 2</t>
    </r>
    <r>
      <rPr>
        <b/>
        <sz val="20"/>
        <color indexed="9"/>
        <rFont val="Arial"/>
        <family val="2"/>
      </rPr>
      <t xml:space="preserve">                  </t>
    </r>
  </si>
  <si>
    <t>Lieferung an Genossenschaft,
 Sortierung am Baum (baumfallend)</t>
  </si>
  <si>
    <t>Produktionskosten Kl. Premium</t>
  </si>
  <si>
    <r>
      <t>Preise</t>
    </r>
    <r>
      <rPr>
        <sz val="14"/>
        <color indexed="8"/>
        <rFont val="Arial"/>
        <family val="2"/>
      </rPr>
      <t xml:space="preserve"> (ohne Kalibrierungs- und sonstige Sortierkosten)</t>
    </r>
    <r>
      <rPr>
        <b/>
        <sz val="20"/>
        <color indexed="8"/>
        <rFont val="Arial"/>
        <family val="2"/>
      </rPr>
      <t xml:space="preserve">   </t>
    </r>
  </si>
  <si>
    <t>Betriebsleiter</t>
  </si>
  <si>
    <r>
      <t xml:space="preserve">Lohnkosten brutto </t>
    </r>
    <r>
      <rPr>
        <sz val="10"/>
        <color indexed="8"/>
        <rFont val="Arial"/>
        <family val="2"/>
      </rPr>
      <t>Betriebsleiter</t>
    </r>
  </si>
  <si>
    <t>Durchschnitt (berechnet) alle</t>
  </si>
  <si>
    <t>Durchschnitt (berechnet) Leiter u. intern</t>
  </si>
  <si>
    <t>ÖLN</t>
  </si>
  <si>
    <t>Fr. / h</t>
  </si>
  <si>
    <t>Kommentar: Auslastung gemäss ART evt. im Durchschnitt zu hoch, d.h. Ansätze eher zu klein.</t>
  </si>
  <si>
    <t>Quelle: Anbauempfehlung Obstregion NW-CH 2007</t>
  </si>
  <si>
    <t>Pfähle Hilfsgerüst</t>
  </si>
  <si>
    <t>Eckpfähle Mamut 4.5 m 13/15</t>
  </si>
  <si>
    <t>Reihenpfähle 4.5m 8/10</t>
  </si>
  <si>
    <t>Endpfähle 4.5m 10/12</t>
  </si>
  <si>
    <t>Bodenanker</t>
  </si>
  <si>
    <t>Anker-Feinlitzseil 9.5mm</t>
  </si>
  <si>
    <t>Subtotal Pfähle Hilfsgerüst</t>
  </si>
  <si>
    <t>Groblitz-Querseil</t>
  </si>
  <si>
    <t>Drahtseil 4 mm</t>
  </si>
  <si>
    <t>Folienfix Model 2 ohne Oesen</t>
  </si>
  <si>
    <t>Seilklemmen 6/10 mm</t>
  </si>
  <si>
    <t>Drahtspanner mittel</t>
  </si>
  <si>
    <t>Abspannung</t>
  </si>
  <si>
    <t>diverses Kleinmaterial</t>
  </si>
  <si>
    <t>Subtotal Dachkonstruktion</t>
  </si>
  <si>
    <t>Erstellung Regendach  inkl. Vogelschutz</t>
  </si>
  <si>
    <t>Basis: Anbauempfehlungen NW-CH, 2007</t>
  </si>
  <si>
    <t>S. 56 System Netzteam-Plast-Holz</t>
  </si>
  <si>
    <t>Vogelschutz-Vorhang</t>
  </si>
  <si>
    <t>Rand-Plaketten alle 2m</t>
  </si>
  <si>
    <t>Folie Bändchengewebe</t>
  </si>
  <si>
    <t>Folienanbindschnüre</t>
  </si>
  <si>
    <t>Folienplaketten</t>
  </si>
  <si>
    <t>Montage/Demontage</t>
  </si>
  <si>
    <t>Maschinenkosten</t>
  </si>
  <si>
    <t>inkl. Ausstecken, Pfähle verteilen, Pfählen</t>
  </si>
  <si>
    <t>Folienrollgerätkosten (überbetrieblicher Einsatz)</t>
  </si>
  <si>
    <t>Kosten für jährliche Montage/Demontage Vogelschutznetz</t>
  </si>
  <si>
    <t>Jahreskosten Regendach System Netzteam-Plast-Holz ohne Hagelnetz inkl. Vogelschutz</t>
  </si>
  <si>
    <t>Folie u. Vogelschutz mit Erstmontage</t>
  </si>
  <si>
    <t xml:space="preserve">Bewässerungsanlage: Mikrosprinkler </t>
  </si>
  <si>
    <t>Tropfanlage</t>
  </si>
  <si>
    <t>Verteilanlage</t>
  </si>
  <si>
    <t>Kopfstation</t>
  </si>
  <si>
    <t>Hauptleitung graben/verlegen</t>
  </si>
  <si>
    <t>Tropfschlauch auslegen u. montieren</t>
  </si>
  <si>
    <t>Sprinkler montieren</t>
  </si>
  <si>
    <t>Amessen</t>
  </si>
  <si>
    <t>Kleinbagger bedienen</t>
  </si>
  <si>
    <t>Kopfstation einrichten</t>
  </si>
  <si>
    <t>Verlustzeiten</t>
  </si>
  <si>
    <t>Jährliche Kosten für Montage/Demontage des VogelschutzVorhangs</t>
  </si>
  <si>
    <t xml:space="preserve"> </t>
  </si>
  <si>
    <t>Regina</t>
  </si>
  <si>
    <t>Kordia</t>
  </si>
  <si>
    <t>Produktionskosten Premium    Fr./kg</t>
  </si>
  <si>
    <t>Kompost</t>
  </si>
  <si>
    <t>Blattdüngung</t>
  </si>
  <si>
    <t>Harnstoff</t>
  </si>
  <si>
    <t>Behangsregulierung (chemisch)</t>
  </si>
  <si>
    <r>
      <t>Ernte</t>
    </r>
    <r>
      <rPr>
        <sz val="10"/>
        <rFont val="Arial"/>
        <family val="2"/>
      </rPr>
      <t xml:space="preserve"> (inkl. Sortieren  ohne kalibrieren)</t>
    </r>
  </si>
  <si>
    <t>Lieferung an Genossenschaft,
Ernte inkl. Sortierung ohne maschinelles kalibrieren</t>
  </si>
  <si>
    <t>Delan WG</t>
  </si>
  <si>
    <t>branchenbeiträge</t>
  </si>
  <si>
    <t>Abzüge                                      branchenbeiträge</t>
  </si>
  <si>
    <t>Durchschnitt intern + extern</t>
  </si>
  <si>
    <r>
      <t>Ernteleistung</t>
    </r>
    <r>
      <rPr>
        <sz val="10"/>
        <color indexed="8"/>
        <rFont val="Arial"/>
        <family val="2"/>
      </rPr>
      <t xml:space="preserve"> (baumfallend)    </t>
    </r>
    <r>
      <rPr>
        <b/>
        <sz val="10"/>
        <color indexed="8"/>
        <rFont val="Arial"/>
        <family val="2"/>
      </rPr>
      <t xml:space="preserve"> </t>
    </r>
  </si>
  <si>
    <t>Lieferung an Genossenschaft,
Ernte inkl. Sortieren ohne maschinelles kalibrieren</t>
  </si>
  <si>
    <t>Anbaugebläsepritze 1000 l</t>
  </si>
  <si>
    <t>Anbaugebläsepritze 500 l</t>
  </si>
  <si>
    <t>Obstbautraktor 4-Rad (45-54 kW, 61-73 PS)</t>
  </si>
  <si>
    <t xml:space="preserve">Bodenfräse mit Stabkrümler 2.1m </t>
  </si>
  <si>
    <t>Anbaufeldspritze, 12 m Balken, 600 l Fass</t>
  </si>
  <si>
    <t>Kleiner Baumpfahl, 125 cm</t>
  </si>
  <si>
    <t>Hortima Katalog 2009 &amp;          Alfred Husistein</t>
  </si>
  <si>
    <t xml:space="preserve">  </t>
  </si>
  <si>
    <r>
      <t xml:space="preserve">   Deckungsgrad</t>
    </r>
    <r>
      <rPr>
        <b/>
        <sz val="10"/>
        <rFont val="Arial"/>
        <family val="2"/>
      </rPr>
      <t xml:space="preserve"> = </t>
    </r>
    <r>
      <rPr>
        <sz val="10"/>
        <rFont val="Arial"/>
        <family val="2"/>
      </rPr>
      <t>Leistung / Produktionskosten</t>
    </r>
  </si>
  <si>
    <r>
      <t>Rentabilität</t>
    </r>
    <r>
      <rPr>
        <sz val="11"/>
        <rFont val="Arial"/>
        <family val="2"/>
      </rPr>
      <t xml:space="preserve"> = </t>
    </r>
    <r>
      <rPr>
        <sz val="10"/>
        <rFont val="Arial"/>
        <family val="2"/>
      </rPr>
      <t xml:space="preserve">Eigenkapitalsrente (kalk. Gewinn + Zinsanspruch) pro investiertem Kapital </t>
    </r>
  </si>
  <si>
    <r>
      <t xml:space="preserve">Gesamtinvestition          </t>
    </r>
    <r>
      <rPr>
        <sz val="10"/>
        <rFont val="Arial"/>
        <family val="2"/>
      </rPr>
      <t>(GesamtCashflow am Ende der Aufbauphase = Basis für die Abschreibung)</t>
    </r>
  </si>
  <si>
    <r>
      <t xml:space="preserve">Cashflow </t>
    </r>
    <r>
      <rPr>
        <sz val="10"/>
        <rFont val="Arial"/>
        <family val="2"/>
      </rPr>
      <t>(kalk. Gewinn plus Abschreibung Obstanlage)</t>
    </r>
  </si>
  <si>
    <r>
      <t>Vergleichbarer Deckungsbeitrag</t>
    </r>
    <r>
      <rPr>
        <sz val="11"/>
        <rFont val="Arial"/>
        <family val="2"/>
      </rPr>
      <t xml:space="preserve">       </t>
    </r>
    <r>
      <rPr>
        <sz val="10"/>
        <rFont val="Arial"/>
        <family val="2"/>
      </rPr>
      <t>(früher DfE)</t>
    </r>
  </si>
  <si>
    <r>
      <t>Erwirtschaftetes Kapital</t>
    </r>
    <r>
      <rPr>
        <sz val="11"/>
        <rFont val="Arial"/>
        <family val="2"/>
      </rPr>
      <t xml:space="preserve"> </t>
    </r>
    <r>
      <rPr>
        <sz val="10"/>
        <rFont val="Arial"/>
        <family val="2"/>
      </rPr>
      <t>am Ende der Ertragsphase</t>
    </r>
  </si>
  <si>
    <r>
      <t>Arbeitseinkommen</t>
    </r>
    <r>
      <rPr>
        <sz val="10"/>
        <rFont val="Arial"/>
        <family val="2"/>
      </rPr>
      <t xml:space="preserve"> = Leistung - Produktionskosten ohne Arbeit</t>
    </r>
  </si>
  <si>
    <r>
      <t>Arbeitseinkommen</t>
    </r>
    <r>
      <rPr>
        <sz val="11"/>
        <rFont val="Arial"/>
        <family val="2"/>
      </rPr>
      <t xml:space="preserve"> </t>
    </r>
    <r>
      <rPr>
        <b/>
        <sz val="11"/>
        <rFont val="Arial"/>
        <family val="2"/>
      </rPr>
      <t xml:space="preserve">intern </t>
    </r>
    <r>
      <rPr>
        <sz val="11"/>
        <rFont val="Arial"/>
        <family val="2"/>
      </rPr>
      <t xml:space="preserve">= </t>
    </r>
    <r>
      <rPr>
        <sz val="10"/>
        <rFont val="Arial"/>
        <family val="2"/>
      </rPr>
      <t>Arbeitseinkommen - Lohnkosten extern</t>
    </r>
  </si>
  <si>
    <r>
      <t xml:space="preserve">Arbeitseinkommen pro Akh  </t>
    </r>
    <r>
      <rPr>
        <b/>
        <i/>
        <sz val="11"/>
        <rFont val="Arial"/>
        <family val="2"/>
      </rPr>
      <t>intern</t>
    </r>
  </si>
  <si>
    <r>
      <t>Arbeitsproduktivität</t>
    </r>
    <r>
      <rPr>
        <sz val="11"/>
        <rFont val="Arial"/>
        <family val="2"/>
      </rPr>
      <t xml:space="preserve">  </t>
    </r>
    <r>
      <rPr>
        <sz val="10"/>
        <rFont val="Arial"/>
        <family val="2"/>
      </rPr>
      <t>als kg Kl. Premium / Akh gesamt</t>
    </r>
  </si>
  <si>
    <t>Kalibrierungskosten</t>
  </si>
  <si>
    <t>Abzüge und Branchenbeiträge</t>
  </si>
  <si>
    <t>pro kg</t>
  </si>
  <si>
    <r>
      <t>Quelle:</t>
    </r>
    <r>
      <rPr>
        <sz val="12"/>
        <color indexed="9"/>
        <rFont val="Arial"/>
        <family val="2"/>
      </rPr>
      <t xml:space="preserve"> Expertenschätzung von Produzenten, kantonalen Fachstellen und Agroscope</t>
    </r>
  </si>
  <si>
    <t>Slick</t>
  </si>
  <si>
    <t>Dirigol-N</t>
  </si>
  <si>
    <t>Obstsorte</t>
  </si>
  <si>
    <t>Wirkbereich</t>
  </si>
  <si>
    <t>Produkt</t>
  </si>
  <si>
    <t>Wirkungsstoff</t>
  </si>
  <si>
    <t>URL_Wirkstoff</t>
  </si>
  <si>
    <t>Packungsgrösse_kg_l</t>
  </si>
  <si>
    <t>Preis_pro_packung</t>
  </si>
  <si>
    <t>Preis_PSM_Produkt_CHF/l_oder_CHF/kg</t>
  </si>
  <si>
    <t>Menge_PSM_ha</t>
  </si>
  <si>
    <t>Einheit</t>
  </si>
  <si>
    <t>Daten_aus_Preisliste</t>
  </si>
  <si>
    <t>URL_Quelle</t>
  </si>
  <si>
    <t>Kommentare_öffentlich</t>
  </si>
  <si>
    <t>Kommentare_intern</t>
  </si>
  <si>
    <t>Insektizid</t>
  </si>
  <si>
    <t>KG</t>
  </si>
  <si>
    <t>Verbraucherliste 2020</t>
  </si>
  <si>
    <t>http://www.landisurb.ch/landi-agro/agroaktuell/pflanzenschutz</t>
  </si>
  <si>
    <t>Kirsche</t>
  </si>
  <si>
    <t>Keine</t>
  </si>
  <si>
    <t>L</t>
  </si>
  <si>
    <t>Wartefrist 3 Wochen</t>
  </si>
  <si>
    <t>Herbizid</t>
  </si>
  <si>
    <t>Hersteller Website</t>
  </si>
  <si>
    <t>Fungizid</t>
  </si>
  <si>
    <t xml:space="preserve">Azoxystrobin </t>
  </si>
  <si>
    <t>https://www.psm.admin.ch/de/wirkstoffe/1319</t>
  </si>
  <si>
    <t>Wartefrist 3 Wochen; Bis spätestens BBCH 70</t>
  </si>
  <si>
    <t>27 N 2.5 Mg</t>
  </si>
  <si>
    <t>http://www.landisurb.ch/landi-agro/agroaktuell/duenger</t>
  </si>
  <si>
    <t>Arbellin AGROline</t>
  </si>
  <si>
    <t>https://www.landor.ch/fileadmin/user_upload/Dowloads/Flyer_und_andere_Downloads/Du__ngerliste_03-2020_DE_web.pdf</t>
  </si>
  <si>
    <t>Nicht chlorfrei</t>
  </si>
  <si>
    <t>Basta 150</t>
  </si>
  <si>
    <t xml:space="preserve">Glufosinate </t>
  </si>
  <si>
    <t>https://www.psm.admin.ch/de/wirkstoffe/868</t>
  </si>
  <si>
    <t>Bewilligung beendet: Ausverkaufsfrist: 06.01.2021, Aufbrauchsfrist: 06.01.2022</t>
  </si>
  <si>
    <t xml:space="preserve">Dithianon </t>
  </si>
  <si>
    <t>https://www.psm.admin.ch/de/wirkstoffe/1155</t>
  </si>
  <si>
    <t>Parallelimport möglich; Wartefrist 3 Wochen</t>
  </si>
  <si>
    <t xml:space="preserve">2-(1-naphthyl) Acetamide </t>
  </si>
  <si>
    <t>https://www.psm.admin.ch/de/wirkstoffe/813</t>
  </si>
  <si>
    <t>Wartefrist 2 Wochen</t>
  </si>
  <si>
    <t xml:space="preserve">Gazelle SG </t>
  </si>
  <si>
    <t xml:space="preserve">Acetamiprid </t>
  </si>
  <si>
    <t>https://www.psm.admin.ch/de/wirkstoffe/1350</t>
  </si>
  <si>
    <t>https://www.staehler.ch/de/produkte/info/gazelle-sg.html</t>
  </si>
  <si>
    <t xml:space="preserve">Glyphosat </t>
  </si>
  <si>
    <t xml:space="preserve">K2O 30%, MgO 10%, 17%  </t>
  </si>
  <si>
    <t>Mehr Info auf der Hersteller Webseite</t>
  </si>
  <si>
    <t xml:space="preserve">Difenoconazol </t>
  </si>
  <si>
    <t>https://www.psm.admin.ch/de/wirkstoffe/894</t>
  </si>
  <si>
    <t>Steward</t>
  </si>
  <si>
    <t xml:space="preserve">Indoxacarb </t>
  </si>
  <si>
    <t>https://www.psm.admin.ch/de/wirkstoffe/1362</t>
  </si>
  <si>
    <t>Bis spätestens Mitte Mai (Vor oder Nachblüte); Parallelimport möglich; Häutungshemmung</t>
  </si>
  <si>
    <t xml:space="preserve">Fenhexamid </t>
  </si>
  <si>
    <t>https://www.psm.admin.ch/de/wirkstoffe/1366</t>
  </si>
  <si>
    <t>Teldor WG 50</t>
  </si>
  <si>
    <t>Anzahl_Behandlungen</t>
  </si>
  <si>
    <t>Anzahl_Behandlungen2</t>
  </si>
  <si>
    <t>-Bitte auswählen-</t>
  </si>
  <si>
    <t>Liste Landor 2020</t>
  </si>
  <si>
    <t>https://www.landor.ch/produkte/?no_cache=1</t>
  </si>
  <si>
    <t>46 % N</t>
  </si>
  <si>
    <t>N 0%, P 8%, K 18%, Mg 4%</t>
  </si>
  <si>
    <t>Behangregulierung</t>
  </si>
  <si>
    <t>Andere</t>
  </si>
  <si>
    <t xml:space="preserve">Zwei Listen zu Behandlungen Anzahl sind definiert: </t>
  </si>
  <si>
    <t>Sechs Psm Katergorien sind definiert; ein Maximum von 25 Mittel können in den Listen ausgewählt werden.</t>
  </si>
  <si>
    <t>Dieses Blatt filtriert die "Daten_Psm" dient zu Hingrundrechnungen für die Pflanzenschutztabellen.</t>
  </si>
  <si>
    <t>Abzüge</t>
  </si>
  <si>
    <t>Duplosan KV-Combi</t>
  </si>
  <si>
    <t>Mecoprop-P, 2,4-D</t>
  </si>
  <si>
    <t>https://www.psm.admin.ch/de/produkte/6316</t>
  </si>
  <si>
    <t>Verbraucherliste 2021</t>
  </si>
  <si>
    <t xml:space="preserve">                                       28+ mm</t>
  </si>
  <si>
    <t xml:space="preserve">                                      24+ mm</t>
  </si>
  <si>
    <t xml:space="preserve">                                       22+ mm</t>
  </si>
  <si>
    <t>Gründdunger (Terbona)</t>
  </si>
  <si>
    <t>Herbizidibalken + Herbizidfass</t>
  </si>
  <si>
    <t>Moon Privilege</t>
  </si>
  <si>
    <t xml:space="preserve">Fluopyram </t>
  </si>
  <si>
    <t>https://www.psm.admin.ch/de/wirkstoffe/1583</t>
  </si>
  <si>
    <t>Vitigran 35</t>
  </si>
  <si>
    <t xml:space="preserve">Kupfer (als Oxychlorid) </t>
  </si>
  <si>
    <t>https://www.psm.admin.ch/de/wirkstoffe/898</t>
  </si>
  <si>
    <t>Hersteller Webseite</t>
  </si>
  <si>
    <t>https://www.omya.com/pages/agro/de/ratgeber.aspx</t>
  </si>
  <si>
    <t>Flint</t>
  </si>
  <si>
    <t xml:space="preserve">Trifloxystrobin </t>
  </si>
  <si>
    <t>https://www.psm.admin.ch/de/wirkstoffe/1364</t>
  </si>
  <si>
    <t>Movento SC</t>
  </si>
  <si>
    <t xml:space="preserve">Spirotetramat </t>
  </si>
  <si>
    <t>https://www.psm.admin.ch/de/wirkstoffe/1568</t>
  </si>
  <si>
    <t>Parallelimport möglich</t>
  </si>
  <si>
    <t>Audienz</t>
  </si>
  <si>
    <t>Spinosad</t>
  </si>
  <si>
    <t>https://www.psm.admin.ch/de/wirkstoffe/1421</t>
  </si>
  <si>
    <t>Netzschwefel</t>
  </si>
  <si>
    <t xml:space="preserve">Schwefel </t>
  </si>
  <si>
    <t>https://www.psm.admin.ch/de/wirkstoffe/338</t>
  </si>
  <si>
    <t>Weissöl S</t>
  </si>
  <si>
    <t>Paraffinöl 99.1%</t>
  </si>
  <si>
    <t>https://www.biocontrol.ch/de_bc/broschure-pflanzenschutz?utm_campaign=iBanner_Katalog_DE</t>
  </si>
  <si>
    <t>Glyphosate</t>
  </si>
  <si>
    <t>https://www.psm.admin.ch/de/wirkstoffe/5553</t>
  </si>
  <si>
    <t>Goemar Start</t>
  </si>
  <si>
    <t>Verbraucherliste 2022</t>
  </si>
  <si>
    <t>Roundup PowerMax</t>
  </si>
  <si>
    <t>https://www.psm.admin.ch/de/wirkstoffe/6646</t>
  </si>
  <si>
    <t>28+ mm</t>
  </si>
  <si>
    <t xml:space="preserve"> 22+ mm</t>
  </si>
  <si>
    <t xml:space="preserve"> Abgang</t>
  </si>
  <si>
    <t>24+ mm</t>
  </si>
  <si>
    <t>Insektenschutz</t>
  </si>
  <si>
    <t>Insektennetz Vorhang 2 Bahnen* Brutto-Breite *4m</t>
  </si>
  <si>
    <t>Insektennetz Vorhang 2 Bahnen x 4m x Nettolänge</t>
  </si>
  <si>
    <t>Insektennetz 0.70m x Nettolänge</t>
  </si>
  <si>
    <t>Insektennetz-Vorhang</t>
  </si>
  <si>
    <t>Abzüge (z.B Kalibrierkosten, Lagerkosten, Händlingspauschale, Transport)</t>
  </si>
  <si>
    <t xml:space="preserve">                                       Abgang &amp; Schwund</t>
  </si>
  <si>
    <t>Frostbekämpfung - Forstversicherung</t>
  </si>
  <si>
    <t>Jährliche Kosten Frostbkämpfung</t>
  </si>
  <si>
    <t>Frostbekämpfung</t>
  </si>
  <si>
    <t>Folie u. Insektenschutz mit Erstmontage</t>
  </si>
  <si>
    <t>Hebebühne</t>
  </si>
  <si>
    <t>Hebebühne für 1.Folienmontage  + Einrollen + Schnitt</t>
  </si>
  <si>
    <t>Hebebühne für Folie aus und ausrollen und Schnitt</t>
  </si>
  <si>
    <t>Hebebühne für Folienmontage und Schnitt</t>
  </si>
  <si>
    <t>Hebebühne für Folienmotnag und Schnitt</t>
  </si>
  <si>
    <t>Arbokost 2023</t>
  </si>
  <si>
    <t>Fungzide</t>
  </si>
  <si>
    <t>Fahrten herbizidbaldken + Herbizidfass</t>
  </si>
  <si>
    <t>3. Stj. + Ertragsphase</t>
  </si>
  <si>
    <t>Fahrten Anbaugebläsespritze</t>
  </si>
  <si>
    <t>Pflanzenbehandlungsmittel und Blattdüngung</t>
  </si>
  <si>
    <t>@copyright: Weitergabe der Kalkulationen nur mit Genemigung von Agroscope. Alle Angaben ohne Gewähr.</t>
  </si>
  <si>
    <t>Teuerung 2015-2023 (Baumaterialien gemäss Bundesamt für Statistik)</t>
  </si>
  <si>
    <t>Zitierungshinweis: Bravin E., Carint D., Zürcher M., Mouron P., Arbokost 2023, Agroscope, arbokost.agroscope.ch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</si>
</sst>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3" formatCode="_ * #,##0.00_ ;_ * \-#,##0.00_ ;_ * &quot;-&quot;??_ ;_ @_ "/>
    <numFmt numFmtId="164" formatCode="&quot;Fr.&quot;\ #,##0;&quot;Fr.&quot;\ \-#,##0"/>
    <numFmt numFmtId="165" formatCode="&quot;Fr.&quot;\ #,##0.00;&quot;Fr.&quot;\ \-#,##0.00"/>
    <numFmt numFmtId="166" formatCode="0.0"/>
    <numFmt numFmtId="167" formatCode="0.00\ &quot;Fr.&quot;"/>
    <numFmt numFmtId="168" formatCode="\ #,##0\ &quot;Fr.&quot;"/>
    <numFmt numFmtId="169" formatCode="h"/>
    <numFmt numFmtId="170" formatCode="\ #,##0\ \k\g"/>
    <numFmt numFmtId="171" formatCode="0.0\ \k\g"/>
    <numFmt numFmtId="172" formatCode="0\ \J"/>
    <numFmt numFmtId="173" formatCode="&quot;Fr.&quot;\ #,##0"/>
    <numFmt numFmtId="174" formatCode="0.0%"/>
    <numFmt numFmtId="175" formatCode="#,##0.0"/>
    <numFmt numFmtId="176" formatCode="0.00\ \k\g"/>
    <numFmt numFmtId="177" formatCode="#,##0\ &quot;Bäume&quot;"/>
    <numFmt numFmtId="178" formatCode="0.00\ &quot;Fr./kg&quot;"/>
    <numFmt numFmtId="179" formatCode="&quot;Fr.&quot;\ 0.00"/>
    <numFmt numFmtId="180" formatCode="#,##0\ &quot;kg / ha&quot;"/>
    <numFmt numFmtId="181" formatCode="#,##0\ &quot;kg / h&quot;"/>
    <numFmt numFmtId="182" formatCode="0.00\ &quot;Fr./ h&quot;"/>
    <numFmt numFmtId="183" formatCode="0.00\ &quot;Fr./ kg&quot;"/>
    <numFmt numFmtId="184" formatCode="0\ &quot;Akh&quot;"/>
    <numFmt numFmtId="185" formatCode="0.00\ &quot;Fr./ ha&quot;"/>
    <numFmt numFmtId="186" formatCode="0\ &quot;h / ha&quot;"/>
    <numFmt numFmtId="187" formatCode="0\ &quot;m&quot;"/>
    <numFmt numFmtId="188" formatCode="&quot;Faktor&quot;\ 0.0"/>
    <numFmt numFmtId="189" formatCode="0\ &quot;Fuder&quot;"/>
    <numFmt numFmtId="190" formatCode="0\ &quot;h&quot;"/>
    <numFmt numFmtId="191" formatCode="0\ &quot;m2&quot;"/>
    <numFmt numFmtId="192" formatCode="#,##0\ &quot;Bäume/ha&quot;"/>
    <numFmt numFmtId="193" formatCode="#,##0\ &quot;Fr.&quot;"/>
    <numFmt numFmtId="194" formatCode="0.00\ &quot;Fr./Fu&quot;"/>
    <numFmt numFmtId="195" formatCode="\ #,##0\ &quot;h&quot;"/>
    <numFmt numFmtId="196" formatCode="\ #,###.00\ &quot;Fr.&quot;\ "/>
    <numFmt numFmtId="197" formatCode="\ #,###\ &quot;Fr.&quot;\ "/>
    <numFmt numFmtId="198" formatCode="0\ &quot;Jahre&quot;"/>
    <numFmt numFmtId="199" formatCode="0.0\ &quot;m&quot;"/>
    <numFmt numFmtId="200" formatCode="0\ &quot;x&quot;"/>
    <numFmt numFmtId="201" formatCode="#,##0.00\ &quot;Fr.&quot;"/>
    <numFmt numFmtId="202" formatCode="0.00\ &quot;Fr./h&quot;"/>
    <numFmt numFmtId="203" formatCode="0.00\ &quot;von Erntestd.&quot;"/>
    <numFmt numFmtId="204" formatCode="#,##0\ &quot;Fr./J.&quot;"/>
    <numFmt numFmtId="205" formatCode="0.00\ &quot;v. Erntestd.&quot;"/>
    <numFmt numFmtId="206" formatCode="#,##0\ &quot;Akh&quot;"/>
    <numFmt numFmtId="207" formatCode="0.00\ &quot;von Akh&quot;"/>
    <numFmt numFmtId="208" formatCode="0.00\ &quot;Fr./100kg&quot;"/>
    <numFmt numFmtId="209" formatCode="#,##0\ &quot;m2&quot;"/>
    <numFmt numFmtId="210" formatCode="#,##0\ &quot;h&quot;"/>
    <numFmt numFmtId="211" formatCode="#,##0\ &quot;lfm&quot;"/>
    <numFmt numFmtId="212" formatCode="#,##0\ &quot;m3&quot;"/>
    <numFmt numFmtId="213" formatCode="0.00\ &quot;Fr./m3&quot;"/>
    <numFmt numFmtId="214" formatCode="0\ &quot;kg&quot;"/>
    <numFmt numFmtId="215" formatCode="#,##0.0\ &quot;kg / h&quot;"/>
    <numFmt numFmtId="216" formatCode="0\ &quot;Bäume/ha&quot;"/>
    <numFmt numFmtId="217" formatCode="0\ &quot;Fr./ ha&quot;"/>
    <numFmt numFmtId="218" formatCode="#,##0\ &quot;gerundet&quot;"/>
    <numFmt numFmtId="219" formatCode="0\ &quot;kg/h&quot;"/>
    <numFmt numFmtId="220" formatCode="#,##0\ &quot;Fr./ha&quot;"/>
    <numFmt numFmtId="221" formatCode="\ #,###\ &quot;Fr./ha&quot;"/>
    <numFmt numFmtId="222" formatCode="#,##0\ &quot;Fahrten&quot;"/>
    <numFmt numFmtId="223" formatCode="#,##0\ &quot;Fr./h&quot;"/>
    <numFmt numFmtId="224" formatCode="0\ &quot;St&quot;"/>
    <numFmt numFmtId="225" formatCode="&quot;Fr.&quot;\ #,##0.00"/>
    <numFmt numFmtId="226" formatCode="0.000"/>
    <numFmt numFmtId="227" formatCode="&quot;CHF&quot;\ #,##0.00"/>
  </numFmts>
  <fonts count="98" x14ac:knownFonts="1">
    <font>
      <sz val="10"/>
      <name val="Arial"/>
    </font>
    <font>
      <b/>
      <sz val="10"/>
      <name val="Arial"/>
    </font>
    <font>
      <i/>
      <sz val="10"/>
      <name val="Arial"/>
    </font>
    <font>
      <sz val="10"/>
      <name val="Arial"/>
      <family val="2"/>
    </font>
    <font>
      <b/>
      <sz val="20"/>
      <name val="Arial"/>
      <family val="2"/>
    </font>
    <font>
      <b/>
      <sz val="12"/>
      <name val="Arial"/>
      <family val="2"/>
    </font>
    <font>
      <sz val="8"/>
      <name val="Arial"/>
      <family val="2"/>
    </font>
    <font>
      <b/>
      <sz val="14"/>
      <name val="Arial"/>
      <family val="2"/>
    </font>
    <font>
      <sz val="12"/>
      <name val="Arial"/>
      <family val="2"/>
    </font>
    <font>
      <sz val="14"/>
      <name val="Arial"/>
      <family val="2"/>
    </font>
    <font>
      <b/>
      <sz val="12"/>
      <name val="Arial"/>
      <family val="2"/>
    </font>
    <font>
      <b/>
      <i/>
      <sz val="14"/>
      <name val="Arial"/>
      <family val="2"/>
    </font>
    <font>
      <b/>
      <sz val="10"/>
      <name val="Arial"/>
      <family val="2"/>
    </font>
    <font>
      <sz val="10"/>
      <name val="Arial"/>
      <family val="2"/>
    </font>
    <font>
      <b/>
      <sz val="10"/>
      <color indexed="9"/>
      <name val="Arial"/>
      <family val="2"/>
    </font>
    <font>
      <b/>
      <sz val="16"/>
      <name val="Arial"/>
      <family val="2"/>
    </font>
    <font>
      <b/>
      <sz val="16"/>
      <name val="Arial"/>
      <family val="2"/>
    </font>
    <font>
      <b/>
      <i/>
      <sz val="16"/>
      <name val="Arial"/>
      <family val="2"/>
    </font>
    <font>
      <sz val="10"/>
      <color indexed="9"/>
      <name val="Arial"/>
      <family val="2"/>
    </font>
    <font>
      <sz val="16"/>
      <color indexed="9"/>
      <name val="Arial"/>
      <family val="2"/>
    </font>
    <font>
      <sz val="10"/>
      <color indexed="8"/>
      <name val="Arial"/>
      <family val="2"/>
    </font>
    <font>
      <b/>
      <sz val="10"/>
      <color indexed="8"/>
      <name val="Arial"/>
      <family val="2"/>
    </font>
    <font>
      <sz val="11"/>
      <color indexed="8"/>
      <name val="Arial"/>
      <family val="2"/>
    </font>
    <font>
      <b/>
      <sz val="12"/>
      <color indexed="9"/>
      <name val="Arial"/>
      <family val="2"/>
    </font>
    <font>
      <b/>
      <sz val="11"/>
      <name val="Arial"/>
      <family val="2"/>
    </font>
    <font>
      <sz val="8"/>
      <name val="Arial"/>
      <family val="2"/>
    </font>
    <font>
      <b/>
      <sz val="11"/>
      <color indexed="9"/>
      <name val="Arial"/>
      <family val="2"/>
    </font>
    <font>
      <sz val="12"/>
      <color indexed="9"/>
      <name val="Arial"/>
      <family val="2"/>
    </font>
    <font>
      <sz val="10"/>
      <color indexed="10"/>
      <name val="Arial"/>
      <family val="2"/>
    </font>
    <font>
      <sz val="8"/>
      <color indexed="81"/>
      <name val="Tahoma"/>
      <family val="2"/>
    </font>
    <font>
      <b/>
      <sz val="8"/>
      <color indexed="81"/>
      <name val="Tahoma"/>
      <family val="2"/>
    </font>
    <font>
      <b/>
      <i/>
      <sz val="10"/>
      <name val="Arial"/>
      <family val="2"/>
    </font>
    <font>
      <b/>
      <sz val="20"/>
      <color indexed="9"/>
      <name val="Arial"/>
      <family val="2"/>
    </font>
    <font>
      <b/>
      <sz val="16"/>
      <color indexed="9"/>
      <name val="Arial"/>
      <family val="2"/>
    </font>
    <font>
      <b/>
      <sz val="14"/>
      <color indexed="9"/>
      <name val="Arial"/>
      <family val="2"/>
    </font>
    <font>
      <sz val="14"/>
      <color indexed="9"/>
      <name val="Arial"/>
      <family val="2"/>
    </font>
    <font>
      <b/>
      <sz val="20"/>
      <color indexed="8"/>
      <name val="Arial"/>
      <family val="2"/>
    </font>
    <font>
      <sz val="20"/>
      <color indexed="8"/>
      <name val="Arial"/>
      <family val="2"/>
    </font>
    <font>
      <sz val="9"/>
      <name val="Arial"/>
      <family val="2"/>
    </font>
    <font>
      <sz val="10"/>
      <color indexed="81"/>
      <name val="Tahoma"/>
      <family val="2"/>
    </font>
    <font>
      <b/>
      <i/>
      <sz val="12"/>
      <name val="Arial"/>
      <family val="2"/>
    </font>
    <font>
      <b/>
      <sz val="18"/>
      <color indexed="9"/>
      <name val="Arial"/>
      <family val="2"/>
    </font>
    <font>
      <b/>
      <sz val="10"/>
      <color indexed="10"/>
      <name val="Arial"/>
      <family val="2"/>
    </font>
    <font>
      <i/>
      <sz val="10"/>
      <name val="Arial"/>
      <family val="2"/>
    </font>
    <font>
      <b/>
      <i/>
      <sz val="10"/>
      <color indexed="9"/>
      <name val="Arial"/>
      <family val="2"/>
    </font>
    <font>
      <b/>
      <sz val="10"/>
      <color indexed="18"/>
      <name val="Arial"/>
      <family val="2"/>
    </font>
    <font>
      <sz val="10"/>
      <color indexed="17"/>
      <name val="Arial"/>
      <family val="2"/>
    </font>
    <font>
      <sz val="11"/>
      <color indexed="9"/>
      <name val="Arial"/>
      <family val="2"/>
    </font>
    <font>
      <b/>
      <i/>
      <sz val="16"/>
      <color indexed="9"/>
      <name val="Arial"/>
      <family val="2"/>
    </font>
    <font>
      <b/>
      <i/>
      <sz val="14"/>
      <color indexed="8"/>
      <name val="Arial"/>
      <family val="2"/>
    </font>
    <font>
      <sz val="10"/>
      <color indexed="50"/>
      <name val="Arial"/>
      <family val="2"/>
    </font>
    <font>
      <sz val="10"/>
      <color indexed="56"/>
      <name val="Arial"/>
      <family val="2"/>
    </font>
    <font>
      <b/>
      <i/>
      <sz val="10"/>
      <color indexed="81"/>
      <name val="Tahoma"/>
      <family val="2"/>
    </font>
    <font>
      <u/>
      <sz val="6"/>
      <color indexed="12"/>
      <name val="Arial"/>
      <family val="2"/>
    </font>
    <font>
      <b/>
      <sz val="12"/>
      <color indexed="8"/>
      <name val="Arial"/>
      <family val="2"/>
    </font>
    <font>
      <sz val="20"/>
      <name val="Arial"/>
      <family val="2"/>
    </font>
    <font>
      <b/>
      <sz val="15"/>
      <color indexed="9"/>
      <name val="Arial"/>
      <family val="2"/>
    </font>
    <font>
      <b/>
      <sz val="13"/>
      <color indexed="9"/>
      <name val="Arial"/>
      <family val="2"/>
    </font>
    <font>
      <sz val="11"/>
      <name val="Arial"/>
      <family val="2"/>
    </font>
    <font>
      <sz val="16"/>
      <name val="Arial"/>
      <family val="2"/>
    </font>
    <font>
      <b/>
      <i/>
      <sz val="11"/>
      <name val="Arial"/>
      <family val="2"/>
    </font>
    <font>
      <sz val="20"/>
      <color indexed="9"/>
      <name val="Arial"/>
      <family val="2"/>
    </font>
    <font>
      <sz val="11"/>
      <color indexed="81"/>
      <name val="Tahoma"/>
      <family val="2"/>
    </font>
    <font>
      <sz val="9"/>
      <color indexed="81"/>
      <name val="Tahoma"/>
      <family val="2"/>
    </font>
    <font>
      <b/>
      <sz val="10"/>
      <color indexed="9"/>
      <name val="Arial"/>
      <family val="2"/>
    </font>
    <font>
      <sz val="10"/>
      <color indexed="9"/>
      <name val="Arial"/>
      <family val="2"/>
    </font>
    <font>
      <b/>
      <i/>
      <sz val="12"/>
      <color indexed="10"/>
      <name val="Arial"/>
      <family val="2"/>
    </font>
    <font>
      <b/>
      <sz val="11"/>
      <color indexed="9"/>
      <name val="Arial"/>
      <family val="2"/>
    </font>
    <font>
      <b/>
      <sz val="12"/>
      <color indexed="9"/>
      <name val="Arial"/>
      <family val="2"/>
    </font>
    <font>
      <b/>
      <i/>
      <sz val="12"/>
      <name val="Arial"/>
      <family val="2"/>
    </font>
    <font>
      <sz val="12"/>
      <name val="Arial"/>
      <family val="2"/>
    </font>
    <font>
      <sz val="10"/>
      <color indexed="10"/>
      <name val="Arial"/>
      <family val="2"/>
    </font>
    <font>
      <b/>
      <sz val="13"/>
      <name val="Arial"/>
      <family val="2"/>
    </font>
    <font>
      <sz val="9"/>
      <name val="Arial"/>
      <family val="2"/>
    </font>
    <font>
      <sz val="13"/>
      <name val="Arial"/>
      <family val="2"/>
    </font>
    <font>
      <sz val="11"/>
      <name val="Arial"/>
      <family val="2"/>
    </font>
    <font>
      <b/>
      <sz val="11"/>
      <name val="Arial"/>
      <family val="2"/>
    </font>
    <font>
      <b/>
      <sz val="17"/>
      <color indexed="9"/>
      <name val="Arial"/>
      <family val="2"/>
    </font>
    <font>
      <sz val="17"/>
      <name val="Arial"/>
      <family val="2"/>
    </font>
    <font>
      <b/>
      <sz val="17"/>
      <name val="Arial"/>
      <family val="2"/>
    </font>
    <font>
      <b/>
      <i/>
      <sz val="17"/>
      <name val="Arial"/>
      <family val="2"/>
    </font>
    <font>
      <b/>
      <sz val="8"/>
      <color indexed="10"/>
      <name val="Arial"/>
      <family val="2"/>
    </font>
    <font>
      <sz val="11"/>
      <color indexed="9"/>
      <name val="Arial"/>
      <family val="2"/>
    </font>
    <font>
      <b/>
      <sz val="10"/>
      <color indexed="10"/>
      <name val="Arial"/>
      <family val="2"/>
    </font>
    <font>
      <sz val="14"/>
      <color indexed="8"/>
      <name val="Arial"/>
      <family val="2"/>
    </font>
    <font>
      <b/>
      <sz val="9"/>
      <color indexed="81"/>
      <name val="Tahoma"/>
      <family val="2"/>
    </font>
    <font>
      <sz val="7"/>
      <name val="Arial"/>
      <family val="2"/>
    </font>
    <font>
      <sz val="10"/>
      <color theme="1"/>
      <name val="Arial"/>
      <family val="2"/>
    </font>
    <font>
      <sz val="11"/>
      <color theme="1"/>
      <name val="Arial"/>
      <family val="2"/>
    </font>
    <font>
      <sz val="10"/>
      <color rgb="FFFF0000"/>
      <name val="Arial"/>
      <family val="2"/>
    </font>
    <font>
      <b/>
      <sz val="10"/>
      <color theme="9"/>
      <name val="Arial"/>
      <family val="2"/>
    </font>
    <font>
      <b/>
      <sz val="11"/>
      <color theme="1"/>
      <name val="Arial"/>
      <family val="2"/>
    </font>
    <font>
      <u/>
      <sz val="10"/>
      <color theme="4"/>
      <name val="Arial"/>
      <family val="2"/>
    </font>
    <font>
      <sz val="9"/>
      <color indexed="81"/>
      <name val="Segoe UI"/>
      <charset val="1"/>
    </font>
    <font>
      <b/>
      <sz val="9"/>
      <color indexed="81"/>
      <name val="Segoe UI"/>
      <charset val="1"/>
    </font>
    <font>
      <sz val="10"/>
      <color theme="0"/>
      <name val="Arial"/>
      <family val="2"/>
    </font>
    <font>
      <b/>
      <sz val="10"/>
      <color theme="0"/>
      <name val="Arial"/>
      <family val="2"/>
    </font>
    <font>
      <b/>
      <sz val="16"/>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9"/>
        <bgColor indexed="64"/>
      </patternFill>
    </fill>
    <fill>
      <patternFill patternType="solid">
        <fgColor indexed="10"/>
        <bgColor indexed="64"/>
      </patternFill>
    </fill>
    <fill>
      <patternFill patternType="solid">
        <fgColor indexed="43"/>
        <bgColor indexed="64"/>
      </patternFill>
    </fill>
    <fill>
      <patternFill patternType="solid">
        <fgColor indexed="18"/>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50"/>
        <bgColor indexed="64"/>
      </patternFill>
    </fill>
    <fill>
      <patternFill patternType="solid">
        <fgColor rgb="FFFFFF00"/>
        <bgColor indexed="64"/>
      </patternFill>
    </fill>
    <fill>
      <patternFill patternType="solid">
        <fgColor rgb="FFFF66CC"/>
        <bgColor indexed="64"/>
      </patternFill>
    </fill>
    <fill>
      <patternFill patternType="solid">
        <fgColor theme="0" tint="-0.14999847407452621"/>
        <bgColor indexed="64"/>
      </patternFill>
    </fill>
    <fill>
      <patternFill patternType="solid">
        <fgColor rgb="FF00359E"/>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thick">
        <color theme="3"/>
      </left>
      <right style="thick">
        <color theme="3"/>
      </right>
      <top/>
      <bottom/>
      <diagonal/>
    </border>
    <border>
      <left style="thick">
        <color rgb="FF00359E"/>
      </left>
      <right style="thick">
        <color rgb="FF00359E"/>
      </right>
      <top style="thick">
        <color rgb="FF00359E"/>
      </top>
      <bottom/>
      <diagonal/>
    </border>
    <border>
      <left style="thick">
        <color rgb="FF00359E"/>
      </left>
      <right style="thick">
        <color rgb="FF00359E"/>
      </right>
      <top/>
      <bottom/>
      <diagonal/>
    </border>
    <border>
      <left style="thick">
        <color rgb="FFFF66CC"/>
      </left>
      <right style="thick">
        <color rgb="FFFF66CC"/>
      </right>
      <top/>
      <bottom/>
      <diagonal/>
    </border>
    <border>
      <left style="thick">
        <color rgb="FFFF66CC"/>
      </left>
      <right style="thick">
        <color rgb="FFFF66CC"/>
      </right>
      <top style="thick">
        <color rgb="FFFF66CC"/>
      </top>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
      <left style="thick">
        <color rgb="FFFF66CC"/>
      </left>
      <right style="thick">
        <color rgb="FFFF66CC"/>
      </right>
      <top/>
      <bottom style="thick">
        <color rgb="FFFF66CC"/>
      </bottom>
      <diagonal/>
    </border>
    <border>
      <left style="thick">
        <color rgb="FF00359E"/>
      </left>
      <right style="thick">
        <color rgb="FF00359E"/>
      </right>
      <top/>
      <bottom style="thick">
        <color rgb="FF00359E"/>
      </bottom>
      <diagonal/>
    </border>
    <border>
      <left style="thick">
        <color rgb="FF00359E"/>
      </left>
      <right style="thick">
        <color rgb="FF00359E"/>
      </right>
      <top/>
      <bottom style="medium">
        <color indexed="64"/>
      </bottom>
      <diagonal/>
    </border>
    <border>
      <left style="thick">
        <color rgb="FFFF66CC"/>
      </left>
      <right style="thick">
        <color rgb="FFFF66CC"/>
      </right>
      <top/>
      <bottom style="thin">
        <color indexed="64"/>
      </bottom>
      <diagonal/>
    </border>
    <border>
      <left style="thick">
        <color theme="3"/>
      </left>
      <right style="thick">
        <color theme="3"/>
      </right>
      <top style="thin">
        <color indexed="64"/>
      </top>
      <bottom/>
      <diagonal/>
    </border>
    <border>
      <left style="thick">
        <color rgb="FFFF66CC"/>
      </left>
      <right style="thick">
        <color rgb="FFFF66CC"/>
      </right>
      <top style="thin">
        <color indexed="64"/>
      </top>
      <bottom/>
      <diagonal/>
    </border>
  </borders>
  <cellStyleXfs count="5">
    <xf numFmtId="0" fontId="0" fillId="0" borderId="0"/>
    <xf numFmtId="43" fontId="3" fillId="0" borderId="0" applyFont="0" applyFill="0" applyBorder="0" applyAlignment="0" applyProtection="0"/>
    <xf numFmtId="0" fontId="53" fillId="0" borderId="0" applyNumberFormat="0" applyFill="0" applyBorder="0" applyAlignment="0" applyProtection="0">
      <alignment vertical="top"/>
      <protection locked="0"/>
    </xf>
    <xf numFmtId="9" fontId="3" fillId="0" borderId="0" applyFont="0" applyFill="0" applyBorder="0" applyAlignment="0" applyProtection="0"/>
    <xf numFmtId="0" fontId="88" fillId="0" borderId="0"/>
  </cellStyleXfs>
  <cellXfs count="1382">
    <xf numFmtId="0" fontId="0" fillId="0" borderId="0" xfId="0"/>
    <xf numFmtId="0" fontId="0" fillId="0" borderId="0" xfId="0" applyFill="1"/>
    <xf numFmtId="0" fontId="5" fillId="0" borderId="0" xfId="0" applyFont="1" applyFill="1"/>
    <xf numFmtId="0" fontId="1" fillId="0" borderId="0" xfId="0" applyFont="1" applyFill="1"/>
    <xf numFmtId="0" fontId="3" fillId="0" borderId="0" xfId="0" applyFont="1" applyFill="1"/>
    <xf numFmtId="166" fontId="0" fillId="0" borderId="0" xfId="0" applyNumberFormat="1" applyFill="1"/>
    <xf numFmtId="1" fontId="0" fillId="0" borderId="0" xfId="0" applyNumberFormat="1" applyFill="1"/>
    <xf numFmtId="167" fontId="0" fillId="0" borderId="0" xfId="0" applyNumberFormat="1" applyFill="1"/>
    <xf numFmtId="168" fontId="0" fillId="0" borderId="0" xfId="0" applyNumberFormat="1" applyFill="1"/>
    <xf numFmtId="167" fontId="0" fillId="0" borderId="0" xfId="0" applyNumberFormat="1"/>
    <xf numFmtId="167" fontId="0" fillId="2" borderId="1" xfId="0" applyNumberFormat="1" applyFill="1" applyBorder="1"/>
    <xf numFmtId="0" fontId="6" fillId="0" borderId="0" xfId="0" applyFont="1" applyFill="1" applyAlignment="1">
      <alignment horizontal="right"/>
    </xf>
    <xf numFmtId="0" fontId="0" fillId="0" borderId="0" xfId="0" applyAlignment="1">
      <alignment horizontal="center"/>
    </xf>
    <xf numFmtId="0" fontId="0" fillId="0" borderId="0" xfId="0" applyBorder="1" applyAlignment="1">
      <alignment horizontal="center"/>
    </xf>
    <xf numFmtId="0" fontId="0" fillId="0" borderId="2" xfId="0" applyFill="1" applyBorder="1"/>
    <xf numFmtId="0" fontId="0" fillId="0" borderId="3" xfId="0" applyFill="1" applyBorder="1"/>
    <xf numFmtId="0" fontId="0" fillId="3" borderId="0" xfId="0" applyFill="1"/>
    <xf numFmtId="0" fontId="0" fillId="3" borderId="0" xfId="0" applyFill="1" applyBorder="1" applyAlignment="1">
      <alignment horizontal="center"/>
    </xf>
    <xf numFmtId="0" fontId="1" fillId="0" borderId="0" xfId="0" applyFont="1"/>
    <xf numFmtId="0" fontId="0" fillId="0" borderId="0" xfId="0" applyBorder="1"/>
    <xf numFmtId="3" fontId="0" fillId="0" borderId="0" xfId="0" applyNumberFormat="1" applyAlignment="1">
      <alignment horizontal="center"/>
    </xf>
    <xf numFmtId="0" fontId="3" fillId="0" borderId="0" xfId="0" applyFont="1"/>
    <xf numFmtId="0" fontId="8" fillId="0" borderId="0" xfId="0" applyFont="1"/>
    <xf numFmtId="0" fontId="1" fillId="0" borderId="0" xfId="0" applyFont="1" applyBorder="1"/>
    <xf numFmtId="166" fontId="1" fillId="2" borderId="0" xfId="0" applyNumberFormat="1" applyFont="1" applyFill="1"/>
    <xf numFmtId="0" fontId="0" fillId="0" borderId="0" xfId="0" applyFill="1" applyBorder="1"/>
    <xf numFmtId="1" fontId="0" fillId="3" borderId="0" xfId="0" applyNumberFormat="1" applyFill="1" applyAlignment="1">
      <alignment horizontal="center"/>
    </xf>
    <xf numFmtId="0" fontId="8" fillId="0" borderId="0" xfId="0" applyFont="1" applyFill="1"/>
    <xf numFmtId="166" fontId="9" fillId="0" borderId="0" xfId="0" applyNumberFormat="1" applyFont="1" applyFill="1"/>
    <xf numFmtId="0" fontId="9" fillId="0" borderId="0" xfId="0" applyFont="1"/>
    <xf numFmtId="0" fontId="0" fillId="0" borderId="4" xfId="0" applyFill="1" applyBorder="1"/>
    <xf numFmtId="0" fontId="10" fillId="0" borderId="0" xfId="0" applyFont="1"/>
    <xf numFmtId="167" fontId="0" fillId="0" borderId="0" xfId="0" applyNumberFormat="1" applyAlignment="1">
      <alignment horizontal="center"/>
    </xf>
    <xf numFmtId="168" fontId="0" fillId="0" borderId="0" xfId="0" applyNumberFormat="1" applyAlignment="1">
      <alignment horizontal="center"/>
    </xf>
    <xf numFmtId="166" fontId="0" fillId="0" borderId="0" xfId="0" applyNumberFormat="1" applyAlignment="1">
      <alignment horizontal="center"/>
    </xf>
    <xf numFmtId="168" fontId="1" fillId="0" borderId="0" xfId="0" applyNumberFormat="1" applyFont="1" applyAlignment="1">
      <alignment horizontal="center"/>
    </xf>
    <xf numFmtId="0" fontId="3" fillId="2" borderId="0" xfId="0" applyFont="1" applyFill="1" applyAlignment="1">
      <alignment horizontal="center"/>
    </xf>
    <xf numFmtId="167" fontId="3" fillId="2" borderId="0" xfId="0" applyNumberFormat="1" applyFont="1" applyFill="1" applyAlignment="1">
      <alignment horizontal="center"/>
    </xf>
    <xf numFmtId="168" fontId="1" fillId="2" borderId="0" xfId="0" applyNumberFormat="1" applyFont="1" applyFill="1" applyAlignment="1">
      <alignment horizontal="center"/>
    </xf>
    <xf numFmtId="0" fontId="3" fillId="2" borderId="5" xfId="0" applyFont="1" applyFill="1" applyBorder="1" applyAlignment="1">
      <alignment horizontal="center"/>
    </xf>
    <xf numFmtId="168" fontId="0" fillId="0" borderId="0" xfId="0" applyNumberFormat="1" applyBorder="1" applyAlignment="1">
      <alignment horizontal="center"/>
    </xf>
    <xf numFmtId="168" fontId="0" fillId="0" borderId="1" xfId="0" applyNumberFormat="1" applyBorder="1" applyAlignment="1">
      <alignment horizontal="center"/>
    </xf>
    <xf numFmtId="0" fontId="0" fillId="0" borderId="1" xfId="0" applyBorder="1"/>
    <xf numFmtId="168" fontId="3" fillId="2" borderId="0" xfId="0" applyNumberFormat="1" applyFont="1" applyFill="1" applyAlignment="1">
      <alignment horizontal="center"/>
    </xf>
    <xf numFmtId="9" fontId="3" fillId="0" borderId="5" xfId="3" applyBorder="1" applyAlignment="1">
      <alignment horizontal="center"/>
    </xf>
    <xf numFmtId="168" fontId="0" fillId="0" borderId="0" xfId="0" applyNumberFormat="1" applyFill="1" applyAlignment="1">
      <alignment horizontal="center"/>
    </xf>
    <xf numFmtId="168" fontId="1" fillId="0" borderId="0" xfId="0" applyNumberFormat="1" applyFont="1"/>
    <xf numFmtId="0" fontId="0" fillId="0" borderId="0" xfId="0" applyFill="1" applyAlignment="1">
      <alignment horizontal="center"/>
    </xf>
    <xf numFmtId="166" fontId="0" fillId="0" borderId="0" xfId="0" applyNumberFormat="1" applyFill="1" applyAlignment="1">
      <alignment horizontal="center"/>
    </xf>
    <xf numFmtId="168" fontId="0" fillId="0" borderId="0" xfId="0" applyNumberFormat="1"/>
    <xf numFmtId="0" fontId="0" fillId="2" borderId="0" xfId="0" applyFill="1" applyAlignment="1">
      <alignment horizontal="center"/>
    </xf>
    <xf numFmtId="0" fontId="0" fillId="0" borderId="5" xfId="0" applyBorder="1" applyAlignment="1">
      <alignment horizontal="center"/>
    </xf>
    <xf numFmtId="166" fontId="0" fillId="0" borderId="0" xfId="0" applyNumberFormat="1" applyFill="1" applyBorder="1" applyAlignment="1">
      <alignment horizontal="center"/>
    </xf>
    <xf numFmtId="0" fontId="1" fillId="0" borderId="0" xfId="0" applyFont="1" applyFill="1" applyBorder="1"/>
    <xf numFmtId="0" fontId="3" fillId="0" borderId="0" xfId="0" applyFont="1" applyFill="1" applyBorder="1"/>
    <xf numFmtId="0" fontId="3" fillId="0" borderId="0" xfId="0" applyFont="1" applyFill="1" applyBorder="1" applyAlignment="1">
      <alignment horizontal="center"/>
    </xf>
    <xf numFmtId="167" fontId="3" fillId="0" borderId="0" xfId="0" applyNumberFormat="1" applyFont="1" applyFill="1" applyBorder="1" applyAlignment="1">
      <alignment horizontal="center"/>
    </xf>
    <xf numFmtId="168" fontId="3" fillId="0" borderId="0" xfId="0" applyNumberFormat="1" applyFont="1" applyFill="1" applyBorder="1" applyAlignment="1">
      <alignment horizontal="center"/>
    </xf>
    <xf numFmtId="166" fontId="3" fillId="0" borderId="0" xfId="0" applyNumberFormat="1" applyFont="1" applyFill="1" applyBorder="1" applyAlignment="1">
      <alignment horizontal="center"/>
    </xf>
    <xf numFmtId="0" fontId="0" fillId="0" borderId="0" xfId="0" applyFill="1" applyBorder="1" applyAlignment="1">
      <alignment horizontal="center"/>
    </xf>
    <xf numFmtId="167" fontId="0" fillId="0" borderId="0" xfId="0" applyNumberFormat="1" applyFill="1" applyBorder="1" applyAlignment="1">
      <alignment horizontal="center"/>
    </xf>
    <xf numFmtId="168" fontId="0" fillId="0" borderId="0" xfId="0" applyNumberFormat="1" applyFill="1" applyBorder="1" applyAlignment="1">
      <alignment horizontal="center"/>
    </xf>
    <xf numFmtId="1" fontId="0" fillId="0" borderId="0" xfId="0" applyNumberFormat="1" applyFill="1" applyBorder="1" applyAlignment="1">
      <alignment horizontal="center"/>
    </xf>
    <xf numFmtId="167" fontId="0" fillId="0" borderId="0" xfId="0" applyNumberFormat="1" applyFill="1" applyAlignment="1">
      <alignment horizontal="center"/>
    </xf>
    <xf numFmtId="0" fontId="12" fillId="0" borderId="0" xfId="0" applyFont="1"/>
    <xf numFmtId="9" fontId="0" fillId="0" borderId="0" xfId="3" applyFont="1" applyAlignment="1">
      <alignment horizontal="center"/>
    </xf>
    <xf numFmtId="0" fontId="0" fillId="3" borderId="0" xfId="0" applyFill="1" applyAlignment="1">
      <alignment horizontal="center"/>
    </xf>
    <xf numFmtId="0" fontId="5" fillId="4" borderId="0" xfId="0" applyFont="1" applyFill="1"/>
    <xf numFmtId="0" fontId="8" fillId="4" borderId="0" xfId="0" applyFont="1" applyFill="1"/>
    <xf numFmtId="0" fontId="8" fillId="0" borderId="5" xfId="0" applyFont="1" applyBorder="1" applyAlignment="1">
      <alignment horizontal="center"/>
    </xf>
    <xf numFmtId="0" fontId="3" fillId="0" borderId="0" xfId="0" applyFont="1" applyAlignment="1">
      <alignment horizontal="center"/>
    </xf>
    <xf numFmtId="0" fontId="0" fillId="0" borderId="0" xfId="0" applyAlignment="1">
      <alignment horizontal="right"/>
    </xf>
    <xf numFmtId="0" fontId="16" fillId="0" borderId="0" xfId="0" applyFont="1"/>
    <xf numFmtId="0" fontId="7" fillId="0" borderId="0" xfId="0" applyFont="1"/>
    <xf numFmtId="0" fontId="16" fillId="0" borderId="0" xfId="0" applyFont="1" applyFill="1"/>
    <xf numFmtId="0" fontId="14" fillId="0" borderId="0" xfId="0" applyFont="1"/>
    <xf numFmtId="0" fontId="19" fillId="0" borderId="0" xfId="0" applyFont="1" applyFill="1"/>
    <xf numFmtId="0" fontId="0" fillId="0" borderId="5" xfId="0" applyBorder="1"/>
    <xf numFmtId="0" fontId="20" fillId="0" borderId="0" xfId="0" applyFont="1" applyFill="1"/>
    <xf numFmtId="0" fontId="21" fillId="0" borderId="0" xfId="0" applyFont="1" applyFill="1"/>
    <xf numFmtId="0" fontId="20" fillId="0" borderId="0" xfId="0" applyFont="1" applyFill="1" applyAlignment="1">
      <alignment horizontal="right"/>
    </xf>
    <xf numFmtId="173" fontId="0" fillId="0" borderId="0" xfId="0" applyNumberFormat="1" applyAlignment="1">
      <alignment horizontal="center"/>
    </xf>
    <xf numFmtId="168" fontId="1" fillId="0" borderId="0" xfId="0" applyNumberFormat="1" applyFont="1" applyFill="1" applyAlignment="1">
      <alignment horizontal="center"/>
    </xf>
    <xf numFmtId="0" fontId="0" fillId="0" borderId="4" xfId="0" applyBorder="1"/>
    <xf numFmtId="164" fontId="0" fillId="0" borderId="0" xfId="0" applyNumberFormat="1" applyFill="1" applyBorder="1" applyAlignment="1">
      <alignment horizontal="center"/>
    </xf>
    <xf numFmtId="0" fontId="9" fillId="0" borderId="0" xfId="0" applyFont="1" applyBorder="1"/>
    <xf numFmtId="0" fontId="17" fillId="0" borderId="0" xfId="0" applyFont="1"/>
    <xf numFmtId="0" fontId="13" fillId="0" borderId="0" xfId="0" applyFont="1"/>
    <xf numFmtId="168" fontId="1" fillId="0" borderId="0" xfId="0" applyNumberFormat="1" applyFont="1" applyFill="1" applyBorder="1"/>
    <xf numFmtId="171" fontId="1" fillId="0" borderId="0" xfId="0" applyNumberFormat="1" applyFont="1" applyFill="1" applyBorder="1" applyAlignment="1">
      <alignment horizontal="center"/>
    </xf>
    <xf numFmtId="170" fontId="1"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9" fontId="3" fillId="0" borderId="0" xfId="3" applyFont="1" applyFill="1" applyBorder="1" applyAlignment="1">
      <alignment horizontal="center"/>
    </xf>
    <xf numFmtId="166" fontId="0" fillId="0" borderId="0" xfId="0" applyNumberFormat="1" applyBorder="1" applyAlignment="1">
      <alignment horizontal="center"/>
    </xf>
    <xf numFmtId="0" fontId="14" fillId="5" borderId="0" xfId="0" applyFont="1" applyFill="1"/>
    <xf numFmtId="167" fontId="0" fillId="3" borderId="0" xfId="0" applyNumberFormat="1" applyFill="1" applyAlignment="1">
      <alignment horizontal="center"/>
    </xf>
    <xf numFmtId="9" fontId="0" fillId="0" borderId="0" xfId="3" applyFont="1" applyFill="1" applyBorder="1" applyAlignment="1">
      <alignment horizontal="center"/>
    </xf>
    <xf numFmtId="168" fontId="5" fillId="0" borderId="0" xfId="0" applyNumberFormat="1" applyFont="1" applyAlignment="1">
      <alignment horizontal="center"/>
    </xf>
    <xf numFmtId="3" fontId="1" fillId="0" borderId="0" xfId="0" applyNumberFormat="1" applyFont="1" applyFill="1" applyAlignment="1">
      <alignment horizontal="center"/>
    </xf>
    <xf numFmtId="3" fontId="22" fillId="0" borderId="0" xfId="0" applyNumberFormat="1" applyFont="1" applyFill="1"/>
    <xf numFmtId="0" fontId="13" fillId="0" borderId="0" xfId="0" applyFont="1" applyFill="1"/>
    <xf numFmtId="0" fontId="8" fillId="0" borderId="0" xfId="0" applyFont="1" applyBorder="1"/>
    <xf numFmtId="0" fontId="13" fillId="0" borderId="0" xfId="0" applyFont="1" applyBorder="1"/>
    <xf numFmtId="0" fontId="12" fillId="0" borderId="0" xfId="0" applyFont="1" applyBorder="1"/>
    <xf numFmtId="0" fontId="28" fillId="0" borderId="0" xfId="0" applyFont="1" applyBorder="1"/>
    <xf numFmtId="0" fontId="18" fillId="0" borderId="0" xfId="0" applyFont="1" applyFill="1"/>
    <xf numFmtId="167" fontId="18" fillId="0" borderId="0" xfId="0" applyNumberFormat="1" applyFont="1" applyFill="1" applyAlignment="1">
      <alignment horizontal="center"/>
    </xf>
    <xf numFmtId="0" fontId="12" fillId="0" borderId="0" xfId="0" applyFont="1" applyFill="1"/>
    <xf numFmtId="9" fontId="0" fillId="0" borderId="0" xfId="3" applyFont="1" applyFill="1" applyAlignment="1">
      <alignment horizontal="center"/>
    </xf>
    <xf numFmtId="0" fontId="31" fillId="0" borderId="0" xfId="0" applyFont="1"/>
    <xf numFmtId="167" fontId="1" fillId="0" borderId="0" xfId="0" applyNumberFormat="1" applyFont="1" applyFill="1" applyAlignment="1">
      <alignment horizontal="center"/>
    </xf>
    <xf numFmtId="175" fontId="1" fillId="0" borderId="0" xfId="0" applyNumberFormat="1" applyFont="1" applyFill="1" applyAlignment="1">
      <alignment horizontal="center"/>
    </xf>
    <xf numFmtId="0" fontId="0" fillId="0" borderId="0" xfId="0" applyFill="1" applyAlignment="1">
      <alignment horizontal="right"/>
    </xf>
    <xf numFmtId="0" fontId="12" fillId="2" borderId="0" xfId="0" applyFont="1" applyFill="1" applyAlignment="1">
      <alignment horizontal="center"/>
    </xf>
    <xf numFmtId="0" fontId="12" fillId="2" borderId="0" xfId="0" applyFont="1" applyFill="1" applyBorder="1" applyAlignment="1">
      <alignment horizontal="center"/>
    </xf>
    <xf numFmtId="166" fontId="0" fillId="0" borderId="0" xfId="0" applyNumberFormat="1" applyFill="1" applyBorder="1"/>
    <xf numFmtId="2" fontId="0" fillId="0" borderId="0" xfId="0" applyNumberFormat="1" applyFill="1" applyBorder="1" applyAlignment="1">
      <alignment horizontal="center"/>
    </xf>
    <xf numFmtId="168" fontId="0" fillId="0" borderId="1" xfId="0" applyNumberFormat="1" applyFill="1" applyBorder="1" applyAlignment="1">
      <alignment horizontal="center"/>
    </xf>
    <xf numFmtId="168" fontId="1" fillId="0" borderId="0" xfId="0" applyNumberFormat="1" applyFont="1" applyFill="1" applyBorder="1" applyAlignment="1">
      <alignment horizontal="center"/>
    </xf>
    <xf numFmtId="9" fontId="0" fillId="3" borderId="0" xfId="3" applyFont="1" applyFill="1" applyAlignment="1">
      <alignment horizontal="center"/>
    </xf>
    <xf numFmtId="168" fontId="13" fillId="0" borderId="0" xfId="0" applyNumberFormat="1" applyFont="1" applyFill="1" applyAlignment="1">
      <alignment horizontal="center"/>
    </xf>
    <xf numFmtId="168" fontId="12" fillId="0" borderId="0" xfId="0" applyNumberFormat="1" applyFont="1" applyFill="1" applyBorder="1" applyAlignment="1">
      <alignment horizontal="center"/>
    </xf>
    <xf numFmtId="0" fontId="13" fillId="2" borderId="0" xfId="0" applyFont="1" applyFill="1" applyBorder="1" applyAlignment="1">
      <alignment horizontal="center"/>
    </xf>
    <xf numFmtId="166" fontId="0" fillId="2" borderId="1" xfId="0" applyNumberFormat="1" applyFill="1" applyBorder="1" applyAlignment="1">
      <alignment horizontal="center"/>
    </xf>
    <xf numFmtId="168" fontId="0" fillId="2" borderId="1" xfId="0" applyNumberFormat="1" applyFill="1" applyBorder="1" applyAlignment="1">
      <alignment horizontal="center"/>
    </xf>
    <xf numFmtId="0" fontId="12" fillId="0" borderId="0" xfId="0" applyFont="1" applyFill="1" applyBorder="1"/>
    <xf numFmtId="167" fontId="0" fillId="2" borderId="1" xfId="0" applyNumberFormat="1" applyFill="1" applyBorder="1" applyAlignment="1">
      <alignment horizontal="center"/>
    </xf>
    <xf numFmtId="166" fontId="1" fillId="2" borderId="0" xfId="0" applyNumberFormat="1" applyFont="1" applyFill="1" applyAlignment="1">
      <alignment horizontal="center"/>
    </xf>
    <xf numFmtId="166" fontId="12" fillId="2" borderId="0" xfId="0" applyNumberFormat="1" applyFont="1" applyFill="1" applyAlignment="1">
      <alignment horizontal="center"/>
    </xf>
    <xf numFmtId="9" fontId="1" fillId="0" borderId="0" xfId="3" applyFont="1" applyFill="1" applyAlignment="1">
      <alignment horizontal="center"/>
    </xf>
    <xf numFmtId="9" fontId="3" fillId="0" borderId="0" xfId="3" applyFont="1" applyFill="1" applyAlignment="1">
      <alignment horizontal="center"/>
    </xf>
    <xf numFmtId="9" fontId="3" fillId="0" borderId="0" xfId="3" applyFill="1" applyAlignment="1">
      <alignment horizontal="center"/>
    </xf>
    <xf numFmtId="177" fontId="7" fillId="0" borderId="0" xfId="0" applyNumberFormat="1" applyFont="1" applyFill="1" applyAlignment="1">
      <alignment horizontal="left"/>
    </xf>
    <xf numFmtId="0" fontId="17" fillId="0" borderId="0" xfId="0" applyFont="1" applyFill="1"/>
    <xf numFmtId="180" fontId="0" fillId="3" borderId="0" xfId="0" applyNumberFormat="1" applyFill="1" applyAlignment="1">
      <alignment horizontal="center"/>
    </xf>
    <xf numFmtId="0" fontId="13" fillId="0" borderId="0" xfId="0" applyFont="1" applyAlignment="1">
      <alignment horizontal="right"/>
    </xf>
    <xf numFmtId="182" fontId="0" fillId="0" borderId="0" xfId="0" applyNumberFormat="1" applyBorder="1" applyAlignment="1">
      <alignment horizontal="center"/>
    </xf>
    <xf numFmtId="182" fontId="0" fillId="0" borderId="0" xfId="0" applyNumberFormat="1" applyAlignment="1">
      <alignment horizontal="center"/>
    </xf>
    <xf numFmtId="182" fontId="0" fillId="0" borderId="0" xfId="0" applyNumberFormat="1" applyBorder="1" applyAlignment="1">
      <alignment horizontal="left"/>
    </xf>
    <xf numFmtId="0" fontId="0" fillId="2" borderId="0" xfId="0" applyFill="1" applyBorder="1" applyAlignment="1">
      <alignment horizontal="center"/>
    </xf>
    <xf numFmtId="166" fontId="0" fillId="3" borderId="0" xfId="0" applyNumberFormat="1" applyFill="1" applyAlignment="1">
      <alignment horizontal="center"/>
    </xf>
    <xf numFmtId="182" fontId="0" fillId="0" borderId="0" xfId="0" applyNumberFormat="1" applyFill="1" applyAlignment="1">
      <alignment horizontal="center"/>
    </xf>
    <xf numFmtId="1" fontId="0" fillId="0" borderId="0" xfId="0" applyNumberFormat="1" applyFill="1" applyAlignment="1">
      <alignment horizontal="center"/>
    </xf>
    <xf numFmtId="170" fontId="0" fillId="3" borderId="0" xfId="0" applyNumberFormat="1" applyFill="1" applyAlignment="1">
      <alignment horizontal="center"/>
    </xf>
    <xf numFmtId="182" fontId="0" fillId="0" borderId="0" xfId="0" applyNumberFormat="1" applyFill="1" applyBorder="1" applyAlignment="1">
      <alignment horizontal="center"/>
    </xf>
    <xf numFmtId="168" fontId="12" fillId="3" borderId="0" xfId="0" applyNumberFormat="1" applyFont="1" applyFill="1" applyBorder="1" applyAlignment="1">
      <alignment horizontal="center"/>
    </xf>
    <xf numFmtId="0" fontId="34" fillId="0" borderId="0" xfId="0" applyFont="1" applyFill="1"/>
    <xf numFmtId="0" fontId="9" fillId="0" borderId="0" xfId="0" applyFont="1" applyFill="1" applyBorder="1"/>
    <xf numFmtId="0" fontId="9" fillId="0" borderId="0" xfId="0" applyFont="1" applyFill="1"/>
    <xf numFmtId="0" fontId="3" fillId="0" borderId="0" xfId="0" applyFont="1" applyAlignment="1">
      <alignment horizontal="right"/>
    </xf>
    <xf numFmtId="0" fontId="31" fillId="0" borderId="0" xfId="0" applyFont="1" applyAlignment="1">
      <alignment horizontal="right"/>
    </xf>
    <xf numFmtId="191" fontId="0" fillId="3" borderId="0" xfId="0" applyNumberFormat="1" applyFill="1" applyAlignment="1">
      <alignment horizontal="center"/>
    </xf>
    <xf numFmtId="0" fontId="0" fillId="0" borderId="0" xfId="0" applyAlignment="1">
      <alignment horizontal="left"/>
    </xf>
    <xf numFmtId="3" fontId="0" fillId="0" borderId="0" xfId="0" applyNumberFormat="1" applyBorder="1" applyAlignment="1">
      <alignment horizontal="center"/>
    </xf>
    <xf numFmtId="167" fontId="0" fillId="0" borderId="0" xfId="0" applyNumberFormat="1" applyBorder="1" applyAlignment="1">
      <alignment horizontal="center"/>
    </xf>
    <xf numFmtId="0" fontId="13" fillId="0" borderId="0" xfId="0" applyFont="1" applyAlignment="1">
      <alignment horizontal="center"/>
    </xf>
    <xf numFmtId="0" fontId="3" fillId="0" borderId="0" xfId="0" applyFont="1" applyBorder="1" applyAlignment="1">
      <alignment horizontal="center"/>
    </xf>
    <xf numFmtId="0" fontId="0" fillId="0" borderId="0" xfId="0" applyBorder="1" applyAlignment="1">
      <alignment horizontal="left"/>
    </xf>
    <xf numFmtId="0" fontId="33" fillId="0" borderId="0" xfId="0" applyFont="1" applyFill="1" applyBorder="1"/>
    <xf numFmtId="0" fontId="1" fillId="0" borderId="0" xfId="0" applyFont="1" applyAlignment="1">
      <alignment horizontal="right"/>
    </xf>
    <xf numFmtId="0" fontId="13" fillId="0" borderId="0" xfId="0" applyFont="1" applyFill="1" applyAlignment="1">
      <alignment horizontal="right"/>
    </xf>
    <xf numFmtId="0" fontId="12" fillId="0" borderId="0" xfId="0" applyFont="1" applyAlignment="1">
      <alignment horizontal="left"/>
    </xf>
    <xf numFmtId="168" fontId="21" fillId="3" borderId="0" xfId="0" applyNumberFormat="1" applyFont="1" applyFill="1" applyAlignment="1">
      <alignment horizontal="center"/>
    </xf>
    <xf numFmtId="168" fontId="1" fillId="0" borderId="0" xfId="0" applyNumberFormat="1" applyFont="1" applyBorder="1" applyAlignment="1">
      <alignment horizontal="center"/>
    </xf>
    <xf numFmtId="193" fontId="5" fillId="4" borderId="0" xfId="0" applyNumberFormat="1" applyFont="1" applyFill="1" applyAlignment="1">
      <alignment horizontal="center"/>
    </xf>
    <xf numFmtId="0" fontId="8" fillId="0" borderId="0" xfId="0" applyFont="1" applyFill="1" applyBorder="1"/>
    <xf numFmtId="193" fontId="0" fillId="0" borderId="1" xfId="0" applyNumberFormat="1" applyBorder="1" applyAlignment="1">
      <alignment horizontal="center"/>
    </xf>
    <xf numFmtId="193" fontId="0" fillId="0" borderId="1" xfId="0" applyNumberFormat="1" applyBorder="1"/>
    <xf numFmtId="193" fontId="3" fillId="0" borderId="1" xfId="0" applyNumberFormat="1" applyFont="1" applyBorder="1"/>
    <xf numFmtId="193" fontId="0" fillId="0" borderId="1" xfId="0" applyNumberFormat="1" applyFill="1" applyBorder="1"/>
    <xf numFmtId="167" fontId="0" fillId="0" borderId="0" xfId="0" applyNumberFormat="1" applyFill="1" applyAlignment="1">
      <alignment horizontal="left"/>
    </xf>
    <xf numFmtId="164" fontId="1" fillId="0" borderId="0" xfId="0" applyNumberFormat="1" applyFont="1" applyFill="1" applyAlignment="1">
      <alignment horizontal="center"/>
    </xf>
    <xf numFmtId="164" fontId="12" fillId="0" borderId="0" xfId="0" applyNumberFormat="1" applyFont="1" applyFill="1" applyAlignment="1">
      <alignment horizontal="center"/>
    </xf>
    <xf numFmtId="0" fontId="12" fillId="0" borderId="0" xfId="0" applyFont="1" applyBorder="1" applyAlignment="1">
      <alignment horizontal="center"/>
    </xf>
    <xf numFmtId="0" fontId="8" fillId="0" borderId="0" xfId="0" applyFont="1" applyBorder="1" applyAlignment="1">
      <alignment horizontal="center"/>
    </xf>
    <xf numFmtId="193" fontId="0" fillId="0" borderId="0" xfId="0" applyNumberFormat="1" applyBorder="1" applyAlignment="1">
      <alignment horizontal="center"/>
    </xf>
    <xf numFmtId="0" fontId="14" fillId="0" borderId="0" xfId="0" applyFont="1" applyFill="1"/>
    <xf numFmtId="193" fontId="0" fillId="0" borderId="0" xfId="0" applyNumberFormat="1" applyFill="1" applyAlignment="1">
      <alignment horizontal="center"/>
    </xf>
    <xf numFmtId="9" fontId="12" fillId="0" borderId="0" xfId="0" applyNumberFormat="1" applyFont="1" applyBorder="1" applyAlignment="1">
      <alignment horizontal="center"/>
    </xf>
    <xf numFmtId="49" fontId="5" fillId="0" borderId="0" xfId="0" applyNumberFormat="1" applyFont="1" applyBorder="1" applyAlignment="1">
      <alignment horizontal="center"/>
    </xf>
    <xf numFmtId="0" fontId="0" fillId="2" borderId="0" xfId="0" applyFill="1"/>
    <xf numFmtId="0" fontId="12" fillId="0" borderId="1" xfId="0" applyFont="1" applyBorder="1" applyAlignment="1">
      <alignment horizontal="center"/>
    </xf>
    <xf numFmtId="4" fontId="0" fillId="0" borderId="0" xfId="0" applyNumberFormat="1" applyAlignment="1">
      <alignment horizontal="center"/>
    </xf>
    <xf numFmtId="166" fontId="0" fillId="2" borderId="0" xfId="0" applyNumberFormat="1" applyFill="1" applyBorder="1" applyAlignment="1">
      <alignment horizontal="center"/>
    </xf>
    <xf numFmtId="4" fontId="0" fillId="3" borderId="0" xfId="0" applyNumberFormat="1" applyFill="1" applyAlignment="1">
      <alignment horizontal="center"/>
    </xf>
    <xf numFmtId="0" fontId="20" fillId="0" borderId="0" xfId="0" applyFont="1" applyFill="1" applyAlignment="1">
      <alignment horizontal="center"/>
    </xf>
    <xf numFmtId="0" fontId="19" fillId="0"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center"/>
    </xf>
    <xf numFmtId="3" fontId="0" fillId="0" borderId="0" xfId="0" applyNumberFormat="1" applyFill="1" applyAlignment="1">
      <alignment horizontal="center"/>
    </xf>
    <xf numFmtId="3" fontId="20" fillId="0" borderId="0" xfId="0" applyNumberFormat="1" applyFont="1" applyFill="1" applyAlignment="1">
      <alignment horizontal="center"/>
    </xf>
    <xf numFmtId="3" fontId="0" fillId="2" borderId="0" xfId="0" applyNumberFormat="1" applyFill="1" applyAlignment="1">
      <alignment horizontal="center"/>
    </xf>
    <xf numFmtId="3" fontId="19" fillId="0" borderId="0" xfId="0" applyNumberFormat="1" applyFont="1" applyFill="1" applyAlignment="1">
      <alignment horizontal="center"/>
    </xf>
    <xf numFmtId="3" fontId="8" fillId="0" borderId="0" xfId="0" applyNumberFormat="1" applyFont="1" applyAlignment="1">
      <alignment horizontal="center"/>
    </xf>
    <xf numFmtId="3" fontId="14" fillId="0" borderId="0" xfId="0" applyNumberFormat="1" applyFont="1" applyAlignment="1">
      <alignment horizontal="center"/>
    </xf>
    <xf numFmtId="3" fontId="0" fillId="0" borderId="1" xfId="0" applyNumberFormat="1" applyBorder="1" applyAlignment="1">
      <alignment horizontal="center"/>
    </xf>
    <xf numFmtId="4" fontId="0" fillId="0" borderId="0" xfId="0" applyNumberFormat="1" applyBorder="1" applyAlignment="1">
      <alignment horizontal="center"/>
    </xf>
    <xf numFmtId="0" fontId="0" fillId="0" borderId="0" xfId="0" applyFill="1" applyAlignment="1">
      <alignment horizontal="left"/>
    </xf>
    <xf numFmtId="3" fontId="7" fillId="0" borderId="0" xfId="0" applyNumberFormat="1" applyFont="1" applyFill="1" applyAlignment="1">
      <alignment horizontal="center"/>
    </xf>
    <xf numFmtId="9" fontId="1" fillId="0" borderId="0" xfId="3" applyFont="1" applyFill="1" applyBorder="1" applyAlignment="1">
      <alignment horizontal="center"/>
    </xf>
    <xf numFmtId="0" fontId="0" fillId="0" borderId="0" xfId="0" applyFill="1" applyBorder="1" applyAlignment="1">
      <alignment horizontal="right"/>
    </xf>
    <xf numFmtId="3" fontId="1" fillId="0" borderId="0" xfId="0" applyNumberFormat="1" applyFont="1" applyFill="1" applyBorder="1" applyAlignment="1">
      <alignment horizontal="center"/>
    </xf>
    <xf numFmtId="3" fontId="0" fillId="0" borderId="0" xfId="0" applyNumberFormat="1" applyFill="1" applyBorder="1" applyAlignment="1">
      <alignment horizontal="center"/>
    </xf>
    <xf numFmtId="9" fontId="0" fillId="0" borderId="0" xfId="0" applyNumberFormat="1" applyFill="1" applyBorder="1" applyAlignment="1">
      <alignment horizontal="center"/>
    </xf>
    <xf numFmtId="1" fontId="1"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93" fontId="12" fillId="0" borderId="0" xfId="0" applyNumberFormat="1" applyFont="1" applyFill="1" applyBorder="1" applyAlignment="1">
      <alignment horizontal="center"/>
    </xf>
    <xf numFmtId="166" fontId="1" fillId="0" borderId="0" xfId="0" applyNumberFormat="1" applyFont="1" applyFill="1" applyAlignment="1">
      <alignment horizontal="center"/>
    </xf>
    <xf numFmtId="168" fontId="0" fillId="0" borderId="4" xfId="0" applyNumberFormat="1" applyFill="1" applyBorder="1" applyAlignment="1">
      <alignment horizontal="center"/>
    </xf>
    <xf numFmtId="168" fontId="12" fillId="0" borderId="0" xfId="0" applyNumberFormat="1" applyFont="1" applyFill="1" applyAlignment="1">
      <alignment horizontal="center"/>
    </xf>
    <xf numFmtId="200" fontId="0" fillId="3" borderId="0" xfId="0" applyNumberFormat="1" applyFill="1" applyAlignment="1">
      <alignment horizontal="right"/>
    </xf>
    <xf numFmtId="9" fontId="3" fillId="0" borderId="0" xfId="3" applyFill="1" applyBorder="1" applyAlignment="1">
      <alignment horizontal="center"/>
    </xf>
    <xf numFmtId="0" fontId="12" fillId="2" borderId="0" xfId="0" applyFont="1" applyFill="1" applyAlignment="1">
      <alignment horizontal="left"/>
    </xf>
    <xf numFmtId="0" fontId="0" fillId="0" borderId="6" xfId="0" applyFill="1" applyBorder="1"/>
    <xf numFmtId="0" fontId="0" fillId="0" borderId="7" xfId="0" applyBorder="1"/>
    <xf numFmtId="0" fontId="0" fillId="0" borderId="8" xfId="0" applyFill="1" applyBorder="1"/>
    <xf numFmtId="0" fontId="0" fillId="0" borderId="9" xfId="0" applyBorder="1" applyAlignment="1">
      <alignment horizontal="right"/>
    </xf>
    <xf numFmtId="0" fontId="0" fillId="0" borderId="6" xfId="0" applyBorder="1" applyAlignment="1">
      <alignment horizontal="center"/>
    </xf>
    <xf numFmtId="0" fontId="0" fillId="0" borderId="10" xfId="0" applyFill="1" applyBorder="1" applyAlignment="1">
      <alignment horizontal="right"/>
    </xf>
    <xf numFmtId="0" fontId="1" fillId="0" borderId="9" xfId="0" applyFont="1" applyFill="1" applyBorder="1"/>
    <xf numFmtId="0" fontId="12" fillId="0" borderId="10" xfId="0" applyFont="1" applyBorder="1"/>
    <xf numFmtId="0" fontId="0" fillId="0" borderId="1" xfId="0" applyFill="1" applyBorder="1"/>
    <xf numFmtId="9" fontId="0" fillId="0" borderId="1" xfId="3" applyFont="1" applyFill="1" applyBorder="1" applyAlignment="1">
      <alignment horizontal="center"/>
    </xf>
    <xf numFmtId="1" fontId="1" fillId="0" borderId="0" xfId="0" applyNumberFormat="1" applyFont="1" applyFill="1" applyAlignment="1">
      <alignment horizontal="center"/>
    </xf>
    <xf numFmtId="167" fontId="13" fillId="0" borderId="0" xfId="0" applyNumberFormat="1" applyFont="1" applyFill="1" applyAlignment="1">
      <alignment horizontal="center"/>
    </xf>
    <xf numFmtId="49" fontId="13" fillId="0" borderId="0" xfId="0" applyNumberFormat="1" applyFont="1" applyFill="1" applyAlignment="1">
      <alignment horizontal="left" wrapText="1"/>
    </xf>
    <xf numFmtId="175" fontId="13" fillId="0" borderId="0" xfId="0" applyNumberFormat="1" applyFont="1" applyFill="1" applyAlignment="1">
      <alignment horizontal="center"/>
    </xf>
    <xf numFmtId="0" fontId="0" fillId="0" borderId="4" xfId="0" applyFill="1" applyBorder="1" applyAlignment="1">
      <alignment horizontal="center"/>
    </xf>
    <xf numFmtId="1" fontId="12" fillId="0" borderId="0" xfId="0" applyNumberFormat="1" applyFont="1" applyFill="1" applyAlignment="1">
      <alignment horizontal="center"/>
    </xf>
    <xf numFmtId="0" fontId="12" fillId="0" borderId="0" xfId="0" applyFont="1" applyFill="1" applyAlignment="1">
      <alignment horizontal="center"/>
    </xf>
    <xf numFmtId="0" fontId="13" fillId="0" borderId="0" xfId="0" applyFont="1" applyFill="1" applyBorder="1"/>
    <xf numFmtId="0" fontId="28" fillId="0" borderId="0" xfId="0" applyFont="1"/>
    <xf numFmtId="193" fontId="28" fillId="0" borderId="0" xfId="0" applyNumberFormat="1" applyFont="1" applyAlignment="1">
      <alignment horizontal="center"/>
    </xf>
    <xf numFmtId="193" fontId="20" fillId="0" borderId="0" xfId="3" applyNumberFormat="1" applyFont="1" applyFill="1" applyAlignment="1">
      <alignment horizontal="center"/>
    </xf>
    <xf numFmtId="9" fontId="20" fillId="0" borderId="0" xfId="3" applyFont="1" applyFill="1" applyAlignment="1">
      <alignment horizontal="left"/>
    </xf>
    <xf numFmtId="0" fontId="12" fillId="0" borderId="0" xfId="0" applyFont="1" applyAlignment="1">
      <alignment horizontal="center"/>
    </xf>
    <xf numFmtId="193" fontId="0" fillId="0" borderId="5" xfId="0" applyNumberFormat="1" applyBorder="1" applyAlignment="1">
      <alignment horizontal="center"/>
    </xf>
    <xf numFmtId="0" fontId="43" fillId="0" borderId="0" xfId="0" applyFont="1"/>
    <xf numFmtId="0" fontId="3" fillId="0" borderId="0" xfId="0" applyFont="1" applyFill="1" applyAlignment="1">
      <alignment horizontal="right"/>
    </xf>
    <xf numFmtId="1" fontId="3" fillId="0" borderId="0" xfId="0" applyNumberFormat="1" applyFont="1" applyAlignment="1">
      <alignment horizontal="left"/>
    </xf>
    <xf numFmtId="194" fontId="0" fillId="0" borderId="0" xfId="0" applyNumberFormat="1" applyFill="1" applyAlignment="1">
      <alignment horizontal="center"/>
    </xf>
    <xf numFmtId="189" fontId="0" fillId="0" borderId="0" xfId="0" applyNumberFormat="1" applyFill="1" applyBorder="1" applyAlignment="1">
      <alignment horizontal="center"/>
    </xf>
    <xf numFmtId="188" fontId="0" fillId="0" borderId="0" xfId="0" applyNumberFormat="1" applyFill="1" applyAlignment="1">
      <alignment horizontal="center"/>
    </xf>
    <xf numFmtId="10" fontId="0" fillId="0" borderId="0" xfId="3" applyNumberFormat="1" applyFont="1" applyFill="1" applyAlignment="1">
      <alignment horizontal="center"/>
    </xf>
    <xf numFmtId="193" fontId="20" fillId="6" borderId="0" xfId="3" applyNumberFormat="1" applyFont="1" applyFill="1" applyAlignment="1">
      <alignment horizontal="center"/>
    </xf>
    <xf numFmtId="168" fontId="2" fillId="0" borderId="0" xfId="0" applyNumberFormat="1" applyFont="1" applyFill="1" applyAlignment="1">
      <alignment horizontal="center"/>
    </xf>
    <xf numFmtId="9" fontId="13" fillId="0" borderId="0" xfId="3" applyFont="1" applyFill="1" applyAlignment="1">
      <alignment horizontal="center"/>
    </xf>
    <xf numFmtId="204" fontId="0" fillId="3" borderId="0" xfId="0" applyNumberFormat="1" applyFill="1" applyAlignment="1">
      <alignment horizontal="center"/>
    </xf>
    <xf numFmtId="193" fontId="0" fillId="3" borderId="0" xfId="0" applyNumberFormat="1" applyFill="1" applyAlignment="1">
      <alignment horizontal="center"/>
    </xf>
    <xf numFmtId="200" fontId="0" fillId="0" borderId="0" xfId="0" applyNumberFormat="1" applyFill="1" applyAlignment="1">
      <alignment horizontal="right"/>
    </xf>
    <xf numFmtId="193" fontId="45" fillId="0" borderId="1" xfId="0" applyNumberFormat="1" applyFont="1" applyBorder="1" applyAlignment="1">
      <alignment horizontal="center"/>
    </xf>
    <xf numFmtId="193" fontId="13" fillId="0" borderId="1" xfId="0" applyNumberFormat="1" applyFont="1" applyBorder="1" applyAlignment="1">
      <alignment horizontal="center"/>
    </xf>
    <xf numFmtId="166" fontId="0" fillId="0" borderId="0" xfId="3" applyNumberFormat="1" applyFont="1" applyFill="1" applyAlignment="1">
      <alignment horizontal="center"/>
    </xf>
    <xf numFmtId="49" fontId="3" fillId="0" borderId="0" xfId="0" applyNumberFormat="1" applyFont="1" applyFill="1" applyAlignment="1">
      <alignment wrapText="1"/>
    </xf>
    <xf numFmtId="168" fontId="12" fillId="0" borderId="0" xfId="0" applyNumberFormat="1" applyFont="1" applyAlignment="1">
      <alignment horizontal="center"/>
    </xf>
    <xf numFmtId="193" fontId="12" fillId="0" borderId="0" xfId="0" applyNumberFormat="1" applyFont="1" applyAlignment="1">
      <alignment horizontal="center"/>
    </xf>
    <xf numFmtId="0" fontId="0" fillId="0" borderId="0" xfId="0" applyAlignment="1">
      <alignment vertical="top"/>
    </xf>
    <xf numFmtId="0" fontId="0" fillId="0" borderId="0" xfId="0" applyAlignment="1">
      <alignment vertical="center"/>
    </xf>
    <xf numFmtId="193" fontId="0" fillId="0" borderId="0" xfId="0" applyNumberFormat="1" applyAlignment="1">
      <alignment horizontal="center" vertical="center"/>
    </xf>
    <xf numFmtId="9" fontId="0" fillId="0" borderId="0" xfId="3" applyFont="1" applyAlignment="1">
      <alignment horizontal="center" vertical="center"/>
    </xf>
    <xf numFmtId="210" fontId="13" fillId="0" borderId="0" xfId="0" applyNumberFormat="1" applyFont="1" applyFill="1" applyAlignment="1">
      <alignment horizontal="center"/>
    </xf>
    <xf numFmtId="210" fontId="13" fillId="3" borderId="0" xfId="0" applyNumberFormat="1" applyFont="1" applyFill="1" applyAlignment="1">
      <alignment horizontal="center"/>
    </xf>
    <xf numFmtId="210" fontId="13" fillId="3" borderId="1" xfId="0" applyNumberFormat="1" applyFont="1" applyFill="1" applyBorder="1" applyAlignment="1">
      <alignment horizontal="center"/>
    </xf>
    <xf numFmtId="182" fontId="13" fillId="0" borderId="0" xfId="0" applyNumberFormat="1" applyFont="1" applyFill="1"/>
    <xf numFmtId="193" fontId="13" fillId="0" borderId="0" xfId="0" applyNumberFormat="1" applyFont="1" applyFill="1" applyBorder="1" applyAlignment="1">
      <alignment horizontal="center"/>
    </xf>
    <xf numFmtId="193" fontId="13" fillId="0" borderId="1" xfId="0" applyNumberFormat="1" applyFont="1" applyFill="1" applyBorder="1" applyAlignment="1">
      <alignment horizontal="center"/>
    </xf>
    <xf numFmtId="181" fontId="0" fillId="0" borderId="0" xfId="0" applyNumberFormat="1" applyFill="1" applyAlignment="1">
      <alignment horizontal="center"/>
    </xf>
    <xf numFmtId="168" fontId="12" fillId="6" borderId="0" xfId="0" applyNumberFormat="1" applyFont="1" applyFill="1" applyBorder="1" applyAlignment="1">
      <alignment horizontal="center"/>
    </xf>
    <xf numFmtId="182" fontId="0" fillId="2" borderId="0" xfId="0" applyNumberFormat="1" applyFill="1" applyAlignment="1">
      <alignment horizontal="center"/>
    </xf>
    <xf numFmtId="0" fontId="12" fillId="0" borderId="0" xfId="0" applyFont="1" applyAlignment="1">
      <alignment horizontal="right"/>
    </xf>
    <xf numFmtId="0" fontId="12" fillId="0" borderId="0" xfId="0" applyFont="1" applyAlignment="1"/>
    <xf numFmtId="0" fontId="12" fillId="0" borderId="0" xfId="0" applyFont="1" applyBorder="1" applyAlignment="1">
      <alignment horizontal="left"/>
    </xf>
    <xf numFmtId="0" fontId="0" fillId="0" borderId="0" xfId="0" applyAlignment="1">
      <alignment horizontal="center" vertical="center"/>
    </xf>
    <xf numFmtId="0" fontId="0" fillId="0" borderId="0" xfId="0" applyAlignment="1">
      <alignment horizontal="right" vertical="center"/>
    </xf>
    <xf numFmtId="0" fontId="13" fillId="0" borderId="0" xfId="0" applyFont="1" applyAlignment="1">
      <alignment horizontal="left" vertical="center"/>
    </xf>
    <xf numFmtId="182" fontId="13" fillId="0" borderId="0" xfId="0" applyNumberFormat="1" applyFont="1" applyFill="1" applyAlignment="1">
      <alignment horizontal="center"/>
    </xf>
    <xf numFmtId="9" fontId="13" fillId="0" borderId="0" xfId="3" applyFont="1" applyFill="1" applyAlignment="1">
      <alignment horizontal="center" vertical="center"/>
    </xf>
    <xf numFmtId="9" fontId="42" fillId="0" borderId="5" xfId="3" applyFont="1" applyBorder="1" applyAlignment="1">
      <alignment horizontal="center"/>
    </xf>
    <xf numFmtId="0" fontId="0" fillId="0" borderId="0" xfId="0" applyAlignment="1"/>
    <xf numFmtId="210" fontId="0" fillId="3" borderId="0" xfId="0" applyNumberFormat="1" applyFill="1" applyAlignment="1">
      <alignment horizontal="center"/>
    </xf>
    <xf numFmtId="172" fontId="0" fillId="0" borderId="0" xfId="0" applyNumberFormat="1" applyFill="1" applyAlignment="1">
      <alignment horizontal="center"/>
    </xf>
    <xf numFmtId="168" fontId="13" fillId="0" borderId="0" xfId="0" applyNumberFormat="1" applyFont="1" applyFill="1" applyBorder="1" applyAlignment="1">
      <alignment horizontal="center"/>
    </xf>
    <xf numFmtId="0" fontId="0" fillId="0" borderId="0" xfId="0" applyFill="1" applyBorder="1" applyAlignment="1">
      <alignment horizontal="left"/>
    </xf>
    <xf numFmtId="3" fontId="3" fillId="0" borderId="0" xfId="0" applyNumberFormat="1" applyFont="1" applyFill="1" applyBorder="1" applyAlignment="1">
      <alignment horizontal="center"/>
    </xf>
    <xf numFmtId="215" fontId="0" fillId="3" borderId="0" xfId="0" applyNumberFormat="1" applyFill="1" applyBorder="1" applyAlignment="1">
      <alignment horizontal="center"/>
    </xf>
    <xf numFmtId="0" fontId="0" fillId="0" borderId="0" xfId="0" applyFill="1" applyAlignment="1">
      <alignment horizontal="center" vertical="center"/>
    </xf>
    <xf numFmtId="0" fontId="23" fillId="7" borderId="0" xfId="0" applyFont="1" applyFill="1" applyBorder="1" applyAlignment="1">
      <alignment horizontal="left" vertical="center"/>
    </xf>
    <xf numFmtId="0" fontId="49" fillId="0" borderId="0" xfId="0" applyFont="1" applyFill="1" applyBorder="1"/>
    <xf numFmtId="0" fontId="12" fillId="0" borderId="7" xfId="0" applyFont="1" applyFill="1" applyBorder="1"/>
    <xf numFmtId="0" fontId="0" fillId="0" borderId="11" xfId="0" applyBorder="1"/>
    <xf numFmtId="199" fontId="0" fillId="0" borderId="0" xfId="0" applyNumberFormat="1" applyFill="1" applyBorder="1" applyAlignment="1">
      <alignment horizontal="center"/>
    </xf>
    <xf numFmtId="3" fontId="13" fillId="0" borderId="4" xfId="0" applyNumberFormat="1" applyFont="1" applyFill="1" applyBorder="1" applyAlignment="1">
      <alignment horizontal="center"/>
    </xf>
    <xf numFmtId="0" fontId="3" fillId="0" borderId="6" xfId="0" applyFont="1" applyFill="1" applyBorder="1" applyAlignment="1">
      <alignment horizontal="center"/>
    </xf>
    <xf numFmtId="0" fontId="3" fillId="0" borderId="11" xfId="0" applyFont="1" applyFill="1" applyBorder="1" applyAlignment="1">
      <alignment horizontal="center"/>
    </xf>
    <xf numFmtId="0" fontId="3" fillId="0" borderId="6" xfId="0" applyFont="1" applyFill="1" applyBorder="1" applyAlignment="1">
      <alignment horizontal="left"/>
    </xf>
    <xf numFmtId="0" fontId="5" fillId="0" borderId="0" xfId="0" applyFont="1" applyFill="1" applyBorder="1"/>
    <xf numFmtId="0" fontId="50" fillId="0" borderId="0" xfId="0" applyFont="1" applyAlignment="1">
      <alignment horizontal="left"/>
    </xf>
    <xf numFmtId="0" fontId="51" fillId="0" borderId="0" xfId="0" applyFont="1" applyAlignment="1">
      <alignment horizontal="left"/>
    </xf>
    <xf numFmtId="3" fontId="50" fillId="0" borderId="12" xfId="0" applyNumberFormat="1" applyFont="1" applyBorder="1" applyAlignment="1">
      <alignment horizontal="center"/>
    </xf>
    <xf numFmtId="3" fontId="51" fillId="0" borderId="12" xfId="0" applyNumberFormat="1" applyFont="1" applyBorder="1" applyAlignment="1">
      <alignment horizontal="center"/>
    </xf>
    <xf numFmtId="0" fontId="46" fillId="0" borderId="0" xfId="0" applyFont="1" applyAlignment="1">
      <alignment horizontal="left"/>
    </xf>
    <xf numFmtId="0" fontId="0" fillId="0" borderId="2" xfId="0" applyFill="1" applyBorder="1" applyAlignment="1">
      <alignment horizontal="center"/>
    </xf>
    <xf numFmtId="0" fontId="0" fillId="0" borderId="3" xfId="0" applyFill="1" applyBorder="1" applyAlignment="1">
      <alignment horizontal="center"/>
    </xf>
    <xf numFmtId="199" fontId="1" fillId="3" borderId="0" xfId="0" applyNumberFormat="1" applyFont="1" applyFill="1" applyBorder="1" applyAlignment="1">
      <alignment horizontal="center"/>
    </xf>
    <xf numFmtId="0" fontId="1" fillId="0" borderId="6" xfId="0" applyFont="1" applyFill="1" applyBorder="1"/>
    <xf numFmtId="187" fontId="3" fillId="3" borderId="0" xfId="0" applyNumberFormat="1" applyFont="1" applyFill="1" applyBorder="1" applyAlignment="1">
      <alignment horizontal="center"/>
    </xf>
    <xf numFmtId="187" fontId="3" fillId="3" borderId="5" xfId="0" applyNumberFormat="1" applyFont="1" applyFill="1" applyBorder="1" applyAlignment="1">
      <alignment horizontal="center"/>
    </xf>
    <xf numFmtId="187" fontId="0" fillId="3" borderId="0" xfId="0" applyNumberFormat="1" applyFill="1" applyBorder="1" applyAlignment="1">
      <alignment horizontal="center"/>
    </xf>
    <xf numFmtId="187" fontId="0" fillId="3" borderId="5" xfId="0" applyNumberFormat="1" applyFill="1" applyBorder="1" applyAlignment="1">
      <alignment horizontal="center"/>
    </xf>
    <xf numFmtId="168" fontId="12" fillId="0" borderId="1" xfId="0" applyNumberFormat="1" applyFont="1" applyFill="1" applyBorder="1" applyAlignment="1">
      <alignment horizontal="center"/>
    </xf>
    <xf numFmtId="0" fontId="12" fillId="0" borderId="0" xfId="0" applyFont="1" applyAlignment="1">
      <alignment vertical="center"/>
    </xf>
    <xf numFmtId="0" fontId="0" fillId="2" borderId="0" xfId="0" applyFill="1" applyAlignment="1">
      <alignment horizontal="center" vertical="center"/>
    </xf>
    <xf numFmtId="3" fontId="0" fillId="0" borderId="0" xfId="0" applyNumberFormat="1" applyAlignment="1">
      <alignment horizontal="center" vertical="center"/>
    </xf>
    <xf numFmtId="0" fontId="12" fillId="0" borderId="0" xfId="0" applyFont="1" applyAlignment="1">
      <alignment vertical="center" wrapText="1"/>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horizontal="right"/>
    </xf>
    <xf numFmtId="9" fontId="0" fillId="0" borderId="0" xfId="0" applyNumberFormat="1" applyFill="1" applyAlignment="1">
      <alignment horizontal="center"/>
    </xf>
    <xf numFmtId="0" fontId="18" fillId="0" borderId="0" xfId="0" applyFont="1" applyFill="1" applyAlignment="1">
      <alignment vertical="center"/>
    </xf>
    <xf numFmtId="0" fontId="12" fillId="0" borderId="0" xfId="0" applyFont="1" applyBorder="1" applyAlignment="1">
      <alignment vertical="center"/>
    </xf>
    <xf numFmtId="49" fontId="7" fillId="0" borderId="0" xfId="0" applyNumberFormat="1" applyFont="1" applyFill="1" applyBorder="1" applyAlignment="1">
      <alignment horizontal="center" vertical="center"/>
    </xf>
    <xf numFmtId="0" fontId="23" fillId="0" borderId="0" xfId="0" applyFont="1" applyFill="1" applyBorder="1" applyAlignment="1">
      <alignment horizontal="center"/>
    </xf>
    <xf numFmtId="0" fontId="8" fillId="0" borderId="0" xfId="0" applyFont="1" applyFill="1" applyAlignment="1">
      <alignment horizontal="right" vertical="center"/>
    </xf>
    <xf numFmtId="168" fontId="12" fillId="0" borderId="0" xfId="0" applyNumberFormat="1" applyFont="1" applyFill="1" applyAlignment="1">
      <alignment horizontal="center" vertical="center"/>
    </xf>
    <xf numFmtId="0" fontId="12" fillId="0" borderId="0" xfId="0" applyFont="1" applyFill="1" applyAlignment="1">
      <alignment vertical="center"/>
    </xf>
    <xf numFmtId="49" fontId="5" fillId="0" borderId="0" xfId="0" applyNumberFormat="1" applyFont="1" applyFill="1" applyAlignment="1">
      <alignment horizontal="left" vertical="center" wrapText="1"/>
    </xf>
    <xf numFmtId="9" fontId="18" fillId="0" borderId="0" xfId="3" applyFont="1" applyFill="1" applyBorder="1" applyAlignment="1" applyProtection="1">
      <alignment horizontal="center" vertical="center" wrapText="1"/>
    </xf>
    <xf numFmtId="2" fontId="5" fillId="0" borderId="0" xfId="0" applyNumberFormat="1" applyFont="1" applyFill="1" applyAlignment="1">
      <alignment horizontal="left" vertical="center"/>
    </xf>
    <xf numFmtId="2" fontId="5" fillId="0" borderId="0" xfId="0" applyNumberFormat="1" applyFont="1" applyFill="1" applyBorder="1"/>
    <xf numFmtId="174" fontId="18" fillId="0" borderId="0" xfId="3" applyNumberFormat="1" applyFont="1" applyFill="1" applyBorder="1" applyAlignment="1" applyProtection="1">
      <alignment horizontal="center" vertical="center" wrapText="1"/>
    </xf>
    <xf numFmtId="9" fontId="0" fillId="0" borderId="1" xfId="3" applyFont="1" applyBorder="1" applyAlignment="1">
      <alignment horizontal="center"/>
    </xf>
    <xf numFmtId="9" fontId="12" fillId="0" borderId="0" xfId="3" applyFont="1" applyAlignment="1">
      <alignment horizontal="center"/>
    </xf>
    <xf numFmtId="0" fontId="0" fillId="0" borderId="0" xfId="0" applyBorder="1" applyAlignment="1">
      <alignment horizontal="right"/>
    </xf>
    <xf numFmtId="0" fontId="0" fillId="0" borderId="1" xfId="0" applyBorder="1" applyAlignment="1">
      <alignment horizontal="right"/>
    </xf>
    <xf numFmtId="2" fontId="12" fillId="0" borderId="0" xfId="0" applyNumberFormat="1" applyFont="1" applyFill="1"/>
    <xf numFmtId="9" fontId="12" fillId="0" borderId="0" xfId="3" applyFont="1" applyFill="1" applyAlignment="1">
      <alignment horizontal="center"/>
    </xf>
    <xf numFmtId="174" fontId="0" fillId="0" borderId="0" xfId="3" applyNumberFormat="1" applyFont="1" applyAlignment="1">
      <alignment horizontal="center"/>
    </xf>
    <xf numFmtId="174" fontId="0" fillId="0" borderId="1" xfId="3" applyNumberFormat="1" applyFont="1" applyBorder="1" applyAlignment="1">
      <alignment horizontal="center"/>
    </xf>
    <xf numFmtId="0" fontId="13" fillId="2" borderId="0" xfId="0" applyFont="1" applyFill="1" applyAlignment="1">
      <alignment horizontal="center" vertical="center" wrapText="1"/>
    </xf>
    <xf numFmtId="0" fontId="1" fillId="0" borderId="13" xfId="0" applyFont="1" applyBorder="1"/>
    <xf numFmtId="193" fontId="0" fillId="0" borderId="14" xfId="0" applyNumberFormat="1" applyBorder="1"/>
    <xf numFmtId="193" fontId="0" fillId="0" borderId="14" xfId="0" applyNumberFormat="1" applyFill="1" applyBorder="1"/>
    <xf numFmtId="168" fontId="13" fillId="0" borderId="0" xfId="0" applyNumberFormat="1" applyFont="1" applyBorder="1" applyAlignment="1">
      <alignment horizontal="center"/>
    </xf>
    <xf numFmtId="175" fontId="0" fillId="3" borderId="0" xfId="0" applyNumberFormat="1" applyFill="1" applyAlignment="1">
      <alignment horizontal="center"/>
    </xf>
    <xf numFmtId="0" fontId="21" fillId="0" borderId="0" xfId="0" applyFont="1" applyFill="1" applyAlignment="1">
      <alignment vertical="center"/>
    </xf>
    <xf numFmtId="174" fontId="12" fillId="8" borderId="0" xfId="3" applyNumberFormat="1" applyFont="1" applyFill="1" applyBorder="1" applyAlignment="1" applyProtection="1">
      <alignment horizontal="center" vertical="center"/>
    </xf>
    <xf numFmtId="174" fontId="12" fillId="0" borderId="0" xfId="3" applyNumberFormat="1" applyFont="1" applyFill="1" applyBorder="1" applyAlignment="1" applyProtection="1">
      <alignment horizontal="center" vertical="center"/>
    </xf>
    <xf numFmtId="4" fontId="0" fillId="0" borderId="0" xfId="0" applyNumberFormat="1" applyFill="1" applyAlignment="1">
      <alignment horizontal="center"/>
    </xf>
    <xf numFmtId="0" fontId="7" fillId="9" borderId="0" xfId="0" applyFont="1" applyFill="1" applyAlignment="1">
      <alignment vertical="center"/>
    </xf>
    <xf numFmtId="0" fontId="8" fillId="9" borderId="0" xfId="0" applyFont="1" applyFill="1" applyBorder="1" applyAlignment="1">
      <alignment horizontal="left" vertical="center" wrapText="1"/>
    </xf>
    <xf numFmtId="0" fontId="8" fillId="9" borderId="0" xfId="0" applyFont="1" applyFill="1" applyAlignment="1">
      <alignment vertical="center" wrapText="1"/>
    </xf>
    <xf numFmtId="0" fontId="0" fillId="9" borderId="0" xfId="0" applyFill="1"/>
    <xf numFmtId="0" fontId="5" fillId="9" borderId="0" xfId="0" applyFont="1" applyFill="1" applyAlignment="1">
      <alignment vertical="center"/>
    </xf>
    <xf numFmtId="0" fontId="0" fillId="9" borderId="0" xfId="0" applyFill="1" applyBorder="1"/>
    <xf numFmtId="0" fontId="15" fillId="9" borderId="0" xfId="0" applyFont="1" applyFill="1" applyAlignment="1">
      <alignment horizontal="center"/>
    </xf>
    <xf numFmtId="0" fontId="0" fillId="9" borderId="0" xfId="0" applyFill="1" applyAlignment="1">
      <alignment horizontal="center"/>
    </xf>
    <xf numFmtId="0" fontId="5" fillId="9" borderId="0" xfId="0" applyFont="1" applyFill="1"/>
    <xf numFmtId="0" fontId="5" fillId="9" borderId="0" xfId="0" applyFont="1" applyFill="1" applyAlignment="1">
      <alignment horizontal="center"/>
    </xf>
    <xf numFmtId="192" fontId="40" fillId="9" borderId="0" xfId="0" applyNumberFormat="1" applyFont="1" applyFill="1" applyAlignment="1">
      <alignment horizontal="left"/>
    </xf>
    <xf numFmtId="0" fontId="12" fillId="9" borderId="0" xfId="0" applyFont="1" applyFill="1"/>
    <xf numFmtId="0" fontId="1" fillId="9" borderId="0" xfId="0" applyFont="1" applyFill="1"/>
    <xf numFmtId="0" fontId="10" fillId="9" borderId="0" xfId="0" applyFont="1" applyFill="1"/>
    <xf numFmtId="0" fontId="8" fillId="9" borderId="0" xfId="0" applyFont="1" applyFill="1"/>
    <xf numFmtId="0" fontId="13" fillId="9" borderId="0" xfId="0" applyFont="1" applyFill="1"/>
    <xf numFmtId="0" fontId="13" fillId="9" borderId="0" xfId="0" applyFont="1" applyFill="1" applyAlignment="1">
      <alignment horizontal="center"/>
    </xf>
    <xf numFmtId="167" fontId="13" fillId="9" borderId="0" xfId="0" applyNumberFormat="1" applyFont="1" applyFill="1" applyAlignment="1">
      <alignment horizontal="center"/>
    </xf>
    <xf numFmtId="168" fontId="13" fillId="9" borderId="0" xfId="0" applyNumberFormat="1" applyFont="1" applyFill="1" applyAlignment="1">
      <alignment horizontal="center"/>
    </xf>
    <xf numFmtId="166" fontId="13" fillId="9" borderId="0" xfId="0" applyNumberFormat="1" applyFont="1" applyFill="1" applyAlignment="1">
      <alignment horizontal="center"/>
    </xf>
    <xf numFmtId="0" fontId="13" fillId="9" borderId="0" xfId="0" applyFont="1" applyFill="1" applyBorder="1"/>
    <xf numFmtId="0" fontId="4" fillId="10" borderId="0" xfId="0" applyFont="1" applyFill="1"/>
    <xf numFmtId="167" fontId="0" fillId="9" borderId="0" xfId="0" applyNumberFormat="1" applyFill="1" applyAlignment="1">
      <alignment horizontal="center"/>
    </xf>
    <xf numFmtId="168" fontId="0" fillId="9" borderId="0" xfId="0" applyNumberFormat="1" applyFill="1" applyAlignment="1">
      <alignment horizontal="center"/>
    </xf>
    <xf numFmtId="166" fontId="0" fillId="9" borderId="0" xfId="0" applyNumberFormat="1" applyFill="1" applyAlignment="1">
      <alignment horizontal="center"/>
    </xf>
    <xf numFmtId="0" fontId="7" fillId="9" borderId="0" xfId="0" applyFont="1" applyFill="1"/>
    <xf numFmtId="0" fontId="13" fillId="0" borderId="0" xfId="0" applyFont="1" applyFill="1" applyAlignment="1">
      <alignment horizontal="center"/>
    </xf>
    <xf numFmtId="0" fontId="0" fillId="0" borderId="0" xfId="0" applyFill="1" applyAlignment="1"/>
    <xf numFmtId="0" fontId="0" fillId="10" borderId="0" xfId="0" applyFill="1" applyAlignment="1">
      <alignment horizontal="left"/>
    </xf>
    <xf numFmtId="182" fontId="0" fillId="10" borderId="0" xfId="0" applyNumberFormat="1" applyFill="1" applyAlignment="1">
      <alignment horizontal="center"/>
    </xf>
    <xf numFmtId="0" fontId="0" fillId="10" borderId="0" xfId="0" applyFill="1" applyAlignment="1">
      <alignment horizontal="center"/>
    </xf>
    <xf numFmtId="0" fontId="5" fillId="10" borderId="0" xfId="0" applyFont="1" applyFill="1"/>
    <xf numFmtId="0" fontId="23" fillId="10" borderId="0" xfId="0" applyFont="1" applyFill="1" applyBorder="1" applyAlignment="1">
      <alignment horizontal="center" vertical="center"/>
    </xf>
    <xf numFmtId="0" fontId="36" fillId="10" borderId="0" xfId="0" applyFont="1" applyFill="1"/>
    <xf numFmtId="0" fontId="37" fillId="10" borderId="0" xfId="0" applyFont="1" applyFill="1" applyAlignment="1">
      <alignment horizontal="center"/>
    </xf>
    <xf numFmtId="169" fontId="37" fillId="10" borderId="0" xfId="0" applyNumberFormat="1" applyFont="1" applyFill="1"/>
    <xf numFmtId="2" fontId="37" fillId="10" borderId="0" xfId="0" applyNumberFormat="1" applyFont="1" applyFill="1" applyBorder="1"/>
    <xf numFmtId="168" fontId="37" fillId="10" borderId="0" xfId="0" applyNumberFormat="1" applyFont="1" applyFill="1"/>
    <xf numFmtId="166" fontId="37" fillId="10" borderId="0" xfId="0" applyNumberFormat="1" applyFont="1" applyFill="1"/>
    <xf numFmtId="167" fontId="12" fillId="10" borderId="0" xfId="0" applyNumberFormat="1" applyFont="1" applyFill="1" applyAlignment="1">
      <alignment horizontal="center"/>
    </xf>
    <xf numFmtId="3" fontId="12" fillId="10" borderId="0" xfId="0" applyNumberFormat="1" applyFont="1" applyFill="1" applyAlignment="1">
      <alignment horizontal="center"/>
    </xf>
    <xf numFmtId="175" fontId="12" fillId="10" borderId="0" xfId="0" applyNumberFormat="1" applyFont="1" applyFill="1" applyAlignment="1">
      <alignment horizontal="center"/>
    </xf>
    <xf numFmtId="0" fontId="13" fillId="10" borderId="0" xfId="0" applyFont="1" applyFill="1"/>
    <xf numFmtId="0" fontId="5" fillId="0" borderId="0" xfId="0" applyFont="1"/>
    <xf numFmtId="0" fontId="0" fillId="10" borderId="0" xfId="0" applyFill="1"/>
    <xf numFmtId="0" fontId="4" fillId="10" borderId="0" xfId="0" applyFont="1" applyFill="1" applyBorder="1"/>
    <xf numFmtId="182" fontId="13" fillId="10" borderId="0" xfId="0" applyNumberFormat="1" applyFont="1" applyFill="1" applyBorder="1" applyAlignment="1">
      <alignment horizontal="center"/>
    </xf>
    <xf numFmtId="0" fontId="12" fillId="10" borderId="0" xfId="0" applyFont="1" applyFill="1"/>
    <xf numFmtId="0" fontId="13" fillId="10" borderId="0" xfId="0" applyFont="1" applyFill="1" applyBorder="1" applyAlignment="1">
      <alignment horizontal="center"/>
    </xf>
    <xf numFmtId="167" fontId="12" fillId="0" borderId="0" xfId="0" applyNumberFormat="1" applyFont="1" applyFill="1" applyAlignment="1">
      <alignment horizontal="left"/>
    </xf>
    <xf numFmtId="0" fontId="13" fillId="0" borderId="0" xfId="0" applyFont="1" applyFill="1" applyAlignment="1">
      <alignment horizontal="left"/>
    </xf>
    <xf numFmtId="0" fontId="12" fillId="2" borderId="0" xfId="0" applyFont="1" applyFill="1" applyBorder="1"/>
    <xf numFmtId="0" fontId="15" fillId="0" borderId="0" xfId="0" applyFont="1" applyFill="1" applyAlignment="1">
      <alignment horizontal="center"/>
    </xf>
    <xf numFmtId="0" fontId="15" fillId="10" borderId="0" xfId="0" applyFont="1" applyFill="1" applyBorder="1"/>
    <xf numFmtId="0" fontId="24" fillId="0" borderId="0" xfId="0" applyFont="1" applyFill="1" applyBorder="1"/>
    <xf numFmtId="0" fontId="58" fillId="0" borderId="0" xfId="0" applyFont="1" applyFill="1" applyBorder="1"/>
    <xf numFmtId="0" fontId="12" fillId="0" borderId="0" xfId="0" applyFont="1" applyFill="1" applyAlignment="1">
      <alignment horizontal="left"/>
    </xf>
    <xf numFmtId="0" fontId="58" fillId="0" borderId="0" xfId="0" applyFont="1" applyFill="1"/>
    <xf numFmtId="0" fontId="24" fillId="0" borderId="0" xfId="0" applyFont="1" applyFill="1"/>
    <xf numFmtId="0" fontId="58" fillId="0" borderId="15" xfId="0" applyFont="1" applyFill="1" applyBorder="1"/>
    <xf numFmtId="0" fontId="24" fillId="0" borderId="14" xfId="0" applyFont="1" applyFill="1" applyBorder="1"/>
    <xf numFmtId="0" fontId="7" fillId="0" borderId="0" xfId="0" applyFont="1" applyFill="1" applyAlignment="1">
      <alignment horizontal="left"/>
    </xf>
    <xf numFmtId="9" fontId="3" fillId="0" borderId="5" xfId="3" applyFill="1" applyBorder="1" applyAlignment="1">
      <alignment horizontal="center"/>
    </xf>
    <xf numFmtId="3" fontId="11" fillId="0" borderId="0" xfId="0" applyNumberFormat="1" applyFont="1" applyFill="1" applyAlignment="1">
      <alignment horizontal="center"/>
    </xf>
    <xf numFmtId="0" fontId="0" fillId="0" borderId="0" xfId="0" applyNumberFormat="1" applyFill="1"/>
    <xf numFmtId="2" fontId="0" fillId="0" borderId="0" xfId="0" applyNumberFormat="1" applyFill="1"/>
    <xf numFmtId="2" fontId="0" fillId="0" borderId="1" xfId="0" applyNumberFormat="1" applyFill="1" applyBorder="1"/>
    <xf numFmtId="49" fontId="0" fillId="0" borderId="0" xfId="0" applyNumberFormat="1" applyFill="1" applyAlignment="1">
      <alignment vertical="center" wrapText="1"/>
    </xf>
    <xf numFmtId="0" fontId="12" fillId="0" borderId="0" xfId="0" applyFont="1" applyFill="1" applyAlignment="1">
      <alignment vertical="center" wrapText="1"/>
    </xf>
    <xf numFmtId="0" fontId="13" fillId="0" borderId="1" xfId="0" applyFont="1" applyFill="1" applyBorder="1"/>
    <xf numFmtId="168" fontId="8" fillId="0" borderId="0" xfId="0" applyNumberFormat="1" applyFont="1" applyFill="1" applyAlignment="1">
      <alignment horizontal="center"/>
    </xf>
    <xf numFmtId="168" fontId="8" fillId="0" borderId="0" xfId="0" applyNumberFormat="1" applyFont="1" applyFill="1"/>
    <xf numFmtId="167" fontId="8" fillId="0" borderId="0" xfId="0" applyNumberFormat="1" applyFont="1" applyFill="1" applyAlignment="1">
      <alignment horizontal="center"/>
    </xf>
    <xf numFmtId="167" fontId="8" fillId="0" borderId="0" xfId="0" applyNumberFormat="1" applyFont="1" applyFill="1" applyBorder="1" applyAlignment="1">
      <alignment horizontal="center"/>
    </xf>
    <xf numFmtId="0" fontId="13" fillId="3" borderId="0" xfId="0" applyFont="1" applyFill="1" applyBorder="1"/>
    <xf numFmtId="49" fontId="34" fillId="0" borderId="0" xfId="0" applyNumberFormat="1" applyFont="1" applyFill="1" applyBorder="1" applyAlignment="1">
      <alignment horizontal="left" vertical="center"/>
    </xf>
    <xf numFmtId="9" fontId="13" fillId="0" borderId="0" xfId="3" applyFont="1" applyFill="1" applyAlignment="1">
      <alignment horizontal="left"/>
    </xf>
    <xf numFmtId="0" fontId="18" fillId="0" borderId="0" xfId="0" applyFont="1" applyFill="1" applyAlignment="1">
      <alignment horizontal="right"/>
    </xf>
    <xf numFmtId="1" fontId="0" fillId="0" borderId="0" xfId="0" applyNumberFormat="1" applyFill="1" applyAlignment="1">
      <alignment horizontal="left"/>
    </xf>
    <xf numFmtId="205" fontId="0" fillId="0" borderId="0" xfId="0" applyNumberFormat="1" applyFill="1" applyAlignment="1">
      <alignment horizontal="center"/>
    </xf>
    <xf numFmtId="166" fontId="0" fillId="0" borderId="1" xfId="0" applyNumberFormat="1" applyFill="1" applyBorder="1" applyAlignment="1">
      <alignment horizontal="center"/>
    </xf>
    <xf numFmtId="166" fontId="13" fillId="0" borderId="0" xfId="0" applyNumberFormat="1" applyFont="1" applyFill="1" applyAlignment="1">
      <alignment horizontal="center"/>
    </xf>
    <xf numFmtId="206" fontId="12" fillId="0" borderId="0" xfId="0" applyNumberFormat="1" applyFont="1" applyFill="1" applyAlignment="1">
      <alignment horizontal="center"/>
    </xf>
    <xf numFmtId="0" fontId="59" fillId="0" borderId="0" xfId="0" applyFont="1" applyFill="1"/>
    <xf numFmtId="0" fontId="59" fillId="0" borderId="0" xfId="0" applyFont="1" applyFill="1" applyAlignment="1">
      <alignment horizontal="center"/>
    </xf>
    <xf numFmtId="166" fontId="59" fillId="0" borderId="0" xfId="0" applyNumberFormat="1" applyFont="1" applyFill="1" applyAlignment="1">
      <alignment horizontal="center"/>
    </xf>
    <xf numFmtId="167" fontId="59" fillId="0" borderId="0" xfId="0" applyNumberFormat="1" applyFont="1" applyFill="1" applyAlignment="1">
      <alignment horizontal="center"/>
    </xf>
    <xf numFmtId="168" fontId="24" fillId="0" borderId="0" xfId="0" applyNumberFormat="1" applyFont="1" applyFill="1" applyBorder="1" applyAlignment="1">
      <alignment horizontal="center"/>
    </xf>
    <xf numFmtId="168" fontId="12" fillId="0" borderId="0" xfId="0" applyNumberFormat="1" applyFont="1" applyFill="1" applyBorder="1"/>
    <xf numFmtId="170" fontId="12" fillId="0" borderId="0" xfId="0" applyNumberFormat="1" applyFont="1" applyFill="1" applyBorder="1" applyAlignment="1">
      <alignment horizontal="center"/>
    </xf>
    <xf numFmtId="186" fontId="0" fillId="0" borderId="0" xfId="0" applyNumberFormat="1" applyFill="1" applyAlignment="1">
      <alignment horizontal="center"/>
    </xf>
    <xf numFmtId="186" fontId="13" fillId="0" borderId="0" xfId="0" applyNumberFormat="1" applyFont="1" applyFill="1" applyAlignment="1">
      <alignment horizontal="center"/>
    </xf>
    <xf numFmtId="49" fontId="5" fillId="0" borderId="0" xfId="0" applyNumberFormat="1" applyFont="1" applyFill="1" applyAlignment="1">
      <alignment horizontal="left" wrapText="1"/>
    </xf>
    <xf numFmtId="0" fontId="54" fillId="0" borderId="0" xfId="0" applyFont="1" applyFill="1"/>
    <xf numFmtId="212" fontId="3" fillId="0" borderId="0" xfId="0" applyNumberFormat="1" applyFont="1" applyFill="1" applyAlignment="1">
      <alignment horizontal="left"/>
    </xf>
    <xf numFmtId="213" fontId="0" fillId="0" borderId="0" xfId="0" applyNumberFormat="1" applyFill="1" applyAlignment="1">
      <alignment horizontal="center"/>
    </xf>
    <xf numFmtId="168" fontId="24" fillId="0" borderId="0" xfId="0" applyNumberFormat="1" applyFont="1" applyFill="1" applyAlignment="1">
      <alignment horizontal="center"/>
    </xf>
    <xf numFmtId="9" fontId="24" fillId="0" borderId="0" xfId="3" applyFont="1" applyFill="1" applyBorder="1" applyAlignment="1">
      <alignment horizontal="center"/>
    </xf>
    <xf numFmtId="168" fontId="24" fillId="0" borderId="0" xfId="3" applyNumberFormat="1" applyFont="1" applyFill="1" applyBorder="1" applyAlignment="1">
      <alignment horizontal="center"/>
    </xf>
    <xf numFmtId="0" fontId="24" fillId="0" borderId="0" xfId="0" applyFont="1" applyFill="1" applyBorder="1" applyAlignment="1">
      <alignment wrapText="1"/>
    </xf>
    <xf numFmtId="178" fontId="24" fillId="0" borderId="16" xfId="0" applyNumberFormat="1" applyFont="1" applyFill="1" applyBorder="1" applyAlignment="1">
      <alignment horizontal="center"/>
    </xf>
    <xf numFmtId="178" fontId="24" fillId="0" borderId="17" xfId="0" applyNumberFormat="1" applyFont="1" applyFill="1" applyBorder="1" applyAlignment="1">
      <alignment horizontal="center"/>
    </xf>
    <xf numFmtId="178" fontId="24" fillId="0" borderId="18" xfId="0" applyNumberFormat="1" applyFont="1" applyFill="1" applyBorder="1" applyAlignment="1">
      <alignment horizontal="center"/>
    </xf>
    <xf numFmtId="0" fontId="58" fillId="0" borderId="0" xfId="0" applyFont="1" applyFill="1" applyAlignment="1">
      <alignment horizontal="left"/>
    </xf>
    <xf numFmtId="9" fontId="0" fillId="0" borderId="1" xfId="0" applyNumberFormat="1" applyFill="1" applyBorder="1" applyAlignment="1">
      <alignment horizontal="center"/>
    </xf>
    <xf numFmtId="9" fontId="13" fillId="0" borderId="1" xfId="3" applyFont="1" applyFill="1" applyBorder="1" applyAlignment="1">
      <alignment horizontal="center"/>
    </xf>
    <xf numFmtId="168" fontId="0" fillId="0" borderId="0" xfId="0" applyNumberFormat="1" applyFill="1" applyAlignment="1">
      <alignment horizontal="center" vertical="center"/>
    </xf>
    <xf numFmtId="9" fontId="0" fillId="0" borderId="0" xfId="0" applyNumberFormat="1" applyFill="1" applyAlignment="1">
      <alignment horizontal="center" vertical="center"/>
    </xf>
    <xf numFmtId="193" fontId="0" fillId="0" borderId="1" xfId="0" applyNumberFormat="1" applyFill="1" applyBorder="1" applyAlignment="1">
      <alignment horizontal="center"/>
    </xf>
    <xf numFmtId="0" fontId="43" fillId="0" borderId="0" xfId="0" applyFont="1" applyFill="1"/>
    <xf numFmtId="0" fontId="34" fillId="7" borderId="0" xfId="0" applyFont="1" applyFill="1" applyAlignment="1">
      <alignment horizontal="left" vertical="center"/>
    </xf>
    <xf numFmtId="0" fontId="5" fillId="10" borderId="0" xfId="0" applyFont="1" applyFill="1" applyBorder="1"/>
    <xf numFmtId="0" fontId="18" fillId="10" borderId="0" xfId="0" applyFont="1" applyFill="1"/>
    <xf numFmtId="167" fontId="14" fillId="10" borderId="0" xfId="0" applyNumberFormat="1" applyFont="1" applyFill="1" applyAlignment="1">
      <alignment horizontal="center"/>
    </xf>
    <xf numFmtId="0" fontId="33" fillId="10" borderId="0" xfId="0" applyFont="1" applyFill="1" applyBorder="1"/>
    <xf numFmtId="0" fontId="47" fillId="10" borderId="0" xfId="0" applyFont="1" applyFill="1"/>
    <xf numFmtId="0" fontId="18" fillId="10" borderId="0" xfId="0" applyFont="1" applyFill="1" applyBorder="1"/>
    <xf numFmtId="0" fontId="13" fillId="10" borderId="0" xfId="0" applyFont="1" applyFill="1" applyBorder="1"/>
    <xf numFmtId="0" fontId="47" fillId="7" borderId="0" xfId="0" applyFont="1" applyFill="1"/>
    <xf numFmtId="0" fontId="18" fillId="7" borderId="0" xfId="0" applyFont="1" applyFill="1"/>
    <xf numFmtId="0" fontId="33" fillId="7" borderId="0" xfId="0" applyFont="1" applyFill="1" applyBorder="1" applyAlignment="1">
      <alignment horizontal="center" vertical="center"/>
    </xf>
    <xf numFmtId="0" fontId="61" fillId="7" borderId="0" xfId="0" applyFont="1" applyFill="1" applyBorder="1"/>
    <xf numFmtId="0" fontId="61" fillId="0" borderId="0" xfId="0" applyFont="1" applyFill="1" applyBorder="1"/>
    <xf numFmtId="0" fontId="47" fillId="0" borderId="0" xfId="0" applyFont="1" applyFill="1"/>
    <xf numFmtId="0" fontId="33" fillId="0" borderId="0" xfId="0" applyFont="1" applyFill="1" applyBorder="1" applyAlignment="1">
      <alignment horizontal="center" vertical="center"/>
    </xf>
    <xf numFmtId="0" fontId="15" fillId="10" borderId="0" xfId="0" applyFont="1" applyFill="1"/>
    <xf numFmtId="166" fontId="8" fillId="10" borderId="0" xfId="0" applyNumberFormat="1" applyFont="1" applyFill="1"/>
    <xf numFmtId="0" fontId="23" fillId="10" borderId="0" xfId="0" applyFont="1" applyFill="1"/>
    <xf numFmtId="0" fontId="27" fillId="10" borderId="0" xfId="0" applyFont="1" applyFill="1"/>
    <xf numFmtId="166" fontId="27" fillId="10" borderId="0" xfId="0" applyNumberFormat="1" applyFont="1" applyFill="1" applyAlignment="1">
      <alignment horizontal="center"/>
    </xf>
    <xf numFmtId="167" fontId="27" fillId="10" borderId="0" xfId="0" applyNumberFormat="1" applyFont="1" applyFill="1" applyAlignment="1">
      <alignment horizontal="center"/>
    </xf>
    <xf numFmtId="168" fontId="23" fillId="10" borderId="0" xfId="0" applyNumberFormat="1" applyFont="1" applyFill="1" applyBorder="1" applyAlignment="1">
      <alignment horizontal="center"/>
    </xf>
    <xf numFmtId="9" fontId="23" fillId="10" borderId="0" xfId="3" applyFont="1" applyFill="1" applyAlignment="1">
      <alignment horizontal="center"/>
    </xf>
    <xf numFmtId="166" fontId="9" fillId="10" borderId="0" xfId="0" applyNumberFormat="1" applyFont="1" applyFill="1"/>
    <xf numFmtId="0" fontId="7" fillId="0" borderId="0" xfId="0" applyFont="1" applyFill="1"/>
    <xf numFmtId="9" fontId="3" fillId="10" borderId="0" xfId="3" applyFill="1" applyAlignment="1">
      <alignment horizontal="center"/>
    </xf>
    <xf numFmtId="0" fontId="35" fillId="10" borderId="0" xfId="0" applyFont="1" applyFill="1"/>
    <xf numFmtId="166" fontId="35" fillId="10" borderId="0" xfId="0" applyNumberFormat="1" applyFont="1" applyFill="1" applyAlignment="1">
      <alignment horizontal="center"/>
    </xf>
    <xf numFmtId="167" fontId="35" fillId="10" borderId="0" xfId="0" applyNumberFormat="1" applyFont="1" applyFill="1" applyAlignment="1">
      <alignment horizontal="center"/>
    </xf>
    <xf numFmtId="0" fontId="34" fillId="10" borderId="0" xfId="0" applyFont="1" applyFill="1"/>
    <xf numFmtId="9" fontId="18" fillId="10" borderId="0" xfId="3" applyFont="1" applyFill="1" applyAlignment="1">
      <alignment horizontal="center"/>
    </xf>
    <xf numFmtId="168" fontId="34" fillId="10" borderId="19" xfId="0" applyNumberFormat="1" applyFont="1" applyFill="1" applyBorder="1" applyAlignment="1">
      <alignment horizontal="center"/>
    </xf>
    <xf numFmtId="206" fontId="12" fillId="10" borderId="0" xfId="3" applyNumberFormat="1" applyFont="1" applyFill="1" applyAlignment="1">
      <alignment horizontal="center"/>
    </xf>
    <xf numFmtId="0" fontId="14" fillId="10" borderId="0" xfId="0" applyFont="1" applyFill="1"/>
    <xf numFmtId="193" fontId="14" fillId="10" borderId="12" xfId="0" applyNumberFormat="1" applyFont="1" applyFill="1" applyBorder="1" applyAlignment="1">
      <alignment horizontal="center"/>
    </xf>
    <xf numFmtId="9" fontId="0" fillId="10" borderId="0" xfId="3" applyFont="1" applyFill="1" applyAlignment="1">
      <alignment horizontal="center"/>
    </xf>
    <xf numFmtId="193" fontId="14" fillId="10" borderId="0" xfId="0" applyNumberFormat="1" applyFont="1" applyFill="1" applyBorder="1" applyAlignment="1">
      <alignment horizontal="center"/>
    </xf>
    <xf numFmtId="9" fontId="13" fillId="10" borderId="0" xfId="3" applyFont="1" applyFill="1" applyAlignment="1">
      <alignment horizontal="center"/>
    </xf>
    <xf numFmtId="0" fontId="7" fillId="10" borderId="0" xfId="0" applyFont="1" applyFill="1"/>
    <xf numFmtId="0" fontId="23" fillId="0" borderId="0" xfId="0" applyFont="1" applyFill="1"/>
    <xf numFmtId="0" fontId="27" fillId="0" borderId="0" xfId="0" applyFont="1" applyFill="1"/>
    <xf numFmtId="166" fontId="27" fillId="0" borderId="0" xfId="0" applyNumberFormat="1" applyFont="1" applyFill="1" applyAlignment="1">
      <alignment horizontal="center"/>
    </xf>
    <xf numFmtId="167" fontId="27" fillId="0" borderId="0" xfId="0" applyNumberFormat="1" applyFont="1" applyFill="1" applyAlignment="1">
      <alignment horizontal="center"/>
    </xf>
    <xf numFmtId="168" fontId="23" fillId="0" borderId="0" xfId="0" applyNumberFormat="1" applyFont="1" applyFill="1" applyBorder="1" applyAlignment="1">
      <alignment horizontal="center"/>
    </xf>
    <xf numFmtId="9" fontId="23" fillId="0" borderId="0" xfId="3" applyFont="1" applyFill="1" applyAlignment="1">
      <alignment horizontal="center"/>
    </xf>
    <xf numFmtId="1" fontId="18" fillId="10" borderId="0" xfId="0" applyNumberFormat="1" applyFont="1" applyFill="1"/>
    <xf numFmtId="167" fontId="18" fillId="10" borderId="0" xfId="0" applyNumberFormat="1" applyFont="1" applyFill="1" applyAlignment="1">
      <alignment horizontal="center"/>
    </xf>
    <xf numFmtId="168" fontId="23" fillId="10" borderId="20" xfId="0" applyNumberFormat="1" applyFont="1" applyFill="1" applyBorder="1" applyAlignment="1">
      <alignment horizontal="center"/>
    </xf>
    <xf numFmtId="9" fontId="14" fillId="10" borderId="0" xfId="3" applyFont="1" applyFill="1" applyAlignment="1">
      <alignment horizontal="center"/>
    </xf>
    <xf numFmtId="166" fontId="18" fillId="10" borderId="0" xfId="0" applyNumberFormat="1" applyFont="1" applyFill="1"/>
    <xf numFmtId="168" fontId="23" fillId="10" borderId="21" xfId="0" applyNumberFormat="1" applyFont="1" applyFill="1" applyBorder="1" applyAlignment="1">
      <alignment horizontal="center"/>
    </xf>
    <xf numFmtId="166" fontId="27" fillId="10" borderId="0" xfId="0" applyNumberFormat="1" applyFont="1" applyFill="1"/>
    <xf numFmtId="1" fontId="18" fillId="10" borderId="0" xfId="0" applyNumberFormat="1" applyFont="1" applyFill="1" applyAlignment="1">
      <alignment horizontal="center"/>
    </xf>
    <xf numFmtId="168" fontId="14" fillId="10" borderId="0" xfId="0" applyNumberFormat="1" applyFont="1" applyFill="1" applyAlignment="1">
      <alignment horizontal="center"/>
    </xf>
    <xf numFmtId="193" fontId="13" fillId="0" borderId="0" xfId="0" applyNumberFormat="1" applyFont="1" applyAlignment="1">
      <alignment horizontal="center"/>
    </xf>
    <xf numFmtId="9" fontId="18" fillId="10" borderId="0" xfId="3" applyFont="1" applyFill="1" applyAlignment="1">
      <alignment horizontal="center" vertical="center"/>
    </xf>
    <xf numFmtId="0" fontId="0" fillId="11" borderId="0" xfId="0" applyFill="1"/>
    <xf numFmtId="166" fontId="35" fillId="0" borderId="0" xfId="0" applyNumberFormat="1" applyFont="1" applyFill="1"/>
    <xf numFmtId="166" fontId="35" fillId="10" borderId="0" xfId="0" applyNumberFormat="1" applyFont="1" applyFill="1"/>
    <xf numFmtId="193" fontId="12" fillId="3" borderId="0" xfId="0" applyNumberFormat="1" applyFont="1" applyFill="1" applyAlignment="1">
      <alignment horizontal="center"/>
    </xf>
    <xf numFmtId="192" fontId="8" fillId="9" borderId="0" xfId="0" applyNumberFormat="1" applyFont="1" applyFill="1" applyAlignment="1">
      <alignment horizontal="left"/>
    </xf>
    <xf numFmtId="0" fontId="13" fillId="2" borderId="0" xfId="0" applyFont="1" applyFill="1"/>
    <xf numFmtId="0" fontId="42" fillId="0" borderId="0" xfId="0" applyFont="1"/>
    <xf numFmtId="3" fontId="13" fillId="0" borderId="0" xfId="0" applyNumberFormat="1" applyFont="1" applyFill="1" applyBorder="1" applyAlignment="1">
      <alignment horizontal="center"/>
    </xf>
    <xf numFmtId="192" fontId="5" fillId="9" borderId="0" xfId="0" applyNumberFormat="1" applyFont="1" applyFill="1" applyAlignment="1">
      <alignment horizontal="left"/>
    </xf>
    <xf numFmtId="0" fontId="0" fillId="7" borderId="0" xfId="0" applyFill="1"/>
    <xf numFmtId="1" fontId="12" fillId="3" borderId="0" xfId="0" applyNumberFormat="1" applyFont="1" applyFill="1" applyAlignment="1">
      <alignment horizontal="center"/>
    </xf>
    <xf numFmtId="3" fontId="12" fillId="3" borderId="0" xfId="0" applyNumberFormat="1" applyFont="1" applyFill="1" applyAlignment="1">
      <alignment horizontal="center"/>
    </xf>
    <xf numFmtId="0" fontId="12" fillId="3" borderId="0" xfId="0" applyFont="1" applyFill="1" applyAlignment="1">
      <alignment horizontal="center"/>
    </xf>
    <xf numFmtId="1" fontId="1" fillId="3" borderId="0" xfId="0" applyNumberFormat="1" applyFont="1" applyFill="1" applyAlignment="1">
      <alignment horizontal="center"/>
    </xf>
    <xf numFmtId="182" fontId="0" fillId="3" borderId="0" xfId="0" applyNumberFormat="1" applyFill="1" applyAlignment="1">
      <alignment horizontal="center"/>
    </xf>
    <xf numFmtId="182" fontId="13" fillId="0" borderId="0" xfId="0" applyNumberFormat="1" applyFont="1" applyBorder="1" applyAlignment="1">
      <alignment horizontal="left"/>
    </xf>
    <xf numFmtId="182" fontId="13" fillId="0" borderId="0" xfId="0" applyNumberFormat="1" applyFont="1" applyAlignment="1">
      <alignment horizontal="center"/>
    </xf>
    <xf numFmtId="0" fontId="13" fillId="0" borderId="0" xfId="0" applyFont="1" applyBorder="1" applyAlignment="1">
      <alignment horizontal="center"/>
    </xf>
    <xf numFmtId="3" fontId="24" fillId="0" borderId="0" xfId="0" applyNumberFormat="1" applyFont="1" applyFill="1" applyAlignment="1">
      <alignment horizontal="center"/>
    </xf>
    <xf numFmtId="0" fontId="58" fillId="0" borderId="0" xfId="0" applyFont="1" applyFill="1" applyBorder="1" applyAlignment="1">
      <alignment horizontal="right"/>
    </xf>
    <xf numFmtId="0" fontId="58" fillId="0" borderId="0" xfId="0" applyFont="1" applyFill="1" applyBorder="1" applyAlignment="1">
      <alignment horizontal="center"/>
    </xf>
    <xf numFmtId="0" fontId="60" fillId="0" borderId="0" xfId="0" applyFont="1" applyFill="1" applyAlignment="1">
      <alignment horizontal="left"/>
    </xf>
    <xf numFmtId="0" fontId="24" fillId="0" borderId="0" xfId="0" applyFont="1" applyFill="1" applyBorder="1" applyAlignment="1">
      <alignment horizontal="center"/>
    </xf>
    <xf numFmtId="3" fontId="24" fillId="0" borderId="0" xfId="0" applyNumberFormat="1" applyFont="1" applyFill="1" applyBorder="1" applyAlignment="1">
      <alignment horizontal="center"/>
    </xf>
    <xf numFmtId="0" fontId="58" fillId="3" borderId="0" xfId="0" applyFont="1" applyFill="1" applyBorder="1" applyAlignment="1">
      <alignment horizontal="center"/>
    </xf>
    <xf numFmtId="0" fontId="58" fillId="3" borderId="0" xfId="0" applyFont="1" applyFill="1"/>
    <xf numFmtId="0" fontId="58" fillId="0" borderId="0" xfId="0" applyFont="1"/>
    <xf numFmtId="182" fontId="58" fillId="0" borderId="0" xfId="0" applyNumberFormat="1" applyFont="1" applyFill="1" applyAlignment="1">
      <alignment horizontal="center"/>
    </xf>
    <xf numFmtId="9" fontId="58" fillId="0" borderId="0" xfId="0" applyNumberFormat="1" applyFont="1" applyFill="1" applyBorder="1" applyAlignment="1">
      <alignment horizontal="center"/>
    </xf>
    <xf numFmtId="0" fontId="58" fillId="0" borderId="0" xfId="0" applyFont="1" applyFill="1" applyAlignment="1">
      <alignment horizontal="center"/>
    </xf>
    <xf numFmtId="1" fontId="24" fillId="0" borderId="0" xfId="0" applyNumberFormat="1" applyFont="1" applyFill="1" applyBorder="1" applyAlignment="1">
      <alignment horizontal="center"/>
    </xf>
    <xf numFmtId="0" fontId="58" fillId="0" borderId="0" xfId="0" applyFont="1" applyBorder="1"/>
    <xf numFmtId="182" fontId="24" fillId="0" borderId="0" xfId="0" applyNumberFormat="1" applyFont="1" applyFill="1" applyAlignment="1">
      <alignment horizontal="center"/>
    </xf>
    <xf numFmtId="9" fontId="24" fillId="0" borderId="0" xfId="3" applyFont="1" applyFill="1" applyAlignment="1">
      <alignment horizontal="left"/>
    </xf>
    <xf numFmtId="0" fontId="58" fillId="0" borderId="0" xfId="0" applyFont="1" applyAlignment="1">
      <alignment horizontal="center"/>
    </xf>
    <xf numFmtId="0" fontId="24" fillId="0" borderId="0" xfId="0" applyFont="1"/>
    <xf numFmtId="185" fontId="24" fillId="0" borderId="0" xfId="0" applyNumberFormat="1" applyFont="1" applyAlignment="1">
      <alignment horizontal="center"/>
    </xf>
    <xf numFmtId="203" fontId="38" fillId="3" borderId="0" xfId="0" applyNumberFormat="1" applyFont="1" applyFill="1" applyAlignment="1">
      <alignment horizontal="center"/>
    </xf>
    <xf numFmtId="0" fontId="13" fillId="3" borderId="0" xfId="0" applyFont="1" applyFill="1" applyAlignment="1">
      <alignment horizontal="center"/>
    </xf>
    <xf numFmtId="178" fontId="12" fillId="3" borderId="0" xfId="0" applyNumberFormat="1" applyFont="1" applyFill="1" applyAlignment="1">
      <alignment horizontal="center"/>
    </xf>
    <xf numFmtId="178" fontId="0" fillId="3" borderId="0" xfId="0" applyNumberFormat="1" applyFill="1" applyAlignment="1">
      <alignment horizontal="center"/>
    </xf>
    <xf numFmtId="207" fontId="0" fillId="3" borderId="0" xfId="0" applyNumberFormat="1" applyFill="1" applyAlignment="1">
      <alignment horizontal="center"/>
    </xf>
    <xf numFmtId="0" fontId="3" fillId="0" borderId="0" xfId="0" applyFont="1" applyFill="1" applyAlignment="1">
      <alignment wrapText="1"/>
    </xf>
    <xf numFmtId="0" fontId="15" fillId="0" borderId="0" xfId="0" applyFont="1" applyFill="1" applyBorder="1"/>
    <xf numFmtId="0" fontId="3" fillId="0" borderId="4" xfId="0" applyFont="1" applyFill="1" applyBorder="1" applyAlignment="1">
      <alignment horizontal="center"/>
    </xf>
    <xf numFmtId="0" fontId="0" fillId="0" borderId="0" xfId="0" applyFill="1" applyAlignment="1">
      <alignment wrapText="1"/>
    </xf>
    <xf numFmtId="9" fontId="3" fillId="2" borderId="0" xfId="3" applyFont="1" applyFill="1" applyAlignment="1">
      <alignment horizontal="center"/>
    </xf>
    <xf numFmtId="166" fontId="3" fillId="2" borderId="0" xfId="0" applyNumberFormat="1" applyFont="1" applyFill="1"/>
    <xf numFmtId="9" fontId="3" fillId="2" borderId="0" xfId="3" applyFill="1" applyAlignment="1">
      <alignment horizontal="center"/>
    </xf>
    <xf numFmtId="166" fontId="0" fillId="2" borderId="0" xfId="0" applyNumberFormat="1" applyFill="1"/>
    <xf numFmtId="209" fontId="1" fillId="0" borderId="4" xfId="0" applyNumberFormat="1" applyFont="1" applyFill="1" applyBorder="1" applyAlignment="1">
      <alignment horizontal="center"/>
    </xf>
    <xf numFmtId="209" fontId="1" fillId="0" borderId="22" xfId="0" applyNumberFormat="1" applyFont="1" applyFill="1" applyBorder="1" applyAlignment="1">
      <alignment horizontal="center"/>
    </xf>
    <xf numFmtId="209" fontId="0" fillId="0" borderId="11" xfId="0" applyNumberFormat="1" applyFill="1" applyBorder="1" applyAlignment="1">
      <alignment horizontal="center"/>
    </xf>
    <xf numFmtId="9" fontId="1" fillId="0" borderId="6" xfId="3" applyFont="1" applyFill="1" applyBorder="1" applyAlignment="1">
      <alignment horizontal="center"/>
    </xf>
    <xf numFmtId="3" fontId="5" fillId="0" borderId="4" xfId="0" applyNumberFormat="1" applyFont="1" applyFill="1" applyBorder="1" applyAlignment="1">
      <alignment horizontal="center"/>
    </xf>
    <xf numFmtId="187" fontId="0" fillId="0" borderId="0" xfId="0" applyNumberFormat="1" applyFill="1" applyAlignment="1">
      <alignment horizontal="center"/>
    </xf>
    <xf numFmtId="210" fontId="3" fillId="3" borderId="0" xfId="0" applyNumberFormat="1" applyFont="1" applyFill="1" applyAlignment="1">
      <alignment horizontal="center"/>
    </xf>
    <xf numFmtId="198" fontId="24" fillId="0" borderId="23" xfId="0" applyNumberFormat="1" applyFont="1" applyFill="1" applyBorder="1" applyAlignment="1">
      <alignment horizontal="center"/>
    </xf>
    <xf numFmtId="201" fontId="1" fillId="0" borderId="0" xfId="0" applyNumberFormat="1" applyFont="1" applyFill="1" applyAlignment="1">
      <alignment horizontal="center"/>
    </xf>
    <xf numFmtId="215" fontId="1" fillId="0" borderId="0" xfId="0" applyNumberFormat="1" applyFont="1" applyFill="1" applyAlignment="1">
      <alignment horizontal="center"/>
    </xf>
    <xf numFmtId="0" fontId="58" fillId="3" borderId="0" xfId="0" applyFont="1" applyFill="1" applyAlignment="1">
      <alignment horizontal="left"/>
    </xf>
    <xf numFmtId="0" fontId="60" fillId="3" borderId="0" xfId="0" applyFont="1" applyFill="1" applyAlignment="1">
      <alignment horizontal="left"/>
    </xf>
    <xf numFmtId="182" fontId="58" fillId="3" borderId="0" xfId="0" applyNumberFormat="1" applyFont="1" applyFill="1" applyAlignment="1">
      <alignment horizontal="center"/>
    </xf>
    <xf numFmtId="198" fontId="58" fillId="3" borderId="0" xfId="0" applyNumberFormat="1" applyFont="1" applyFill="1" applyAlignment="1">
      <alignment horizontal="center"/>
    </xf>
    <xf numFmtId="0" fontId="58" fillId="3" borderId="0" xfId="0" applyFont="1" applyFill="1" applyAlignment="1">
      <alignment horizontal="center"/>
    </xf>
    <xf numFmtId="198" fontId="58" fillId="3" borderId="24" xfId="0" applyNumberFormat="1" applyFont="1" applyFill="1" applyBorder="1" applyAlignment="1">
      <alignment horizontal="center"/>
    </xf>
    <xf numFmtId="198" fontId="58" fillId="3" borderId="22" xfId="0" applyNumberFormat="1" applyFont="1" applyFill="1" applyBorder="1" applyAlignment="1">
      <alignment horizontal="center"/>
    </xf>
    <xf numFmtId="165" fontId="58" fillId="3" borderId="0" xfId="0" applyNumberFormat="1" applyFont="1" applyFill="1" applyAlignment="1">
      <alignment horizontal="center"/>
    </xf>
    <xf numFmtId="182" fontId="58" fillId="3" borderId="4" xfId="0" applyNumberFormat="1" applyFont="1" applyFill="1" applyBorder="1" applyAlignment="1">
      <alignment horizontal="center"/>
    </xf>
    <xf numFmtId="9" fontId="58" fillId="3" borderId="0" xfId="3" applyFont="1" applyFill="1" applyAlignment="1">
      <alignment horizontal="center"/>
    </xf>
    <xf numFmtId="168" fontId="58" fillId="3" borderId="0" xfId="0" applyNumberFormat="1" applyFont="1" applyFill="1" applyBorder="1" applyAlignment="1">
      <alignment horizontal="center"/>
    </xf>
    <xf numFmtId="174" fontId="58" fillId="3" borderId="0" xfId="3" applyNumberFormat="1" applyFont="1" applyFill="1" applyBorder="1" applyAlignment="1">
      <alignment horizontal="center"/>
    </xf>
    <xf numFmtId="217" fontId="58" fillId="3" borderId="0" xfId="0" applyNumberFormat="1" applyFont="1" applyFill="1" applyAlignment="1">
      <alignment horizontal="center"/>
    </xf>
    <xf numFmtId="208" fontId="58" fillId="3" borderId="0" xfId="0" applyNumberFormat="1" applyFont="1" applyFill="1" applyAlignment="1">
      <alignment horizontal="center"/>
    </xf>
    <xf numFmtId="1" fontId="13" fillId="0" borderId="0" xfId="0" applyNumberFormat="1" applyFont="1" applyFill="1" applyAlignment="1">
      <alignment horizontal="center"/>
    </xf>
    <xf numFmtId="166" fontId="2" fillId="0" borderId="0" xfId="0" applyNumberFormat="1" applyFont="1" applyFill="1" applyAlignment="1">
      <alignment horizontal="center"/>
    </xf>
    <xf numFmtId="184" fontId="12" fillId="0" borderId="0" xfId="0" applyNumberFormat="1" applyFont="1" applyFill="1" applyAlignment="1">
      <alignment horizontal="center"/>
    </xf>
    <xf numFmtId="184" fontId="3" fillId="0" borderId="0" xfId="0" applyNumberFormat="1" applyFont="1" applyFill="1" applyAlignment="1">
      <alignment horizontal="left"/>
    </xf>
    <xf numFmtId="0" fontId="13" fillId="3" borderId="0" xfId="0" applyFont="1" applyFill="1" applyBorder="1" applyAlignment="1">
      <alignment horizontal="left"/>
    </xf>
    <xf numFmtId="168" fontId="0" fillId="3" borderId="0" xfId="0" applyNumberFormat="1" applyFill="1" applyAlignment="1">
      <alignment horizontal="center"/>
    </xf>
    <xf numFmtId="0" fontId="23" fillId="10" borderId="4" xfId="0" applyFont="1" applyFill="1" applyBorder="1"/>
    <xf numFmtId="0" fontId="18" fillId="10" borderId="4" xfId="0" applyFont="1" applyFill="1" applyBorder="1"/>
    <xf numFmtId="168" fontId="23" fillId="10" borderId="4" xfId="0" applyNumberFormat="1" applyFont="1" applyFill="1" applyBorder="1" applyAlignment="1">
      <alignment horizontal="center"/>
    </xf>
    <xf numFmtId="0" fontId="27" fillId="10" borderId="0" xfId="0" applyFont="1" applyFill="1" applyAlignment="1">
      <alignment horizontal="center"/>
    </xf>
    <xf numFmtId="168" fontId="23" fillId="10" borderId="19" xfId="0" applyNumberFormat="1" applyFont="1" applyFill="1" applyBorder="1" applyAlignment="1">
      <alignment horizontal="center"/>
    </xf>
    <xf numFmtId="168" fontId="23" fillId="10" borderId="25" xfId="0" applyNumberFormat="1" applyFont="1" applyFill="1" applyBorder="1" applyAlignment="1">
      <alignment horizontal="center"/>
    </xf>
    <xf numFmtId="0" fontId="14" fillId="10" borderId="0" xfId="0" applyFont="1" applyFill="1" applyAlignment="1">
      <alignment horizontal="center"/>
    </xf>
    <xf numFmtId="196" fontId="34" fillId="10" borderId="19" xfId="0" applyNumberFormat="1" applyFont="1" applyFill="1" applyBorder="1" applyAlignment="1">
      <alignment horizontal="center"/>
    </xf>
    <xf numFmtId="178" fontId="23" fillId="10" borderId="0" xfId="0" applyNumberFormat="1" applyFont="1" applyFill="1" applyBorder="1" applyAlignment="1">
      <alignment horizontal="center"/>
    </xf>
    <xf numFmtId="168" fontId="0" fillId="10" borderId="0" xfId="3" applyNumberFormat="1" applyFont="1" applyFill="1"/>
    <xf numFmtId="0" fontId="64" fillId="10" borderId="0" xfId="0" applyFont="1" applyFill="1"/>
    <xf numFmtId="0" fontId="65" fillId="10" borderId="0" xfId="0" applyFont="1" applyFill="1"/>
    <xf numFmtId="0" fontId="65" fillId="10" borderId="0" xfId="0" applyFont="1" applyFill="1" applyAlignment="1">
      <alignment horizontal="center"/>
    </xf>
    <xf numFmtId="166" fontId="65" fillId="10" borderId="0" xfId="0" applyNumberFormat="1" applyFont="1" applyFill="1" applyAlignment="1">
      <alignment horizontal="center"/>
    </xf>
    <xf numFmtId="167" fontId="65" fillId="10" borderId="0" xfId="0" applyNumberFormat="1" applyFont="1" applyFill="1" applyAlignment="1">
      <alignment horizontal="center"/>
    </xf>
    <xf numFmtId="168" fontId="64" fillId="10" borderId="20" xfId="0" applyNumberFormat="1" applyFont="1" applyFill="1" applyBorder="1" applyAlignment="1">
      <alignment horizontal="center"/>
    </xf>
    <xf numFmtId="0" fontId="64" fillId="10" borderId="0" xfId="0" applyFont="1" applyFill="1" applyAlignment="1">
      <alignment horizontal="center"/>
    </xf>
    <xf numFmtId="167" fontId="64" fillId="10" borderId="0" xfId="0" applyNumberFormat="1" applyFont="1" applyFill="1" applyAlignment="1">
      <alignment horizontal="center"/>
    </xf>
    <xf numFmtId="0" fontId="24" fillId="0" borderId="0" xfId="0" applyFont="1" applyFill="1" applyAlignment="1">
      <alignment wrapText="1"/>
    </xf>
    <xf numFmtId="0" fontId="41" fillId="7" borderId="0" xfId="0" applyFont="1" applyFill="1" applyAlignment="1"/>
    <xf numFmtId="0" fontId="66" fillId="7" borderId="0" xfId="0" applyFont="1" applyFill="1" applyAlignment="1">
      <alignment horizontal="left"/>
    </xf>
    <xf numFmtId="0" fontId="40" fillId="7" borderId="0" xfId="0" applyFont="1" applyFill="1" applyAlignment="1">
      <alignment horizontal="left"/>
    </xf>
    <xf numFmtId="176" fontId="41" fillId="7" borderId="0" xfId="0" applyNumberFormat="1" applyFont="1" applyFill="1" applyAlignment="1">
      <alignment horizontal="left"/>
    </xf>
    <xf numFmtId="0" fontId="23" fillId="7" borderId="0" xfId="0" applyFont="1" applyFill="1"/>
    <xf numFmtId="0" fontId="44" fillId="7" borderId="0" xfId="0" applyFont="1" applyFill="1" applyAlignment="1">
      <alignment horizontal="right"/>
    </xf>
    <xf numFmtId="0" fontId="44" fillId="7" borderId="0" xfId="0" applyFont="1" applyFill="1"/>
    <xf numFmtId="0" fontId="8" fillId="7" borderId="0" xfId="0" applyFont="1" applyFill="1" applyBorder="1" applyAlignment="1">
      <alignment horizontal="center"/>
    </xf>
    <xf numFmtId="216" fontId="5" fillId="9" borderId="0" xfId="0" applyNumberFormat="1" applyFont="1" applyFill="1" applyAlignment="1">
      <alignment horizontal="center"/>
    </xf>
    <xf numFmtId="0" fontId="18" fillId="9" borderId="0" xfId="0" applyFont="1" applyFill="1"/>
    <xf numFmtId="0" fontId="41" fillId="9" borderId="0" xfId="0" applyFont="1" applyFill="1" applyAlignment="1">
      <alignment horizontal="left" wrapText="1"/>
    </xf>
    <xf numFmtId="0" fontId="17" fillId="9" borderId="0" xfId="0" applyFont="1" applyFill="1" applyAlignment="1">
      <alignment horizontal="center"/>
    </xf>
    <xf numFmtId="0" fontId="7" fillId="9" borderId="0" xfId="0" applyFont="1" applyFill="1" applyAlignment="1">
      <alignment horizontal="center"/>
    </xf>
    <xf numFmtId="192" fontId="5" fillId="9" borderId="0" xfId="0" applyNumberFormat="1" applyFont="1" applyFill="1" applyAlignment="1">
      <alignment horizontal="center"/>
    </xf>
    <xf numFmtId="0" fontId="40" fillId="9" borderId="0" xfId="0" applyFont="1" applyFill="1"/>
    <xf numFmtId="0" fontId="23" fillId="9" borderId="0" xfId="0" applyFont="1" applyFill="1" applyBorder="1" applyAlignment="1">
      <alignment horizontal="left" vertical="center"/>
    </xf>
    <xf numFmtId="0" fontId="34" fillId="9" borderId="0" xfId="0" applyFont="1" applyFill="1" applyBorder="1" applyAlignment="1">
      <alignment horizontal="left" vertical="center"/>
    </xf>
    <xf numFmtId="0" fontId="33" fillId="9" borderId="0" xfId="0" applyFont="1" applyFill="1"/>
    <xf numFmtId="0" fontId="7" fillId="9" borderId="0" xfId="0" applyFont="1" applyFill="1" applyBorder="1" applyAlignment="1">
      <alignment horizontal="left"/>
    </xf>
    <xf numFmtId="0" fontId="17" fillId="9" borderId="0" xfId="0" applyFont="1" applyFill="1"/>
    <xf numFmtId="216" fontId="5" fillId="9" borderId="0" xfId="0" applyNumberFormat="1" applyFont="1" applyFill="1" applyBorder="1" applyAlignment="1">
      <alignment horizontal="left"/>
    </xf>
    <xf numFmtId="0" fontId="12" fillId="9" borderId="0" xfId="0" applyFont="1" applyFill="1" applyAlignment="1">
      <alignment horizontal="left"/>
    </xf>
    <xf numFmtId="0" fontId="5" fillId="9" borderId="0" xfId="0" applyFont="1" applyFill="1" applyAlignment="1">
      <alignment horizontal="left"/>
    </xf>
    <xf numFmtId="0" fontId="0" fillId="9" borderId="0" xfId="0" applyFill="1" applyAlignment="1">
      <alignment horizontal="left"/>
    </xf>
    <xf numFmtId="167" fontId="3" fillId="0" borderId="1" xfId="0" applyNumberFormat="1" applyFont="1" applyFill="1" applyBorder="1" applyAlignment="1">
      <alignment horizontal="center"/>
    </xf>
    <xf numFmtId="0" fontId="42" fillId="0" borderId="0" xfId="0" applyFont="1" applyBorder="1"/>
    <xf numFmtId="0" fontId="64" fillId="10" borderId="4" xfId="0" applyFont="1" applyFill="1" applyBorder="1"/>
    <xf numFmtId="0" fontId="65" fillId="10" borderId="4" xfId="0" applyFont="1" applyFill="1" applyBorder="1"/>
    <xf numFmtId="168" fontId="67" fillId="10" borderId="4" xfId="0" applyNumberFormat="1" applyFont="1" applyFill="1" applyBorder="1" applyAlignment="1">
      <alignment horizontal="center"/>
    </xf>
    <xf numFmtId="0" fontId="58" fillId="3" borderId="0" xfId="0" applyFont="1" applyFill="1" applyBorder="1" applyAlignment="1">
      <alignment horizontal="right"/>
    </xf>
    <xf numFmtId="3" fontId="58" fillId="0" borderId="0" xfId="0" applyNumberFormat="1" applyFont="1" applyFill="1" applyBorder="1" applyAlignment="1">
      <alignment horizontal="center"/>
    </xf>
    <xf numFmtId="0" fontId="58" fillId="0" borderId="0" xfId="0" applyFont="1" applyFill="1" applyAlignment="1">
      <alignment horizontal="right"/>
    </xf>
    <xf numFmtId="173" fontId="0" fillId="0" borderId="0" xfId="0" applyNumberFormat="1" applyFill="1" applyAlignment="1">
      <alignment horizontal="center"/>
    </xf>
    <xf numFmtId="0" fontId="3" fillId="0" borderId="0" xfId="0" applyFont="1" applyAlignment="1">
      <alignment wrapText="1"/>
    </xf>
    <xf numFmtId="3" fontId="1" fillId="0" borderId="4" xfId="0" applyNumberFormat="1" applyFont="1" applyFill="1" applyBorder="1" applyAlignment="1">
      <alignment horizontal="center"/>
    </xf>
    <xf numFmtId="3" fontId="1" fillId="0" borderId="22" xfId="0" applyNumberFormat="1" applyFont="1" applyFill="1" applyBorder="1" applyAlignment="1">
      <alignment horizontal="center"/>
    </xf>
    <xf numFmtId="3" fontId="0" fillId="0" borderId="11" xfId="0" applyNumberFormat="1" applyFill="1" applyBorder="1" applyAlignment="1">
      <alignment horizontal="center"/>
    </xf>
    <xf numFmtId="0" fontId="68" fillId="10" borderId="0" xfId="0" applyFont="1" applyFill="1"/>
    <xf numFmtId="192" fontId="69" fillId="9" borderId="0" xfId="0" applyNumberFormat="1" applyFont="1" applyFill="1" applyAlignment="1">
      <alignment horizontal="left"/>
    </xf>
    <xf numFmtId="0" fontId="10" fillId="0" borderId="0" xfId="0" applyFont="1" applyFill="1"/>
    <xf numFmtId="0" fontId="70" fillId="0" borderId="0" xfId="0" applyFont="1" applyFill="1" applyAlignment="1">
      <alignment horizontal="left"/>
    </xf>
    <xf numFmtId="0" fontId="70" fillId="9" borderId="0" xfId="0" applyFont="1" applyFill="1" applyAlignment="1">
      <alignment horizontal="center"/>
    </xf>
    <xf numFmtId="0" fontId="70" fillId="9" borderId="0" xfId="0" applyFont="1" applyFill="1"/>
    <xf numFmtId="0" fontId="10" fillId="9" borderId="0" xfId="0" applyFont="1" applyFill="1" applyAlignment="1">
      <alignment horizontal="center"/>
    </xf>
    <xf numFmtId="0" fontId="10" fillId="9" borderId="5" xfId="0" applyFont="1" applyFill="1" applyBorder="1" applyAlignment="1">
      <alignment horizontal="center"/>
    </xf>
    <xf numFmtId="0" fontId="10" fillId="9" borderId="0" xfId="0" applyFont="1" applyFill="1" applyBorder="1" applyAlignment="1">
      <alignment horizontal="center"/>
    </xf>
    <xf numFmtId="2" fontId="13"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0" fontId="68" fillId="10" borderId="0" xfId="0" applyNumberFormat="1" applyFont="1" applyFill="1" applyBorder="1" applyAlignment="1" applyProtection="1"/>
    <xf numFmtId="168" fontId="13" fillId="0" borderId="4" xfId="0" applyNumberFormat="1" applyFont="1" applyFill="1" applyBorder="1" applyAlignment="1">
      <alignment horizontal="center"/>
    </xf>
    <xf numFmtId="2" fontId="13" fillId="0" borderId="4" xfId="0" applyNumberFormat="1" applyFont="1" applyFill="1" applyBorder="1" applyAlignment="1">
      <alignment horizontal="center"/>
    </xf>
    <xf numFmtId="168" fontId="21" fillId="3" borderId="4" xfId="0" applyNumberFormat="1" applyFont="1" applyFill="1" applyBorder="1" applyAlignment="1">
      <alignment horizontal="center"/>
    </xf>
    <xf numFmtId="168" fontId="0" fillId="0" borderId="4" xfId="0" applyNumberFormat="1" applyBorder="1" applyAlignment="1">
      <alignment horizontal="center"/>
    </xf>
    <xf numFmtId="168" fontId="64" fillId="10" borderId="26" xfId="0" applyNumberFormat="1" applyFont="1" applyFill="1" applyBorder="1" applyAlignment="1">
      <alignment horizontal="center"/>
    </xf>
    <xf numFmtId="9" fontId="12" fillId="0" borderId="5" xfId="3" applyFont="1" applyBorder="1" applyAlignment="1">
      <alignment horizontal="center"/>
    </xf>
    <xf numFmtId="9" fontId="13" fillId="0" borderId="5" xfId="3" applyFont="1" applyFill="1" applyBorder="1" applyAlignment="1">
      <alignment horizontal="center"/>
    </xf>
    <xf numFmtId="9" fontId="13" fillId="0" borderId="5" xfId="3" applyFont="1" applyBorder="1" applyAlignment="1">
      <alignment horizontal="center"/>
    </xf>
    <xf numFmtId="2" fontId="0" fillId="0" borderId="4" xfId="0" applyNumberFormat="1" applyFill="1" applyBorder="1" applyAlignment="1">
      <alignment horizontal="center"/>
    </xf>
    <xf numFmtId="3" fontId="0" fillId="0" borderId="4" xfId="0" applyNumberFormat="1" applyFill="1" applyBorder="1" applyAlignment="1">
      <alignment horizontal="center"/>
    </xf>
    <xf numFmtId="4" fontId="0" fillId="0" borderId="0" xfId="0" applyNumberFormat="1"/>
    <xf numFmtId="0" fontId="34" fillId="9" borderId="0" xfId="0" applyFont="1" applyFill="1" applyAlignment="1">
      <alignment horizontal="left" vertical="center"/>
    </xf>
    <xf numFmtId="0" fontId="23" fillId="11" borderId="0" xfId="0" applyFont="1" applyFill="1"/>
    <xf numFmtId="0" fontId="7" fillId="9" borderId="0" xfId="0" applyFont="1" applyFill="1" applyAlignment="1">
      <alignment horizontal="left"/>
    </xf>
    <xf numFmtId="216" fontId="5" fillId="9" borderId="0" xfId="0" applyNumberFormat="1" applyFont="1" applyFill="1" applyAlignment="1">
      <alignment horizontal="left"/>
    </xf>
    <xf numFmtId="0" fontId="17" fillId="9" borderId="0" xfId="0" applyFont="1" applyFill="1" applyAlignment="1">
      <alignment horizontal="left"/>
    </xf>
    <xf numFmtId="0" fontId="57" fillId="0" borderId="0" xfId="0" applyFont="1" applyFill="1"/>
    <xf numFmtId="0" fontId="72" fillId="0" borderId="0" xfId="0" applyFont="1" applyFill="1"/>
    <xf numFmtId="168" fontId="57" fillId="0" borderId="0" xfId="0" applyNumberFormat="1" applyFont="1" applyFill="1" applyAlignment="1">
      <alignment horizontal="center"/>
    </xf>
    <xf numFmtId="0" fontId="57" fillId="11" borderId="0" xfId="0" applyFont="1" applyFill="1"/>
    <xf numFmtId="0" fontId="18" fillId="11" borderId="0" xfId="0" applyFont="1" applyFill="1"/>
    <xf numFmtId="168" fontId="23" fillId="11" borderId="0" xfId="0" applyNumberFormat="1" applyFont="1" applyFill="1" applyAlignment="1">
      <alignment horizontal="center"/>
    </xf>
    <xf numFmtId="0" fontId="72" fillId="11" borderId="0" xfId="0" applyFont="1" applyFill="1"/>
    <xf numFmtId="167" fontId="23" fillId="11" borderId="0" xfId="0" applyNumberFormat="1" applyFont="1" applyFill="1" applyAlignment="1">
      <alignment horizontal="center"/>
    </xf>
    <xf numFmtId="0" fontId="57" fillId="7" borderId="0" xfId="0" applyFont="1" applyFill="1"/>
    <xf numFmtId="168" fontId="23" fillId="7" borderId="0" xfId="0" applyNumberFormat="1" applyFont="1" applyFill="1" applyAlignment="1">
      <alignment horizontal="center"/>
    </xf>
    <xf numFmtId="167" fontId="23" fillId="7" borderId="0" xfId="0" applyNumberFormat="1" applyFont="1" applyFill="1" applyAlignment="1">
      <alignment horizontal="center"/>
    </xf>
    <xf numFmtId="166" fontId="73" fillId="0" borderId="0" xfId="0" applyNumberFormat="1" applyFont="1" applyFill="1"/>
    <xf numFmtId="0" fontId="72" fillId="9" borderId="0" xfId="0" applyFont="1" applyFill="1"/>
    <xf numFmtId="0" fontId="74" fillId="9" borderId="0" xfId="0" applyFont="1" applyFill="1"/>
    <xf numFmtId="216" fontId="72" fillId="9" borderId="0" xfId="0" applyNumberFormat="1" applyFont="1" applyFill="1" applyAlignment="1">
      <alignment horizontal="left"/>
    </xf>
    <xf numFmtId="198" fontId="72" fillId="9" borderId="0" xfId="0" applyNumberFormat="1" applyFont="1" applyFill="1" applyBorder="1" applyAlignment="1">
      <alignment horizontal="left" vertical="center"/>
    </xf>
    <xf numFmtId="0" fontId="72" fillId="9" borderId="0" xfId="0" applyFont="1" applyFill="1" applyBorder="1" applyAlignment="1">
      <alignment horizontal="right" vertical="center"/>
    </xf>
    <xf numFmtId="0" fontId="74" fillId="9" borderId="0" xfId="0" applyFont="1" applyFill="1" applyAlignment="1">
      <alignment vertical="center"/>
    </xf>
    <xf numFmtId="0" fontId="72" fillId="9" borderId="0" xfId="0" applyFont="1" applyFill="1" applyAlignment="1">
      <alignment horizontal="center"/>
    </xf>
    <xf numFmtId="49" fontId="31" fillId="0" borderId="0" xfId="0" applyNumberFormat="1" applyFont="1" applyFill="1" applyAlignment="1">
      <alignment vertical="center" wrapText="1"/>
    </xf>
    <xf numFmtId="0" fontId="5" fillId="0" borderId="0" xfId="0" applyFont="1" applyFill="1" applyAlignment="1">
      <alignment vertical="center"/>
    </xf>
    <xf numFmtId="0" fontId="7" fillId="9" borderId="0" xfId="0" applyFont="1" applyFill="1" applyBorder="1"/>
    <xf numFmtId="0" fontId="26" fillId="7" borderId="0" xfId="0" applyFont="1" applyFill="1" applyBorder="1" applyAlignment="1">
      <alignment horizontal="center" vertical="center"/>
    </xf>
    <xf numFmtId="49" fontId="24" fillId="0" borderId="0" xfId="0" applyNumberFormat="1" applyFont="1" applyFill="1" applyBorder="1" applyAlignment="1">
      <alignment horizontal="center" vertical="center"/>
    </xf>
    <xf numFmtId="0" fontId="58" fillId="0" borderId="0" xfId="0" applyFont="1" applyAlignment="1">
      <alignment vertical="center"/>
    </xf>
    <xf numFmtId="0" fontId="75" fillId="0" borderId="0" xfId="0" applyFont="1"/>
    <xf numFmtId="49" fontId="24" fillId="0" borderId="0" xfId="0" applyNumberFormat="1" applyFont="1" applyBorder="1" applyAlignment="1">
      <alignment horizontal="center"/>
    </xf>
    <xf numFmtId="0" fontId="20" fillId="0" borderId="0" xfId="0" applyFont="1" applyFill="1" applyAlignment="1">
      <alignment horizontal="left" vertical="center"/>
    </xf>
    <xf numFmtId="0" fontId="8" fillId="0" borderId="0" xfId="0" applyFont="1" applyAlignment="1">
      <alignment vertical="center"/>
    </xf>
    <xf numFmtId="0" fontId="24" fillId="0" borderId="0" xfId="0" applyFont="1" applyFill="1" applyAlignment="1">
      <alignment horizontal="left" vertical="center" wrapText="1"/>
    </xf>
    <xf numFmtId="0" fontId="77" fillId="0" borderId="0" xfId="0" applyFont="1" applyFill="1" applyBorder="1" applyAlignment="1">
      <alignment horizontal="center" vertical="center" wrapText="1"/>
    </xf>
    <xf numFmtId="0" fontId="78" fillId="0" borderId="0" xfId="0" applyFont="1" applyFill="1" applyAlignment="1">
      <alignment horizontal="center" vertical="center" wrapText="1"/>
    </xf>
    <xf numFmtId="0" fontId="75" fillId="0" borderId="0" xfId="0" applyFont="1" applyFill="1"/>
    <xf numFmtId="0" fontId="24" fillId="0" borderId="0" xfId="0" applyFont="1" applyFill="1" applyAlignment="1">
      <alignment horizontal="right" vertical="center"/>
    </xf>
    <xf numFmtId="2" fontId="5" fillId="0" borderId="0" xfId="0" applyNumberFormat="1" applyFont="1" applyFill="1" applyAlignment="1">
      <alignment vertical="center"/>
    </xf>
    <xf numFmtId="175" fontId="0" fillId="0" borderId="0" xfId="0" applyNumberFormat="1"/>
    <xf numFmtId="175" fontId="12" fillId="0" borderId="0" xfId="0" applyNumberFormat="1" applyFont="1" applyFill="1" applyAlignment="1">
      <alignment horizontal="center"/>
    </xf>
    <xf numFmtId="0" fontId="12" fillId="0" borderId="0" xfId="0" applyFont="1" applyFill="1" applyBorder="1" applyAlignment="1">
      <alignment horizontal="left"/>
    </xf>
    <xf numFmtId="0" fontId="5" fillId="11" borderId="0" xfId="0" applyFont="1" applyFill="1"/>
    <xf numFmtId="0" fontId="20" fillId="0" borderId="0" xfId="0" applyFont="1" applyFill="1" applyAlignment="1">
      <alignment horizontal="right" vertical="center"/>
    </xf>
    <xf numFmtId="174" fontId="3" fillId="0" borderId="0" xfId="3" applyNumberFormat="1" applyFont="1" applyFill="1" applyBorder="1" applyAlignment="1" applyProtection="1">
      <alignment horizontal="center" vertical="center"/>
    </xf>
    <xf numFmtId="0" fontId="3" fillId="0" borderId="0" xfId="0" applyFont="1" applyFill="1" applyAlignment="1">
      <alignment vertical="center"/>
    </xf>
    <xf numFmtId="0" fontId="24" fillId="8" borderId="0" xfId="0" applyFont="1" applyFill="1" applyAlignment="1">
      <alignment vertical="center" wrapText="1"/>
    </xf>
    <xf numFmtId="49" fontId="24" fillId="8" borderId="0" xfId="0" applyNumberFormat="1" applyFont="1" applyFill="1" applyAlignment="1">
      <alignment vertical="center" wrapText="1"/>
    </xf>
    <xf numFmtId="0" fontId="24" fillId="8" borderId="0" xfId="0" applyFont="1" applyFill="1" applyAlignment="1">
      <alignment vertical="center"/>
    </xf>
    <xf numFmtId="0" fontId="24" fillId="8" borderId="0" xfId="0" applyFont="1" applyFill="1" applyBorder="1" applyAlignment="1">
      <alignment vertical="center" wrapText="1"/>
    </xf>
    <xf numFmtId="49" fontId="24" fillId="8" borderId="0" xfId="0" applyNumberFormat="1" applyFont="1" applyFill="1" applyAlignment="1">
      <alignment horizontal="center" vertical="center" wrapText="1"/>
    </xf>
    <xf numFmtId="174" fontId="12" fillId="8" borderId="0" xfId="3" applyNumberFormat="1" applyFont="1" applyFill="1" applyAlignment="1">
      <alignment horizontal="center" vertical="center"/>
    </xf>
    <xf numFmtId="0" fontId="24" fillId="8" borderId="0" xfId="0" applyFont="1" applyFill="1" applyAlignment="1">
      <alignment horizontal="left" wrapText="1"/>
    </xf>
    <xf numFmtId="174" fontId="3" fillId="8" borderId="0" xfId="3" applyNumberFormat="1" applyFont="1" applyFill="1" applyAlignment="1">
      <alignment horizontal="center" vertical="center"/>
    </xf>
    <xf numFmtId="174" fontId="3" fillId="8" borderId="0" xfId="3" applyNumberFormat="1" applyFont="1" applyFill="1" applyBorder="1" applyAlignment="1" applyProtection="1">
      <alignment horizontal="center" vertical="center"/>
    </xf>
    <xf numFmtId="49" fontId="3" fillId="8" borderId="0" xfId="0" applyNumberFormat="1" applyFont="1" applyFill="1" applyBorder="1" applyAlignment="1">
      <alignment vertical="center" wrapText="1"/>
    </xf>
    <xf numFmtId="0" fontId="58" fillId="0" borderId="0" xfId="0" applyFont="1" applyBorder="1" applyAlignment="1">
      <alignment vertical="center"/>
    </xf>
    <xf numFmtId="0" fontId="3" fillId="0" borderId="0" xfId="0" applyFont="1" applyFill="1" applyBorder="1" applyAlignment="1">
      <alignment vertical="center"/>
    </xf>
    <xf numFmtId="0" fontId="12" fillId="8" borderId="9" xfId="0" applyFont="1" applyFill="1" applyBorder="1"/>
    <xf numFmtId="0" fontId="5" fillId="0" borderId="0" xfId="0" applyFont="1" applyBorder="1" applyAlignment="1">
      <alignment vertical="center" wrapText="1"/>
    </xf>
    <xf numFmtId="0" fontId="5" fillId="0" borderId="0" xfId="0" applyFont="1" applyBorder="1" applyAlignment="1">
      <alignment vertical="center"/>
    </xf>
    <xf numFmtId="193" fontId="13" fillId="3" borderId="4" xfId="0" applyNumberFormat="1" applyFont="1" applyFill="1" applyBorder="1" applyAlignment="1">
      <alignment horizontal="center"/>
    </xf>
    <xf numFmtId="0" fontId="42" fillId="0" borderId="0" xfId="0" applyFont="1" applyFill="1" applyBorder="1"/>
    <xf numFmtId="9" fontId="12" fillId="0" borderId="0" xfId="3" applyFont="1" applyAlignment="1">
      <alignment horizontal="center" vertical="center"/>
    </xf>
    <xf numFmtId="168" fontId="13" fillId="0" borderId="1" xfId="0" applyNumberFormat="1" applyFont="1" applyBorder="1" applyAlignment="1">
      <alignment horizontal="center"/>
    </xf>
    <xf numFmtId="168" fontId="12" fillId="0" borderId="4" xfId="0" applyNumberFormat="1" applyFont="1" applyFill="1" applyBorder="1" applyAlignment="1">
      <alignment horizontal="center"/>
    </xf>
    <xf numFmtId="3" fontId="58" fillId="0" borderId="0" xfId="0" applyNumberFormat="1" applyFont="1" applyFill="1" applyAlignment="1">
      <alignment horizontal="left"/>
    </xf>
    <xf numFmtId="215" fontId="0" fillId="0" borderId="0" xfId="0" applyNumberFormat="1" applyFill="1" applyBorder="1" applyAlignment="1">
      <alignment horizontal="center"/>
    </xf>
    <xf numFmtId="2" fontId="0" fillId="0" borderId="0" xfId="0" applyNumberFormat="1" applyFill="1" applyAlignment="1">
      <alignment horizontal="center"/>
    </xf>
    <xf numFmtId="202" fontId="0" fillId="0" borderId="0" xfId="0" applyNumberFormat="1" applyFill="1" applyAlignment="1">
      <alignment horizontal="center"/>
    </xf>
    <xf numFmtId="198" fontId="0" fillId="0" borderId="0" xfId="0" applyNumberFormat="1" applyFill="1" applyAlignment="1">
      <alignment horizontal="center"/>
    </xf>
    <xf numFmtId="198" fontId="13" fillId="0" borderId="0" xfId="0" applyNumberFormat="1" applyFont="1" applyFill="1" applyBorder="1" applyAlignment="1">
      <alignment horizontal="left"/>
    </xf>
    <xf numFmtId="198" fontId="12" fillId="0" borderId="0" xfId="0" applyNumberFormat="1" applyFont="1" applyFill="1" applyBorder="1" applyAlignment="1">
      <alignment horizontal="left"/>
    </xf>
    <xf numFmtId="188" fontId="0" fillId="0" borderId="0" xfId="0" applyNumberFormat="1" applyFill="1" applyBorder="1" applyAlignment="1">
      <alignment horizontal="center"/>
    </xf>
    <xf numFmtId="218" fontId="12" fillId="3" borderId="4" xfId="0" applyNumberFormat="1" applyFont="1" applyFill="1" applyBorder="1" applyAlignment="1">
      <alignment horizontal="center"/>
    </xf>
    <xf numFmtId="170" fontId="0" fillId="0" borderId="0" xfId="0" applyNumberFormat="1" applyFill="1" applyAlignment="1">
      <alignment horizontal="center"/>
    </xf>
    <xf numFmtId="166" fontId="12" fillId="0" borderId="0" xfId="0" applyNumberFormat="1" applyFont="1" applyFill="1" applyAlignment="1">
      <alignment horizontal="center"/>
    </xf>
    <xf numFmtId="166" fontId="0" fillId="0" borderId="4" xfId="0" applyNumberFormat="1" applyFill="1" applyBorder="1" applyAlignment="1">
      <alignment horizontal="center"/>
    </xf>
    <xf numFmtId="167" fontId="0" fillId="3" borderId="4" xfId="0" applyNumberFormat="1" applyFill="1" applyBorder="1" applyAlignment="1">
      <alignment horizontal="center"/>
    </xf>
    <xf numFmtId="206" fontId="0" fillId="0" borderId="0" xfId="0" applyNumberFormat="1" applyFill="1" applyAlignment="1">
      <alignment horizontal="center"/>
    </xf>
    <xf numFmtId="210" fontId="0" fillId="0" borderId="0" xfId="0" applyNumberFormat="1" applyFill="1" applyAlignment="1">
      <alignment horizontal="center"/>
    </xf>
    <xf numFmtId="209" fontId="0" fillId="0" borderId="0" xfId="0" applyNumberFormat="1" applyFill="1" applyAlignment="1">
      <alignment horizontal="center" vertical="center"/>
    </xf>
    <xf numFmtId="211" fontId="0" fillId="0" borderId="0" xfId="0" applyNumberFormat="1" applyFill="1" applyAlignment="1">
      <alignment horizontal="center"/>
    </xf>
    <xf numFmtId="168" fontId="34" fillId="10" borderId="20" xfId="0" applyNumberFormat="1" applyFont="1" applyFill="1" applyBorder="1" applyAlignment="1">
      <alignment horizontal="center"/>
    </xf>
    <xf numFmtId="167" fontId="13" fillId="0" borderId="0" xfId="0" applyNumberFormat="1" applyFont="1" applyFill="1" applyBorder="1" applyAlignment="1">
      <alignment horizontal="center"/>
    </xf>
    <xf numFmtId="167" fontId="13" fillId="0" borderId="4" xfId="0" applyNumberFormat="1" applyFont="1" applyFill="1" applyBorder="1" applyAlignment="1">
      <alignment horizontal="center"/>
    </xf>
    <xf numFmtId="9" fontId="3" fillId="0" borderId="4" xfId="3" applyFont="1" applyFill="1" applyBorder="1" applyAlignment="1">
      <alignment horizontal="center"/>
    </xf>
    <xf numFmtId="0" fontId="28" fillId="0" borderId="0" xfId="0" applyFont="1" applyFill="1"/>
    <xf numFmtId="0" fontId="1" fillId="0" borderId="0" xfId="0" applyFont="1" applyFill="1" applyAlignment="1">
      <alignment horizontal="right"/>
    </xf>
    <xf numFmtId="0" fontId="31" fillId="0" borderId="0" xfId="0" applyFont="1" applyFill="1"/>
    <xf numFmtId="0" fontId="31" fillId="0" borderId="0" xfId="0" applyFont="1" applyFill="1" applyAlignment="1">
      <alignment horizontal="right"/>
    </xf>
    <xf numFmtId="0" fontId="65" fillId="9" borderId="0" xfId="0" applyFont="1" applyFill="1"/>
    <xf numFmtId="193" fontId="13" fillId="0" borderId="0" xfId="3" applyNumberFormat="1" applyFont="1" applyFill="1" applyAlignment="1">
      <alignment horizontal="center"/>
    </xf>
    <xf numFmtId="9" fontId="3" fillId="0" borderId="0" xfId="3" applyBorder="1" applyAlignment="1">
      <alignment horizontal="center"/>
    </xf>
    <xf numFmtId="190" fontId="0" fillId="0" borderId="0" xfId="0" applyNumberFormat="1" applyFill="1" applyBorder="1"/>
    <xf numFmtId="4" fontId="0" fillId="0" borderId="0" xfId="0" applyNumberFormat="1" applyFill="1" applyBorder="1" applyAlignment="1">
      <alignment horizontal="center"/>
    </xf>
    <xf numFmtId="10" fontId="0" fillId="0" borderId="0" xfId="3" applyNumberFormat="1" applyFont="1" applyFill="1" applyBorder="1" applyAlignment="1">
      <alignment horizontal="center"/>
    </xf>
    <xf numFmtId="0" fontId="76" fillId="0" borderId="0" xfId="0" applyFont="1"/>
    <xf numFmtId="168" fontId="76" fillId="0" borderId="0" xfId="0" applyNumberFormat="1" applyFont="1" applyFill="1" applyAlignment="1">
      <alignment horizontal="center"/>
    </xf>
    <xf numFmtId="9" fontId="3" fillId="0" borderId="6" xfId="3" applyFont="1" applyFill="1" applyBorder="1" applyAlignment="1">
      <alignment horizontal="center"/>
    </xf>
    <xf numFmtId="0" fontId="13" fillId="0" borderId="4" xfId="0" applyFont="1" applyFill="1" applyBorder="1"/>
    <xf numFmtId="0" fontId="0" fillId="0" borderId="11" xfId="0" applyFill="1" applyBorder="1"/>
    <xf numFmtId="10" fontId="3" fillId="0" borderId="0" xfId="3" applyNumberFormat="1" applyFill="1" applyAlignment="1">
      <alignment horizontal="center"/>
    </xf>
    <xf numFmtId="0" fontId="71" fillId="0" borderId="0" xfId="0" applyFont="1" applyFill="1"/>
    <xf numFmtId="0" fontId="58" fillId="3" borderId="0" xfId="0" applyFont="1" applyFill="1" applyBorder="1" applyAlignment="1">
      <alignment horizontal="left"/>
    </xf>
    <xf numFmtId="0" fontId="26" fillId="10" borderId="0" xfId="0" applyFont="1" applyFill="1"/>
    <xf numFmtId="166" fontId="47" fillId="10" borderId="0" xfId="0" applyNumberFormat="1" applyFont="1" applyFill="1" applyAlignment="1">
      <alignment horizontal="center"/>
    </xf>
    <xf numFmtId="167" fontId="47" fillId="10" borderId="0" xfId="0" applyNumberFormat="1" applyFont="1" applyFill="1" applyAlignment="1">
      <alignment horizontal="center"/>
    </xf>
    <xf numFmtId="168" fontId="26" fillId="10" borderId="20" xfId="0" applyNumberFormat="1" applyFont="1" applyFill="1" applyBorder="1" applyAlignment="1">
      <alignment horizontal="center"/>
    </xf>
    <xf numFmtId="168" fontId="26" fillId="10" borderId="27" xfId="0" applyNumberFormat="1" applyFont="1" applyFill="1" applyBorder="1" applyAlignment="1">
      <alignment horizontal="center"/>
    </xf>
    <xf numFmtId="168" fontId="26" fillId="10" borderId="26" xfId="0" applyNumberFormat="1" applyFont="1" applyFill="1" applyBorder="1" applyAlignment="1">
      <alignment horizontal="center"/>
    </xf>
    <xf numFmtId="0" fontId="76" fillId="0" borderId="0" xfId="0" applyFont="1" applyFill="1"/>
    <xf numFmtId="166" fontId="75" fillId="0" borderId="0" xfId="0" applyNumberFormat="1" applyFont="1" applyFill="1"/>
    <xf numFmtId="167" fontId="75" fillId="0" borderId="0" xfId="0" applyNumberFormat="1" applyFont="1" applyFill="1"/>
    <xf numFmtId="168" fontId="76" fillId="0" borderId="1" xfId="0" applyNumberFormat="1" applyFont="1" applyFill="1" applyBorder="1" applyAlignment="1">
      <alignment horizontal="center"/>
    </xf>
    <xf numFmtId="168" fontId="76" fillId="0" borderId="15" xfId="0" applyNumberFormat="1" applyFont="1" applyBorder="1" applyAlignment="1">
      <alignment horizontal="center"/>
    </xf>
    <xf numFmtId="1" fontId="0" fillId="0" borderId="4" xfId="0" applyNumberFormat="1" applyFill="1" applyBorder="1" applyAlignment="1">
      <alignment horizontal="center"/>
    </xf>
    <xf numFmtId="167" fontId="0" fillId="0" borderId="4" xfId="0" applyNumberFormat="1" applyFill="1" applyBorder="1" applyAlignment="1">
      <alignment horizontal="center"/>
    </xf>
    <xf numFmtId="0" fontId="81" fillId="0" borderId="0" xfId="0" applyFont="1"/>
    <xf numFmtId="0" fontId="6" fillId="0" borderId="0" xfId="0" applyFont="1"/>
    <xf numFmtId="168" fontId="3" fillId="3" borderId="1" xfId="0" applyNumberFormat="1" applyFont="1" applyFill="1" applyBorder="1" applyAlignment="1">
      <alignment horizontal="center"/>
    </xf>
    <xf numFmtId="193" fontId="13" fillId="3" borderId="0" xfId="0" applyNumberFormat="1" applyFont="1" applyFill="1" applyBorder="1" applyAlignment="1">
      <alignment horizontal="center"/>
    </xf>
    <xf numFmtId="182" fontId="0" fillId="0" borderId="0" xfId="0" applyNumberFormat="1" applyFill="1"/>
    <xf numFmtId="0" fontId="12" fillId="0" borderId="0" xfId="0" applyFont="1" applyFill="1" applyAlignment="1"/>
    <xf numFmtId="166" fontId="13" fillId="3" borderId="0" xfId="0" applyNumberFormat="1" applyFont="1" applyFill="1" applyAlignment="1">
      <alignment horizontal="center"/>
    </xf>
    <xf numFmtId="9" fontId="65" fillId="10" borderId="0" xfId="3" applyFont="1" applyFill="1" applyAlignment="1">
      <alignment horizontal="center"/>
    </xf>
    <xf numFmtId="168" fontId="83" fillId="0" borderId="0" xfId="0" applyNumberFormat="1" applyFont="1" applyFill="1" applyAlignment="1">
      <alignment horizontal="center"/>
    </xf>
    <xf numFmtId="9" fontId="71" fillId="0" borderId="5" xfId="3" applyFont="1" applyBorder="1" applyAlignment="1">
      <alignment horizontal="center"/>
    </xf>
    <xf numFmtId="0" fontId="3" fillId="0" borderId="4" xfId="0" applyFont="1" applyBorder="1" applyAlignment="1">
      <alignment horizontal="center"/>
    </xf>
    <xf numFmtId="197" fontId="24" fillId="0" borderId="0" xfId="0" applyNumberFormat="1" applyFont="1" applyFill="1" applyBorder="1" applyAlignment="1">
      <alignment horizontal="center"/>
    </xf>
    <xf numFmtId="223" fontId="24" fillId="0" borderId="0" xfId="0" applyNumberFormat="1" applyFont="1" applyFill="1" applyAlignment="1">
      <alignment horizontal="center"/>
    </xf>
    <xf numFmtId="219" fontId="24" fillId="0" borderId="0" xfId="0" applyNumberFormat="1" applyFont="1" applyFill="1" applyAlignment="1">
      <alignment horizontal="center"/>
    </xf>
    <xf numFmtId="174" fontId="24" fillId="0" borderId="0" xfId="3" applyNumberFormat="1" applyFont="1" applyFill="1" applyAlignment="1">
      <alignment horizontal="center"/>
    </xf>
    <xf numFmtId="201" fontId="24" fillId="0" borderId="0" xfId="0" applyNumberFormat="1" applyFont="1" applyFill="1" applyAlignment="1">
      <alignment horizontal="center"/>
    </xf>
    <xf numFmtId="9" fontId="8" fillId="0" borderId="0" xfId="3" applyFont="1" applyBorder="1" applyAlignment="1">
      <alignment horizontal="center"/>
    </xf>
    <xf numFmtId="3" fontId="22" fillId="0" borderId="0" xfId="0" applyNumberFormat="1" applyFont="1" applyFill="1" applyBorder="1"/>
    <xf numFmtId="3" fontId="20" fillId="0" borderId="0" xfId="0" applyNumberFormat="1" applyFont="1" applyFill="1" applyBorder="1"/>
    <xf numFmtId="0" fontId="20" fillId="0" borderId="0" xfId="0" applyFont="1" applyBorder="1"/>
    <xf numFmtId="49" fontId="13" fillId="0" borderId="0" xfId="0" applyNumberFormat="1" applyFont="1" applyBorder="1" applyAlignment="1">
      <alignment wrapText="1"/>
    </xf>
    <xf numFmtId="0" fontId="14" fillId="0" borderId="0" xfId="0" applyFont="1" applyBorder="1"/>
    <xf numFmtId="168" fontId="0" fillId="0" borderId="0" xfId="0" applyNumberFormat="1" applyBorder="1"/>
    <xf numFmtId="2" fontId="0" fillId="0" borderId="0" xfId="0" applyNumberFormat="1" applyBorder="1"/>
    <xf numFmtId="0" fontId="3" fillId="2" borderId="0" xfId="0" applyFont="1" applyFill="1" applyBorder="1" applyAlignment="1">
      <alignment horizontal="center"/>
    </xf>
    <xf numFmtId="9" fontId="12" fillId="0" borderId="0" xfId="3" applyFont="1" applyBorder="1" applyAlignment="1">
      <alignment horizontal="center"/>
    </xf>
    <xf numFmtId="0" fontId="20" fillId="0" borderId="0" xfId="0" applyFont="1" applyFill="1" applyBorder="1"/>
    <xf numFmtId="9" fontId="14" fillId="10" borderId="0" xfId="3" applyFont="1" applyFill="1" applyBorder="1" applyAlignment="1">
      <alignment horizontal="center"/>
    </xf>
    <xf numFmtId="9" fontId="13" fillId="0" borderId="0" xfId="3" applyFont="1" applyBorder="1" applyAlignment="1">
      <alignment horizontal="center"/>
    </xf>
    <xf numFmtId="168" fontId="23" fillId="10" borderId="28" xfId="0" applyNumberFormat="1" applyFont="1" applyFill="1" applyBorder="1" applyAlignment="1">
      <alignment horizontal="center"/>
    </xf>
    <xf numFmtId="0" fontId="33" fillId="7" borderId="0" xfId="0" applyFont="1" applyFill="1" applyBorder="1" applyAlignment="1">
      <alignment horizontal="center"/>
    </xf>
    <xf numFmtId="0" fontId="50" fillId="0" borderId="0" xfId="0" applyFont="1" applyBorder="1" applyAlignment="1">
      <alignment horizontal="left"/>
    </xf>
    <xf numFmtId="0" fontId="51" fillId="0" borderId="0" xfId="0" applyFont="1" applyBorder="1" applyAlignment="1">
      <alignment horizontal="left"/>
    </xf>
    <xf numFmtId="196" fontId="23" fillId="10" borderId="19" xfId="0" applyNumberFormat="1" applyFont="1" applyFill="1" applyBorder="1" applyAlignment="1">
      <alignment horizontal="center"/>
    </xf>
    <xf numFmtId="168" fontId="23" fillId="10" borderId="29" xfId="0" applyNumberFormat="1" applyFont="1" applyFill="1" applyBorder="1" applyAlignment="1">
      <alignment horizontal="center"/>
    </xf>
    <xf numFmtId="168" fontId="12" fillId="0" borderId="0" xfId="0" applyNumberFormat="1" applyFont="1" applyBorder="1" applyAlignment="1">
      <alignment horizontal="center"/>
    </xf>
    <xf numFmtId="9" fontId="12" fillId="0" borderId="5" xfId="3" applyFont="1" applyFill="1" applyBorder="1" applyAlignment="1">
      <alignment horizontal="center"/>
    </xf>
    <xf numFmtId="0" fontId="33" fillId="7" borderId="0" xfId="0" applyFont="1" applyFill="1"/>
    <xf numFmtId="0" fontId="19" fillId="7" borderId="0" xfId="0" applyFont="1" applyFill="1"/>
    <xf numFmtId="0" fontId="59" fillId="7" borderId="0" xfId="0" applyFont="1" applyFill="1"/>
    <xf numFmtId="168" fontId="33" fillId="7" borderId="0" xfId="0" applyNumberFormat="1" applyFont="1" applyFill="1" applyAlignment="1">
      <alignment horizontal="center"/>
    </xf>
    <xf numFmtId="0" fontId="75" fillId="0" borderId="0" xfId="0" applyFont="1" applyBorder="1" applyAlignment="1">
      <alignment horizontal="center"/>
    </xf>
    <xf numFmtId="168" fontId="75" fillId="0" borderId="0" xfId="0" applyNumberFormat="1" applyFont="1" applyFill="1" applyBorder="1" applyAlignment="1">
      <alignment horizontal="center"/>
    </xf>
    <xf numFmtId="9" fontId="75" fillId="0" borderId="0" xfId="3" applyFont="1" applyFill="1" applyBorder="1" applyAlignment="1">
      <alignment horizontal="center"/>
    </xf>
    <xf numFmtId="168" fontId="75" fillId="0" borderId="5" xfId="0" applyNumberFormat="1" applyFont="1" applyFill="1" applyBorder="1" applyAlignment="1">
      <alignment horizontal="center"/>
    </xf>
    <xf numFmtId="170" fontId="75" fillId="0" borderId="0" xfId="0" applyNumberFormat="1" applyFont="1" applyFill="1" applyBorder="1" applyAlignment="1">
      <alignment horizontal="center"/>
    </xf>
    <xf numFmtId="171" fontId="75" fillId="0" borderId="0" xfId="0" applyNumberFormat="1" applyFont="1" applyFill="1" applyBorder="1" applyAlignment="1">
      <alignment horizontal="center"/>
    </xf>
    <xf numFmtId="164" fontId="75" fillId="0" borderId="5" xfId="0" applyNumberFormat="1" applyFont="1" applyFill="1" applyBorder="1" applyAlignment="1">
      <alignment horizontal="center"/>
    </xf>
    <xf numFmtId="0" fontId="75" fillId="0" borderId="1" xfId="0" applyFont="1" applyBorder="1" applyAlignment="1">
      <alignment horizontal="center"/>
    </xf>
    <xf numFmtId="168" fontId="75" fillId="0" borderId="1" xfId="0" applyNumberFormat="1" applyFont="1" applyFill="1" applyBorder="1" applyAlignment="1">
      <alignment horizontal="center"/>
    </xf>
    <xf numFmtId="9" fontId="75" fillId="0" borderId="1" xfId="3" applyFont="1" applyFill="1" applyBorder="1" applyAlignment="1">
      <alignment horizontal="center"/>
    </xf>
    <xf numFmtId="171" fontId="75" fillId="0" borderId="1" xfId="0" applyNumberFormat="1" applyFont="1" applyFill="1" applyBorder="1" applyAlignment="1">
      <alignment horizontal="center"/>
    </xf>
    <xf numFmtId="168" fontId="75" fillId="0" borderId="23" xfId="0" applyNumberFormat="1" applyFont="1" applyFill="1" applyBorder="1" applyAlignment="1">
      <alignment horizontal="center"/>
    </xf>
    <xf numFmtId="0" fontId="75" fillId="0" borderId="30" xfId="0" applyFont="1" applyBorder="1" applyAlignment="1">
      <alignment horizontal="center"/>
    </xf>
    <xf numFmtId="0" fontId="75" fillId="0" borderId="26" xfId="0" applyFont="1" applyBorder="1" applyAlignment="1">
      <alignment horizontal="center"/>
    </xf>
    <xf numFmtId="0" fontId="58" fillId="0" borderId="30" xfId="0" applyFont="1" applyBorder="1" applyAlignment="1">
      <alignment horizontal="center"/>
    </xf>
    <xf numFmtId="0" fontId="58" fillId="0" borderId="0" xfId="0" applyFont="1" applyBorder="1" applyAlignment="1">
      <alignment horizontal="center"/>
    </xf>
    <xf numFmtId="168" fontId="58" fillId="0" borderId="0" xfId="0" applyNumberFormat="1" applyFont="1" applyFill="1" applyBorder="1" applyAlignment="1">
      <alignment horizontal="center"/>
    </xf>
    <xf numFmtId="9" fontId="58" fillId="0" borderId="0" xfId="3" applyFont="1" applyFill="1" applyBorder="1" applyAlignment="1">
      <alignment horizontal="center"/>
    </xf>
    <xf numFmtId="170" fontId="58" fillId="0" borderId="0" xfId="0" applyNumberFormat="1" applyFont="1" applyFill="1" applyBorder="1" applyAlignment="1">
      <alignment horizontal="center"/>
    </xf>
    <xf numFmtId="171" fontId="58" fillId="0" borderId="0" xfId="0" applyNumberFormat="1" applyFont="1" applyFill="1" applyBorder="1" applyAlignment="1">
      <alignment horizontal="center"/>
    </xf>
    <xf numFmtId="164" fontId="58" fillId="0" borderId="5" xfId="0" applyNumberFormat="1" applyFont="1" applyFill="1" applyBorder="1" applyAlignment="1">
      <alignment horizontal="center"/>
    </xf>
    <xf numFmtId="167" fontId="13" fillId="0" borderId="0" xfId="0" applyNumberFormat="1" applyFont="1" applyFill="1"/>
    <xf numFmtId="168" fontId="24" fillId="6" borderId="30" xfId="0" applyNumberFormat="1" applyFont="1" applyFill="1" applyBorder="1" applyAlignment="1">
      <alignment horizontal="center"/>
    </xf>
    <xf numFmtId="168" fontId="24" fillId="6" borderId="26" xfId="0" applyNumberFormat="1" applyFont="1" applyFill="1" applyBorder="1" applyAlignment="1">
      <alignment horizontal="center"/>
    </xf>
    <xf numFmtId="167" fontId="13" fillId="0" borderId="0" xfId="0" applyNumberFormat="1" applyFont="1" applyFill="1" applyAlignment="1">
      <alignment horizontal="left"/>
    </xf>
    <xf numFmtId="167" fontId="13" fillId="0" borderId="0" xfId="0" applyNumberFormat="1" applyFont="1"/>
    <xf numFmtId="0" fontId="5" fillId="6" borderId="21" xfId="0" applyFont="1" applyFill="1" applyBorder="1" applyAlignment="1">
      <alignment horizontal="center" wrapText="1"/>
    </xf>
    <xf numFmtId="0" fontId="33" fillId="11" borderId="0" xfId="0" applyFont="1" applyFill="1"/>
    <xf numFmtId="168" fontId="33" fillId="11" borderId="0" xfId="0" applyNumberFormat="1" applyFont="1" applyFill="1" applyAlignment="1">
      <alignment horizontal="center"/>
    </xf>
    <xf numFmtId="181" fontId="12" fillId="0" borderId="0" xfId="0" applyNumberFormat="1" applyFont="1" applyFill="1" applyAlignment="1">
      <alignment horizontal="center"/>
    </xf>
    <xf numFmtId="188" fontId="58" fillId="3" borderId="0" xfId="0" applyNumberFormat="1" applyFont="1" applyFill="1" applyAlignment="1">
      <alignment horizontal="center"/>
    </xf>
    <xf numFmtId="165" fontId="58" fillId="0" borderId="0" xfId="0" applyNumberFormat="1" applyFont="1" applyFill="1" applyAlignment="1">
      <alignment horizontal="center"/>
    </xf>
    <xf numFmtId="9" fontId="58" fillId="0" borderId="0" xfId="3" applyFont="1" applyFill="1" applyAlignment="1">
      <alignment horizontal="center"/>
    </xf>
    <xf numFmtId="182" fontId="58" fillId="0" borderId="0" xfId="0" applyNumberFormat="1" applyFont="1" applyFill="1" applyBorder="1" applyAlignment="1">
      <alignment horizontal="center"/>
    </xf>
    <xf numFmtId="182" fontId="58" fillId="0" borderId="4" xfId="0" applyNumberFormat="1" applyFont="1" applyFill="1" applyBorder="1" applyAlignment="1">
      <alignment horizontal="center"/>
    </xf>
    <xf numFmtId="174" fontId="58" fillId="0" borderId="0" xfId="3" applyNumberFormat="1" applyFont="1" applyFill="1" applyBorder="1" applyAlignment="1">
      <alignment horizontal="center"/>
    </xf>
    <xf numFmtId="0" fontId="25" fillId="0" borderId="0" xfId="0" applyFont="1" applyFill="1"/>
    <xf numFmtId="214" fontId="0" fillId="0" borderId="0" xfId="0" applyNumberFormat="1" applyFill="1" applyAlignment="1">
      <alignment horizontal="center"/>
    </xf>
    <xf numFmtId="49" fontId="12" fillId="0" borderId="0" xfId="0" applyNumberFormat="1" applyFont="1" applyAlignment="1">
      <alignment vertical="top" wrapText="1"/>
    </xf>
    <xf numFmtId="49" fontId="0" fillId="0" borderId="0" xfId="0" applyNumberFormat="1" applyAlignment="1">
      <alignment vertical="top" wrapText="1"/>
    </xf>
    <xf numFmtId="0" fontId="13" fillId="10" borderId="0" xfId="0" applyFont="1" applyFill="1" applyAlignment="1">
      <alignment horizontal="left"/>
    </xf>
    <xf numFmtId="0" fontId="0" fillId="9" borderId="15" xfId="0" applyFill="1" applyBorder="1"/>
    <xf numFmtId="0" fontId="13" fillId="9" borderId="15" xfId="0" applyFont="1" applyFill="1" applyBorder="1"/>
    <xf numFmtId="0" fontId="0" fillId="9" borderId="24" xfId="0" applyFill="1" applyBorder="1"/>
    <xf numFmtId="0" fontId="0" fillId="9" borderId="1" xfId="0" applyFill="1" applyBorder="1"/>
    <xf numFmtId="0" fontId="12" fillId="9" borderId="1" xfId="0" applyFont="1" applyFill="1" applyBorder="1" applyAlignment="1">
      <alignment horizontal="center"/>
    </xf>
    <xf numFmtId="0" fontId="12" fillId="9" borderId="1" xfId="0" applyFont="1" applyFill="1" applyBorder="1"/>
    <xf numFmtId="0" fontId="12" fillId="9" borderId="23" xfId="0" applyFont="1" applyFill="1" applyBorder="1" applyAlignment="1">
      <alignment horizontal="center"/>
    </xf>
    <xf numFmtId="0" fontId="0" fillId="9" borderId="31" xfId="0" applyFill="1" applyBorder="1"/>
    <xf numFmtId="0" fontId="24" fillId="9" borderId="1" xfId="0" applyFont="1" applyFill="1" applyBorder="1" applyAlignment="1">
      <alignment horizontal="center"/>
    </xf>
    <xf numFmtId="0" fontId="24" fillId="9" borderId="23" xfId="0" applyFont="1" applyFill="1" applyBorder="1" applyAlignment="1">
      <alignment horizontal="center"/>
    </xf>
    <xf numFmtId="0" fontId="0" fillId="9" borderId="14" xfId="0" applyFill="1" applyBorder="1" applyAlignment="1">
      <alignment horizontal="center"/>
    </xf>
    <xf numFmtId="0" fontId="0" fillId="9" borderId="23" xfId="0" applyFill="1" applyBorder="1"/>
    <xf numFmtId="0" fontId="24" fillId="6" borderId="26" xfId="0" applyFont="1" applyFill="1" applyBorder="1" applyAlignment="1">
      <alignment horizontal="center"/>
    </xf>
    <xf numFmtId="0" fontId="5" fillId="6" borderId="24" xfId="0" applyFont="1" applyFill="1" applyBorder="1" applyAlignment="1">
      <alignment horizontal="center" wrapText="1"/>
    </xf>
    <xf numFmtId="0" fontId="12" fillId="6" borderId="23" xfId="0" applyFont="1" applyFill="1" applyBorder="1" applyAlignment="1">
      <alignment horizontal="center"/>
    </xf>
    <xf numFmtId="0" fontId="0" fillId="9" borderId="31" xfId="0" applyFill="1" applyBorder="1" applyAlignment="1">
      <alignment horizontal="center"/>
    </xf>
    <xf numFmtId="193" fontId="12" fillId="0" borderId="0" xfId="0" applyNumberFormat="1" applyFont="1" applyFill="1" applyAlignment="1">
      <alignment horizontal="center"/>
    </xf>
    <xf numFmtId="211" fontId="0" fillId="3" borderId="0" xfId="0" applyNumberFormat="1" applyFill="1" applyAlignment="1">
      <alignment horizontal="center"/>
    </xf>
    <xf numFmtId="193" fontId="0" fillId="0" borderId="0" xfId="0" applyNumberFormat="1" applyFill="1" applyBorder="1" applyAlignment="1">
      <alignment horizontal="center"/>
    </xf>
    <xf numFmtId="193" fontId="0" fillId="3" borderId="4" xfId="0" applyNumberFormat="1" applyFill="1" applyBorder="1" applyAlignment="1">
      <alignment horizontal="center"/>
    </xf>
    <xf numFmtId="193" fontId="0" fillId="0" borderId="4" xfId="0" applyNumberFormat="1" applyFill="1" applyBorder="1" applyAlignment="1">
      <alignment horizontal="center"/>
    </xf>
    <xf numFmtId="193" fontId="0" fillId="0" borderId="0" xfId="0" applyNumberFormat="1" applyBorder="1" applyAlignment="1">
      <alignment horizontal="center" vertical="center"/>
    </xf>
    <xf numFmtId="193" fontId="0" fillId="0" borderId="4" xfId="0" applyNumberFormat="1" applyBorder="1" applyAlignment="1">
      <alignment horizontal="center" vertical="center"/>
    </xf>
    <xf numFmtId="209" fontId="0" fillId="0" borderId="0" xfId="0" applyNumberFormat="1" applyFill="1" applyAlignment="1">
      <alignment horizontal="center"/>
    </xf>
    <xf numFmtId="210" fontId="13" fillId="3" borderId="0" xfId="0" applyNumberFormat="1" applyFont="1" applyFill="1" applyBorder="1" applyAlignment="1">
      <alignment horizontal="center"/>
    </xf>
    <xf numFmtId="9" fontId="0" fillId="2" borderId="0" xfId="3" applyFont="1" applyFill="1" applyBorder="1" applyAlignment="1">
      <alignment horizontal="center"/>
    </xf>
    <xf numFmtId="210" fontId="13" fillId="10" borderId="0" xfId="0" applyNumberFormat="1" applyFont="1" applyFill="1" applyAlignment="1">
      <alignment horizontal="center"/>
    </xf>
    <xf numFmtId="182" fontId="0" fillId="10" borderId="0" xfId="0" applyNumberFormat="1" applyFill="1"/>
    <xf numFmtId="9" fontId="12" fillId="10" borderId="0" xfId="3" applyFont="1" applyFill="1" applyAlignment="1">
      <alignment horizontal="center"/>
    </xf>
    <xf numFmtId="193" fontId="23" fillId="10" borderId="0" xfId="0" applyNumberFormat="1" applyFont="1" applyFill="1" applyAlignment="1">
      <alignment horizontal="center"/>
    </xf>
    <xf numFmtId="193" fontId="23" fillId="0" borderId="0" xfId="0" applyNumberFormat="1" applyFont="1" applyFill="1" applyAlignment="1">
      <alignment horizontal="center"/>
    </xf>
    <xf numFmtId="210" fontId="13" fillId="0" borderId="4" xfId="0" applyNumberFormat="1" applyFont="1" applyFill="1" applyBorder="1" applyAlignment="1">
      <alignment horizontal="center"/>
    </xf>
    <xf numFmtId="0" fontId="65" fillId="0" borderId="0" xfId="0" applyFont="1"/>
    <xf numFmtId="0" fontId="3" fillId="0" borderId="0" xfId="0" applyFont="1" applyFill="1" applyBorder="1" applyAlignment="1">
      <alignment horizontal="right"/>
    </xf>
    <xf numFmtId="206" fontId="1" fillId="0" borderId="0" xfId="0" applyNumberFormat="1" applyFont="1" applyFill="1" applyBorder="1" applyAlignment="1">
      <alignment horizontal="center"/>
    </xf>
    <xf numFmtId="215"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215" fontId="0" fillId="0" borderId="0" xfId="0" applyNumberFormat="1" applyFill="1" applyAlignment="1">
      <alignment horizontal="center"/>
    </xf>
    <xf numFmtId="1" fontId="0" fillId="0" borderId="1" xfId="0" applyNumberFormat="1" applyFill="1" applyBorder="1" applyAlignment="1">
      <alignment horizontal="center"/>
    </xf>
    <xf numFmtId="210" fontId="0" fillId="3" borderId="0" xfId="0" applyNumberFormat="1" applyFill="1" applyBorder="1" applyAlignment="1">
      <alignment horizontal="center"/>
    </xf>
    <xf numFmtId="210" fontId="0" fillId="0" borderId="4" xfId="0" applyNumberFormat="1" applyFill="1" applyBorder="1" applyAlignment="1">
      <alignment horizontal="center"/>
    </xf>
    <xf numFmtId="192" fontId="72" fillId="9" borderId="0" xfId="0" applyNumberFormat="1" applyFont="1" applyFill="1" applyBorder="1" applyAlignment="1">
      <alignment horizontal="left" vertical="center"/>
    </xf>
    <xf numFmtId="168" fontId="3" fillId="0" borderId="4" xfId="0" applyNumberFormat="1" applyFont="1" applyFill="1" applyBorder="1" applyAlignment="1">
      <alignment horizontal="center"/>
    </xf>
    <xf numFmtId="9" fontId="12" fillId="0" borderId="0" xfId="3" applyFont="1" applyFill="1" applyBorder="1" applyAlignment="1">
      <alignment horizontal="center"/>
    </xf>
    <xf numFmtId="168" fontId="1" fillId="0" borderId="4" xfId="0" applyNumberFormat="1" applyFont="1" applyFill="1" applyBorder="1" applyAlignment="1">
      <alignment horizontal="center"/>
    </xf>
    <xf numFmtId="168" fontId="76" fillId="6" borderId="30" xfId="0" applyNumberFormat="1" applyFont="1" applyFill="1" applyBorder="1" applyAlignment="1">
      <alignment horizontal="center"/>
    </xf>
    <xf numFmtId="168" fontId="76" fillId="6" borderId="26" xfId="0" applyNumberFormat="1" applyFont="1" applyFill="1" applyBorder="1" applyAlignment="1">
      <alignment horizontal="center"/>
    </xf>
    <xf numFmtId="193" fontId="12" fillId="3" borderId="0" xfId="0" applyNumberFormat="1" applyFont="1" applyFill="1" applyBorder="1" applyAlignment="1">
      <alignment horizontal="center"/>
    </xf>
    <xf numFmtId="43" fontId="12" fillId="0" borderId="0" xfId="1" applyFont="1"/>
    <xf numFmtId="183" fontId="12" fillId="3" borderId="0" xfId="0" applyNumberFormat="1" applyFont="1" applyFill="1" applyAlignment="1">
      <alignment horizontal="center"/>
    </xf>
    <xf numFmtId="180" fontId="3" fillId="3" borderId="0" xfId="0" applyNumberFormat="1" applyFont="1" applyFill="1" applyAlignment="1">
      <alignment horizontal="center"/>
    </xf>
    <xf numFmtId="0" fontId="3" fillId="3" borderId="0" xfId="0" applyFont="1" applyFill="1" applyAlignment="1">
      <alignment horizontal="center"/>
    </xf>
    <xf numFmtId="0" fontId="13" fillId="12" borderId="0" xfId="0" applyFont="1" applyFill="1"/>
    <xf numFmtId="180" fontId="3" fillId="12" borderId="0" xfId="0" applyNumberFormat="1" applyFont="1" applyFill="1" applyAlignment="1">
      <alignment horizontal="center"/>
    </xf>
    <xf numFmtId="0" fontId="3" fillId="12" borderId="0" xfId="0" applyFont="1" applyFill="1" applyAlignment="1">
      <alignment horizontal="center"/>
    </xf>
    <xf numFmtId="0" fontId="0" fillId="12" borderId="0" xfId="0" applyFill="1" applyAlignment="1">
      <alignment horizontal="center"/>
    </xf>
    <xf numFmtId="183" fontId="0" fillId="12" borderId="0" xfId="0" applyNumberFormat="1" applyFill="1" applyAlignment="1">
      <alignment horizontal="center"/>
    </xf>
    <xf numFmtId="183" fontId="3" fillId="12" borderId="0" xfId="0" applyNumberFormat="1" applyFont="1" applyFill="1" applyAlignment="1">
      <alignment horizontal="center"/>
    </xf>
    <xf numFmtId="0" fontId="3" fillId="0" borderId="0" xfId="0" applyFont="1" applyFill="1" applyAlignment="1">
      <alignment horizontal="center"/>
    </xf>
    <xf numFmtId="0" fontId="13" fillId="0" borderId="0" xfId="0" applyFont="1" applyFill="1" applyBorder="1" applyAlignment="1">
      <alignment horizontal="center"/>
    </xf>
    <xf numFmtId="0" fontId="0" fillId="12" borderId="0" xfId="0" applyFill="1"/>
    <xf numFmtId="0" fontId="90" fillId="0" borderId="0" xfId="0" applyFont="1"/>
    <xf numFmtId="0" fontId="3" fillId="0" borderId="0" xfId="0" applyFont="1" applyBorder="1"/>
    <xf numFmtId="0" fontId="3" fillId="10" borderId="0" xfId="0" applyFont="1" applyFill="1" applyBorder="1"/>
    <xf numFmtId="225" fontId="0" fillId="0" borderId="0" xfId="0" applyNumberFormat="1" applyBorder="1"/>
    <xf numFmtId="180" fontId="12" fillId="0" borderId="33" xfId="0" applyNumberFormat="1" applyFont="1" applyFill="1" applyBorder="1" applyAlignment="1">
      <alignment horizontal="center" vertical="center"/>
    </xf>
    <xf numFmtId="4" fontId="12" fillId="0" borderId="34" xfId="0" applyNumberFormat="1" applyFont="1" applyFill="1" applyBorder="1" applyAlignment="1">
      <alignment horizontal="center"/>
    </xf>
    <xf numFmtId="4" fontId="12" fillId="0" borderId="35" xfId="0" applyNumberFormat="1" applyFont="1" applyFill="1" applyBorder="1" applyAlignment="1">
      <alignment horizontal="center"/>
    </xf>
    <xf numFmtId="2" fontId="12" fillId="0" borderId="35" xfId="0" applyNumberFormat="1" applyFont="1" applyFill="1" applyBorder="1" applyAlignment="1">
      <alignment horizontal="center"/>
    </xf>
    <xf numFmtId="49" fontId="26" fillId="13" borderId="0" xfId="0" applyNumberFormat="1" applyFont="1" applyFill="1" applyBorder="1" applyAlignment="1">
      <alignment horizontal="center" vertical="center"/>
    </xf>
    <xf numFmtId="180" fontId="12" fillId="14" borderId="36" xfId="0" applyNumberFormat="1" applyFont="1" applyFill="1" applyBorder="1" applyAlignment="1" applyProtection="1">
      <alignment horizontal="center" vertical="center"/>
      <protection locked="0"/>
    </xf>
    <xf numFmtId="0" fontId="12" fillId="14" borderId="36" xfId="0" applyFont="1" applyFill="1" applyBorder="1"/>
    <xf numFmtId="0" fontId="4" fillId="14" borderId="0" xfId="0" applyFont="1" applyFill="1"/>
    <xf numFmtId="0" fontId="15" fillId="14" borderId="0" xfId="0" applyFont="1" applyFill="1" applyBorder="1"/>
    <xf numFmtId="0" fontId="18" fillId="14" borderId="0" xfId="0" applyFont="1" applyFill="1" applyBorder="1"/>
    <xf numFmtId="4" fontId="12" fillId="0" borderId="37" xfId="0" applyNumberFormat="1" applyFont="1" applyFill="1" applyBorder="1" applyAlignment="1">
      <alignment horizontal="center"/>
    </xf>
    <xf numFmtId="4" fontId="12" fillId="0" borderId="36" xfId="0" applyNumberFormat="1" applyFont="1" applyFill="1" applyBorder="1" applyAlignment="1">
      <alignment horizontal="center"/>
    </xf>
    <xf numFmtId="2" fontId="12" fillId="0" borderId="36" xfId="0" applyNumberFormat="1" applyFont="1" applyFill="1" applyBorder="1" applyAlignment="1">
      <alignment horizontal="center"/>
    </xf>
    <xf numFmtId="0" fontId="26" fillId="15" borderId="0" xfId="0" applyFont="1" applyFill="1" applyBorder="1" applyAlignment="1">
      <alignment horizontal="center" vertical="center"/>
    </xf>
    <xf numFmtId="168" fontId="12" fillId="8" borderId="38" xfId="0" applyNumberFormat="1" applyFont="1" applyFill="1" applyBorder="1" applyAlignment="1">
      <alignment horizontal="center" vertical="center"/>
    </xf>
    <xf numFmtId="168" fontId="12" fillId="0" borderId="33" xfId="0" applyNumberFormat="1" applyFont="1" applyFill="1" applyBorder="1" applyAlignment="1">
      <alignment horizontal="center" vertical="center"/>
    </xf>
    <xf numFmtId="220" fontId="12" fillId="8" borderId="33" xfId="0" applyNumberFormat="1" applyFont="1" applyFill="1" applyBorder="1" applyAlignment="1">
      <alignment horizontal="center" vertical="center"/>
    </xf>
    <xf numFmtId="183" fontId="12" fillId="8" borderId="33" xfId="0" applyNumberFormat="1" applyFont="1" applyFill="1" applyBorder="1" applyAlignment="1">
      <alignment horizontal="center" vertical="center"/>
    </xf>
    <xf numFmtId="183" fontId="20" fillId="0" borderId="33" xfId="0" applyNumberFormat="1" applyFont="1" applyFill="1" applyBorder="1" applyAlignment="1">
      <alignment horizontal="center" vertical="center"/>
    </xf>
    <xf numFmtId="197" fontId="12" fillId="8" borderId="38" xfId="0" applyNumberFormat="1" applyFont="1" applyFill="1" applyBorder="1" applyAlignment="1">
      <alignment horizontal="center" vertical="center"/>
    </xf>
    <xf numFmtId="193" fontId="12" fillId="8" borderId="33" xfId="0" applyNumberFormat="1" applyFont="1" applyFill="1" applyBorder="1" applyAlignment="1">
      <alignment horizontal="center" vertical="center"/>
    </xf>
    <xf numFmtId="9" fontId="12" fillId="8" borderId="33" xfId="3" applyFont="1" applyFill="1" applyBorder="1" applyAlignment="1">
      <alignment horizontal="center" vertical="center"/>
    </xf>
    <xf numFmtId="9" fontId="12" fillId="0" borderId="33" xfId="3" applyFont="1" applyFill="1" applyBorder="1" applyAlignment="1">
      <alignment horizontal="center" vertical="center"/>
    </xf>
    <xf numFmtId="174" fontId="12" fillId="8" borderId="33" xfId="3" applyNumberFormat="1" applyFont="1" applyFill="1" applyBorder="1" applyAlignment="1">
      <alignment horizontal="center" vertical="center"/>
    </xf>
    <xf numFmtId="193" fontId="12" fillId="8" borderId="39" xfId="0" applyNumberFormat="1" applyFont="1" applyFill="1" applyBorder="1" applyAlignment="1">
      <alignment horizontal="center" vertical="center"/>
    </xf>
    <xf numFmtId="221" fontId="12" fillId="8" borderId="33" xfId="0" applyNumberFormat="1" applyFont="1" applyFill="1" applyBorder="1" applyAlignment="1">
      <alignment horizontal="center" vertical="center"/>
    </xf>
    <xf numFmtId="195" fontId="12" fillId="0" borderId="33" xfId="0" applyNumberFormat="1"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xf numFmtId="193" fontId="12" fillId="0" borderId="33" xfId="0" applyNumberFormat="1" applyFont="1" applyFill="1" applyBorder="1" applyAlignment="1">
      <alignment horizontal="center" vertical="center" wrapText="1"/>
    </xf>
    <xf numFmtId="168" fontId="12" fillId="0" borderId="33" xfId="3" applyNumberFormat="1" applyFont="1" applyBorder="1" applyAlignment="1">
      <alignment horizontal="center" vertical="center"/>
    </xf>
    <xf numFmtId="193" fontId="12" fillId="0" borderId="33" xfId="0" applyNumberFormat="1" applyFont="1" applyBorder="1" applyAlignment="1">
      <alignment horizontal="center" vertical="center"/>
    </xf>
    <xf numFmtId="1" fontId="12" fillId="0" borderId="33" xfId="0" applyNumberFormat="1" applyFont="1" applyBorder="1" applyAlignment="1">
      <alignment horizontal="center"/>
    </xf>
    <xf numFmtId="168" fontId="12" fillId="0" borderId="33" xfId="0" applyNumberFormat="1" applyFont="1" applyBorder="1" applyAlignment="1">
      <alignment horizontal="center" vertical="center"/>
    </xf>
    <xf numFmtId="193" fontId="12" fillId="0" borderId="35" xfId="0" applyNumberFormat="1" applyFont="1" applyBorder="1" applyAlignment="1">
      <alignment horizontal="center" vertical="center"/>
    </xf>
    <xf numFmtId="0" fontId="79" fillId="14" borderId="0" xfId="0" applyFont="1" applyFill="1"/>
    <xf numFmtId="0" fontId="13" fillId="14" borderId="0" xfId="0" applyFont="1" applyFill="1"/>
    <xf numFmtId="0" fontId="13" fillId="14" borderId="0" xfId="0" applyFont="1" applyFill="1" applyAlignment="1">
      <alignment horizontal="center"/>
    </xf>
    <xf numFmtId="0" fontId="0" fillId="14" borderId="0" xfId="0" applyFill="1" applyAlignment="1">
      <alignment horizontal="center"/>
    </xf>
    <xf numFmtId="0" fontId="12" fillId="14" borderId="0" xfId="0" applyFont="1" applyFill="1"/>
    <xf numFmtId="0" fontId="0" fillId="14" borderId="0" xfId="0" applyFill="1"/>
    <xf numFmtId="168" fontId="12" fillId="8" borderId="37" xfId="0" applyNumberFormat="1" applyFont="1" applyFill="1" applyBorder="1" applyAlignment="1">
      <alignment horizontal="center" vertical="center"/>
    </xf>
    <xf numFmtId="168" fontId="12" fillId="0" borderId="36" xfId="0" applyNumberFormat="1" applyFont="1" applyFill="1" applyBorder="1" applyAlignment="1">
      <alignment horizontal="center" vertical="center"/>
    </xf>
    <xf numFmtId="220" fontId="12" fillId="8" borderId="36" xfId="0" applyNumberFormat="1" applyFont="1" applyFill="1" applyBorder="1" applyAlignment="1">
      <alignment horizontal="center" vertical="center"/>
    </xf>
    <xf numFmtId="178" fontId="12" fillId="8" borderId="36" xfId="0" applyNumberFormat="1" applyFont="1" applyFill="1" applyBorder="1" applyAlignment="1">
      <alignment horizontal="center" vertical="center"/>
    </xf>
    <xf numFmtId="178" fontId="12" fillId="0" borderId="36" xfId="0" applyNumberFormat="1" applyFont="1" applyFill="1" applyBorder="1" applyAlignment="1">
      <alignment horizontal="center" vertical="center"/>
    </xf>
    <xf numFmtId="183" fontId="12" fillId="8" borderId="36" xfId="0" applyNumberFormat="1" applyFont="1" applyFill="1" applyBorder="1" applyAlignment="1">
      <alignment horizontal="center" vertical="center"/>
    </xf>
    <xf numFmtId="0" fontId="12" fillId="0" borderId="36" xfId="0" applyFont="1" applyFill="1" applyBorder="1" applyAlignment="1">
      <alignment vertical="center"/>
    </xf>
    <xf numFmtId="197" fontId="12" fillId="8" borderId="37" xfId="0" applyNumberFormat="1" applyFont="1" applyFill="1" applyBorder="1" applyAlignment="1">
      <alignment horizontal="center" vertical="center"/>
    </xf>
    <xf numFmtId="193" fontId="12" fillId="8" borderId="36" xfId="0" applyNumberFormat="1" applyFont="1" applyFill="1" applyBorder="1" applyAlignment="1">
      <alignment horizontal="center" vertical="center"/>
    </xf>
    <xf numFmtId="9" fontId="12" fillId="8" borderId="36" xfId="3" applyNumberFormat="1" applyFont="1" applyFill="1" applyBorder="1" applyAlignment="1">
      <alignment horizontal="center" vertical="center"/>
    </xf>
    <xf numFmtId="9" fontId="12" fillId="0" borderId="36" xfId="3" applyNumberFormat="1" applyFont="1" applyFill="1" applyBorder="1" applyAlignment="1">
      <alignment horizontal="center" vertical="center"/>
    </xf>
    <xf numFmtId="174" fontId="12" fillId="8" borderId="36" xfId="3" applyNumberFormat="1" applyFont="1" applyFill="1" applyBorder="1" applyAlignment="1">
      <alignment horizontal="center" vertical="center"/>
    </xf>
    <xf numFmtId="193" fontId="12" fillId="8" borderId="40" xfId="0" applyNumberFormat="1" applyFont="1" applyFill="1" applyBorder="1" applyAlignment="1">
      <alignment horizontal="center" vertical="center"/>
    </xf>
    <xf numFmtId="221" fontId="12" fillId="8" borderId="36" xfId="0" applyNumberFormat="1" applyFont="1" applyFill="1" applyBorder="1" applyAlignment="1">
      <alignment horizontal="center" vertical="center"/>
    </xf>
    <xf numFmtId="195" fontId="12" fillId="0" borderId="36" xfId="0" applyNumberFormat="1"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xf numFmtId="193" fontId="12" fillId="0" borderId="36" xfId="0" applyNumberFormat="1" applyFont="1" applyFill="1" applyBorder="1" applyAlignment="1">
      <alignment horizontal="center" vertical="center" wrapText="1"/>
    </xf>
    <xf numFmtId="168" fontId="12" fillId="0" borderId="36" xfId="3" applyNumberFormat="1" applyFont="1" applyBorder="1" applyAlignment="1">
      <alignment horizontal="center" vertical="center"/>
    </xf>
    <xf numFmtId="193" fontId="12" fillId="0" borderId="36" xfId="0" applyNumberFormat="1" applyFont="1" applyBorder="1" applyAlignment="1">
      <alignment horizontal="center" vertical="center"/>
    </xf>
    <xf numFmtId="168" fontId="12" fillId="0" borderId="36" xfId="0" applyNumberFormat="1" applyFont="1" applyBorder="1" applyAlignment="1">
      <alignment horizontal="center" vertical="center"/>
    </xf>
    <xf numFmtId="0" fontId="58" fillId="14" borderId="0" xfId="0" applyFont="1" applyFill="1" applyAlignment="1">
      <alignment horizontal="left"/>
    </xf>
    <xf numFmtId="0" fontId="58" fillId="14" borderId="0" xfId="0" applyFont="1" applyFill="1"/>
    <xf numFmtId="0" fontId="60" fillId="14" borderId="0" xfId="0" applyFont="1" applyFill="1" applyAlignment="1">
      <alignment horizontal="left"/>
    </xf>
    <xf numFmtId="0" fontId="58" fillId="14" borderId="0" xfId="0" applyFont="1" applyFill="1" applyBorder="1" applyAlignment="1">
      <alignment horizontal="right"/>
    </xf>
    <xf numFmtId="0" fontId="58" fillId="14" borderId="0" xfId="0" applyFont="1" applyFill="1" applyBorder="1" applyAlignment="1">
      <alignment horizontal="center"/>
    </xf>
    <xf numFmtId="182" fontId="58" fillId="14" borderId="0" xfId="0" applyNumberFormat="1" applyFont="1" applyFill="1" applyAlignment="1">
      <alignment horizontal="center"/>
    </xf>
    <xf numFmtId="198" fontId="58" fillId="14" borderId="0" xfId="0" applyNumberFormat="1" applyFont="1" applyFill="1" applyAlignment="1">
      <alignment horizontal="center"/>
    </xf>
    <xf numFmtId="198" fontId="58" fillId="14" borderId="24" xfId="0" applyNumberFormat="1" applyFont="1" applyFill="1" applyBorder="1" applyAlignment="1">
      <alignment horizontal="center"/>
    </xf>
    <xf numFmtId="198" fontId="58" fillId="14" borderId="22" xfId="0" applyNumberFormat="1" applyFont="1" applyFill="1" applyBorder="1" applyAlignment="1">
      <alignment horizontal="center"/>
    </xf>
    <xf numFmtId="168" fontId="58" fillId="14" borderId="0" xfId="0" applyNumberFormat="1" applyFont="1" applyFill="1" applyBorder="1" applyAlignment="1">
      <alignment horizontal="center"/>
    </xf>
    <xf numFmtId="193" fontId="12" fillId="14" borderId="5" xfId="0" applyNumberFormat="1" applyFont="1" applyFill="1" applyBorder="1" applyAlignment="1">
      <alignment horizontal="center"/>
    </xf>
    <xf numFmtId="188" fontId="58" fillId="14" borderId="0" xfId="0" applyNumberFormat="1" applyFont="1" applyFill="1" applyAlignment="1">
      <alignment horizontal="center"/>
    </xf>
    <xf numFmtId="217" fontId="58" fillId="14" borderId="0" xfId="0" applyNumberFormat="1" applyFont="1" applyFill="1" applyAlignment="1">
      <alignment horizontal="center"/>
    </xf>
    <xf numFmtId="208" fontId="58" fillId="14" borderId="0" xfId="0" applyNumberFormat="1" applyFont="1" applyFill="1" applyAlignment="1">
      <alignment horizontal="center"/>
    </xf>
    <xf numFmtId="0" fontId="0" fillId="14" borderId="2" xfId="0" applyFill="1" applyBorder="1"/>
    <xf numFmtId="0" fontId="0" fillId="14" borderId="3" xfId="0" applyFill="1" applyBorder="1"/>
    <xf numFmtId="0" fontId="3" fillId="14" borderId="0" xfId="0" applyFont="1" applyFill="1" applyBorder="1" applyAlignment="1">
      <alignment horizontal="center"/>
    </xf>
    <xf numFmtId="0" fontId="3" fillId="14" borderId="5" xfId="0" applyFont="1" applyFill="1" applyBorder="1" applyAlignment="1">
      <alignment horizontal="center"/>
    </xf>
    <xf numFmtId="0" fontId="0" fillId="14" borderId="0" xfId="0" applyFill="1" applyBorder="1" applyAlignment="1">
      <alignment horizontal="center"/>
    </xf>
    <xf numFmtId="0" fontId="0" fillId="14" borderId="5" xfId="0" applyFill="1" applyBorder="1" applyAlignment="1">
      <alignment horizontal="center"/>
    </xf>
    <xf numFmtId="0" fontId="1" fillId="14" borderId="0" xfId="0" applyFont="1" applyFill="1" applyBorder="1" applyAlignment="1">
      <alignment horizontal="center"/>
    </xf>
    <xf numFmtId="0" fontId="1" fillId="14" borderId="6" xfId="0" applyFont="1" applyFill="1" applyBorder="1"/>
    <xf numFmtId="167" fontId="0" fillId="14" borderId="0" xfId="0" applyNumberFormat="1" applyFill="1" applyAlignment="1">
      <alignment horizontal="center"/>
    </xf>
    <xf numFmtId="170" fontId="0" fillId="14" borderId="0" xfId="0" applyNumberFormat="1" applyFill="1" applyAlignment="1">
      <alignment horizontal="center"/>
    </xf>
    <xf numFmtId="167" fontId="0" fillId="14" borderId="1" xfId="0" applyNumberFormat="1" applyFill="1" applyBorder="1" applyAlignment="1">
      <alignment horizontal="center"/>
    </xf>
    <xf numFmtId="200" fontId="0" fillId="14" borderId="0" xfId="0" applyNumberFormat="1" applyFill="1" applyAlignment="1">
      <alignment horizontal="right"/>
    </xf>
    <xf numFmtId="166" fontId="0" fillId="14" borderId="0" xfId="0" applyNumberFormat="1" applyFill="1" applyAlignment="1">
      <alignment horizontal="center"/>
    </xf>
    <xf numFmtId="1" fontId="0" fillId="14" borderId="0" xfId="0" applyNumberFormat="1" applyFill="1" applyAlignment="1">
      <alignment horizontal="center"/>
    </xf>
    <xf numFmtId="168" fontId="3" fillId="14" borderId="1" xfId="0" applyNumberFormat="1" applyFont="1" applyFill="1" applyBorder="1" applyAlignment="1">
      <alignment horizontal="center"/>
    </xf>
    <xf numFmtId="168" fontId="12" fillId="14" borderId="0" xfId="0" applyNumberFormat="1" applyFont="1" applyFill="1" applyBorder="1" applyAlignment="1">
      <alignment horizontal="center"/>
    </xf>
    <xf numFmtId="211" fontId="0" fillId="14" borderId="0" xfId="0" applyNumberFormat="1" applyFill="1" applyAlignment="1">
      <alignment horizontal="center"/>
    </xf>
    <xf numFmtId="193" fontId="0" fillId="14" borderId="0" xfId="0" applyNumberFormat="1" applyFill="1" applyAlignment="1">
      <alignment horizontal="center"/>
    </xf>
    <xf numFmtId="193" fontId="0" fillId="14" borderId="4" xfId="0" applyNumberFormat="1" applyFill="1" applyBorder="1" applyAlignment="1">
      <alignment horizontal="center"/>
    </xf>
    <xf numFmtId="210" fontId="0" fillId="14" borderId="0" xfId="0" applyNumberFormat="1" applyFill="1" applyAlignment="1">
      <alignment horizontal="center"/>
    </xf>
    <xf numFmtId="210" fontId="3" fillId="14" borderId="0" xfId="0" applyNumberFormat="1" applyFont="1" applyFill="1" applyAlignment="1">
      <alignment horizontal="center"/>
    </xf>
    <xf numFmtId="199" fontId="0" fillId="14" borderId="0" xfId="0" applyNumberFormat="1" applyFill="1" applyAlignment="1">
      <alignment horizontal="center" vertical="center"/>
    </xf>
    <xf numFmtId="224" fontId="0" fillId="14" borderId="0" xfId="0" applyNumberFormat="1" applyFill="1" applyAlignment="1">
      <alignment horizontal="center" vertical="center"/>
    </xf>
    <xf numFmtId="167" fontId="0" fillId="14" borderId="0" xfId="0" applyNumberFormat="1" applyFill="1" applyAlignment="1">
      <alignment horizontal="center" vertical="center"/>
    </xf>
    <xf numFmtId="210" fontId="13" fillId="14" borderId="0" xfId="0" applyNumberFormat="1" applyFont="1" applyFill="1" applyAlignment="1">
      <alignment horizontal="center"/>
    </xf>
    <xf numFmtId="210" fontId="13" fillId="14" borderId="0" xfId="0" applyNumberFormat="1" applyFont="1" applyFill="1" applyBorder="1" applyAlignment="1">
      <alignment horizontal="center"/>
    </xf>
    <xf numFmtId="193" fontId="13" fillId="14" borderId="4" xfId="0" applyNumberFormat="1" applyFont="1" applyFill="1" applyBorder="1" applyAlignment="1">
      <alignment horizontal="center"/>
    </xf>
    <xf numFmtId="193" fontId="13" fillId="14" borderId="0" xfId="0" applyNumberFormat="1" applyFont="1" applyFill="1" applyBorder="1" applyAlignment="1">
      <alignment horizontal="center"/>
    </xf>
    <xf numFmtId="193" fontId="12" fillId="14" borderId="0" xfId="0" applyNumberFormat="1" applyFont="1" applyFill="1" applyAlignment="1">
      <alignment horizontal="center"/>
    </xf>
    <xf numFmtId="210" fontId="0" fillId="14" borderId="0" xfId="0" applyNumberFormat="1" applyFill="1" applyBorder="1" applyAlignment="1">
      <alignment horizontal="center"/>
    </xf>
    <xf numFmtId="210" fontId="13" fillId="14" borderId="1" xfId="0" applyNumberFormat="1" applyFont="1" applyFill="1" applyBorder="1" applyAlignment="1">
      <alignment horizontal="center"/>
    </xf>
    <xf numFmtId="1" fontId="12" fillId="14" borderId="0" xfId="0" applyNumberFormat="1" applyFont="1" applyFill="1" applyAlignment="1">
      <alignment horizontal="center"/>
    </xf>
    <xf numFmtId="3" fontId="12" fillId="14" borderId="0" xfId="0" applyNumberFormat="1" applyFont="1" applyFill="1" applyAlignment="1">
      <alignment horizontal="center"/>
    </xf>
    <xf numFmtId="0" fontId="12" fillId="14" borderId="0" xfId="0" applyFont="1" applyFill="1" applyAlignment="1">
      <alignment horizontal="center"/>
    </xf>
    <xf numFmtId="1" fontId="1" fillId="14" borderId="0" xfId="0" applyNumberFormat="1" applyFont="1" applyFill="1" applyAlignment="1">
      <alignment horizontal="center"/>
    </xf>
    <xf numFmtId="178" fontId="0" fillId="14" borderId="0" xfId="0" applyNumberFormat="1" applyFill="1" applyAlignment="1">
      <alignment horizontal="center"/>
    </xf>
    <xf numFmtId="180" fontId="0" fillId="14" borderId="0" xfId="0" applyNumberFormat="1" applyFill="1" applyAlignment="1">
      <alignment horizontal="center"/>
    </xf>
    <xf numFmtId="180" fontId="3" fillId="14" borderId="0" xfId="0" applyNumberFormat="1" applyFont="1" applyFill="1" applyAlignment="1">
      <alignment horizontal="center"/>
    </xf>
    <xf numFmtId="182" fontId="0" fillId="14" borderId="0" xfId="0" applyNumberFormat="1" applyFill="1" applyAlignment="1">
      <alignment horizontal="center"/>
    </xf>
    <xf numFmtId="0" fontId="3" fillId="14" borderId="0" xfId="0" applyFont="1" applyFill="1" applyAlignment="1">
      <alignment horizontal="center"/>
    </xf>
    <xf numFmtId="183" fontId="0" fillId="14" borderId="0" xfId="0" applyNumberFormat="1" applyFill="1" applyAlignment="1">
      <alignment horizontal="center"/>
    </xf>
    <xf numFmtId="183" fontId="3" fillId="14" borderId="0" xfId="0" applyNumberFormat="1" applyFont="1" applyFill="1" applyAlignment="1">
      <alignment horizontal="center"/>
    </xf>
    <xf numFmtId="0" fontId="3" fillId="14" borderId="0" xfId="0" applyFont="1" applyFill="1"/>
    <xf numFmtId="203" fontId="38" fillId="14" borderId="0" xfId="0" applyNumberFormat="1" applyFont="1" applyFill="1" applyAlignment="1">
      <alignment horizontal="center"/>
    </xf>
    <xf numFmtId="204" fontId="0" fillId="14" borderId="0" xfId="0" applyNumberFormat="1" applyFill="1" applyAlignment="1">
      <alignment horizontal="center"/>
    </xf>
    <xf numFmtId="4" fontId="0" fillId="14" borderId="0" xfId="0" applyNumberFormat="1" applyFill="1" applyAlignment="1">
      <alignment horizontal="center"/>
    </xf>
    <xf numFmtId="207" fontId="0" fillId="14" borderId="0" xfId="0" applyNumberFormat="1" applyFill="1" applyAlignment="1">
      <alignment horizontal="center"/>
    </xf>
    <xf numFmtId="0" fontId="58" fillId="14" borderId="0" xfId="0" applyFont="1" applyFill="1" applyBorder="1" applyAlignment="1">
      <alignment horizontal="left"/>
    </xf>
    <xf numFmtId="167" fontId="12" fillId="0" borderId="33" xfId="0" applyNumberFormat="1" applyFont="1" applyFill="1" applyBorder="1" applyAlignment="1">
      <alignment horizontal="center" vertical="center"/>
    </xf>
    <xf numFmtId="167" fontId="12" fillId="14" borderId="36" xfId="0" applyNumberFormat="1" applyFont="1" applyFill="1" applyBorder="1" applyAlignment="1" applyProtection="1">
      <alignment horizontal="center" vertical="center"/>
      <protection locked="0"/>
    </xf>
    <xf numFmtId="9" fontId="12" fillId="14" borderId="36" xfId="3" applyNumberFormat="1" applyFont="1" applyFill="1" applyBorder="1" applyAlignment="1" applyProtection="1">
      <alignment horizontal="center" vertical="center"/>
      <protection locked="0"/>
    </xf>
    <xf numFmtId="0" fontId="4" fillId="16" borderId="0" xfId="0" applyFont="1" applyFill="1"/>
    <xf numFmtId="0" fontId="34" fillId="16" borderId="0" xfId="0" applyFont="1" applyFill="1" applyAlignment="1">
      <alignment horizontal="left" vertical="center"/>
    </xf>
    <xf numFmtId="0" fontId="0" fillId="16" borderId="0" xfId="0" applyFill="1" applyAlignment="1">
      <alignment horizontal="left"/>
    </xf>
    <xf numFmtId="182" fontId="0" fillId="16" borderId="0" xfId="0" applyNumberFormat="1" applyFill="1" applyBorder="1" applyAlignment="1">
      <alignment horizontal="center"/>
    </xf>
    <xf numFmtId="0" fontId="0" fillId="16" borderId="0" xfId="0" applyFill="1" applyBorder="1" applyAlignment="1">
      <alignment horizontal="center"/>
    </xf>
    <xf numFmtId="0" fontId="5" fillId="16" borderId="0" xfId="0" applyFont="1" applyFill="1" applyBorder="1"/>
    <xf numFmtId="0" fontId="23" fillId="16" borderId="0" xfId="0" applyFont="1" applyFill="1" applyBorder="1" applyAlignment="1">
      <alignment horizontal="center" vertical="center"/>
    </xf>
    <xf numFmtId="0" fontId="0" fillId="16" borderId="0" xfId="0" applyFill="1"/>
    <xf numFmtId="0" fontId="36" fillId="16" borderId="0" xfId="0" applyFont="1" applyFill="1"/>
    <xf numFmtId="0" fontId="37" fillId="16" borderId="0" xfId="0" applyFont="1" applyFill="1" applyAlignment="1">
      <alignment horizontal="center"/>
    </xf>
    <xf numFmtId="169" fontId="37" fillId="16" borderId="0" xfId="0" applyNumberFormat="1" applyFont="1" applyFill="1"/>
    <xf numFmtId="2" fontId="37" fillId="16" borderId="0" xfId="0" applyNumberFormat="1" applyFont="1" applyFill="1" applyBorder="1"/>
    <xf numFmtId="168" fontId="37" fillId="16" borderId="0" xfId="0" applyNumberFormat="1" applyFont="1" applyFill="1"/>
    <xf numFmtId="0" fontId="13" fillId="16" borderId="0" xfId="0" applyFont="1" applyFill="1" applyAlignment="1">
      <alignment horizontal="left"/>
    </xf>
    <xf numFmtId="0" fontId="18" fillId="16" borderId="0" xfId="0" applyFont="1" applyFill="1"/>
    <xf numFmtId="0" fontId="32" fillId="16" borderId="0" xfId="0" applyFont="1" applyFill="1"/>
    <xf numFmtId="167" fontId="14" fillId="16" borderId="0" xfId="0" applyNumberFormat="1" applyFont="1" applyFill="1" applyAlignment="1">
      <alignment horizontal="center"/>
    </xf>
    <xf numFmtId="3" fontId="14" fillId="16" borderId="0" xfId="0" applyNumberFormat="1" applyFont="1" applyFill="1" applyAlignment="1">
      <alignment horizontal="center"/>
    </xf>
    <xf numFmtId="175" fontId="14" fillId="16" borderId="0" xfId="0" applyNumberFormat="1" applyFont="1" applyFill="1" applyAlignment="1">
      <alignment horizontal="center"/>
    </xf>
    <xf numFmtId="0" fontId="32" fillId="16" borderId="0" xfId="0" applyFont="1" applyFill="1" applyBorder="1"/>
    <xf numFmtId="0" fontId="26" fillId="16" borderId="0" xfId="0" applyFont="1" applyFill="1" applyBorder="1" applyAlignment="1">
      <alignment horizontal="center"/>
    </xf>
    <xf numFmtId="0" fontId="18" fillId="16" borderId="0" xfId="0" applyFont="1" applyFill="1" applyAlignment="1">
      <alignment horizontal="center"/>
    </xf>
    <xf numFmtId="0" fontId="48" fillId="16" borderId="0" xfId="0" applyFont="1" applyFill="1" applyAlignment="1">
      <alignment vertical="center"/>
    </xf>
    <xf numFmtId="0" fontId="41" fillId="16" borderId="0" xfId="0" applyFont="1" applyFill="1" applyAlignment="1">
      <alignment horizontal="left" wrapText="1"/>
    </xf>
    <xf numFmtId="0" fontId="41" fillId="16" borderId="0" xfId="0" applyFont="1" applyFill="1" applyAlignment="1">
      <alignment wrapText="1"/>
    </xf>
    <xf numFmtId="0" fontId="4" fillId="16" borderId="0" xfId="0" applyFont="1" applyFill="1" applyBorder="1"/>
    <xf numFmtId="0" fontId="13" fillId="16" borderId="0" xfId="0" applyFont="1" applyFill="1"/>
    <xf numFmtId="182" fontId="13" fillId="16" borderId="0" xfId="0" applyNumberFormat="1" applyFont="1" applyFill="1" applyBorder="1" applyAlignment="1">
      <alignment horizontal="center"/>
    </xf>
    <xf numFmtId="0" fontId="13" fillId="16" borderId="0" xfId="0" applyFont="1" applyFill="1" applyBorder="1" applyAlignment="1">
      <alignment horizontal="center"/>
    </xf>
    <xf numFmtId="0" fontId="12" fillId="16" borderId="0" xfId="0" applyFont="1" applyFill="1"/>
    <xf numFmtId="0" fontId="12" fillId="16" borderId="0" xfId="0" applyFont="1" applyFill="1" applyAlignment="1">
      <alignment wrapText="1"/>
    </xf>
    <xf numFmtId="0" fontId="3" fillId="9" borderId="0" xfId="0" applyFont="1" applyFill="1" applyAlignment="1">
      <alignment horizontal="right"/>
    </xf>
    <xf numFmtId="0" fontId="3" fillId="9" borderId="0" xfId="0" applyFont="1" applyFill="1"/>
    <xf numFmtId="0" fontId="3" fillId="14" borderId="0" xfId="0" applyFont="1" applyFill="1" applyBorder="1"/>
    <xf numFmtId="167" fontId="3" fillId="0" borderId="38" xfId="0" applyNumberFormat="1" applyFont="1" applyFill="1" applyBorder="1" applyAlignment="1">
      <alignment horizontal="center" vertical="center"/>
    </xf>
    <xf numFmtId="179" fontId="3" fillId="14" borderId="37" xfId="0" applyNumberFormat="1" applyFont="1" applyFill="1" applyBorder="1" applyAlignment="1" applyProtection="1">
      <alignment horizontal="center" vertical="center"/>
      <protection locked="0"/>
    </xf>
    <xf numFmtId="167" fontId="3" fillId="0" borderId="33" xfId="0" applyNumberFormat="1" applyFont="1" applyFill="1" applyBorder="1" applyAlignment="1">
      <alignment horizontal="center"/>
    </xf>
    <xf numFmtId="179" fontId="3" fillId="14" borderId="36" xfId="0" applyNumberFormat="1" applyFont="1" applyFill="1" applyBorder="1" applyAlignment="1" applyProtection="1">
      <alignment horizontal="center"/>
      <protection locked="0"/>
    </xf>
    <xf numFmtId="9" fontId="3" fillId="0" borderId="33" xfId="3" applyFont="1" applyFill="1" applyBorder="1" applyAlignment="1">
      <alignment horizontal="center"/>
    </xf>
    <xf numFmtId="174" fontId="3" fillId="0" borderId="0" xfId="3" applyNumberFormat="1" applyFont="1" applyFill="1" applyBorder="1" applyAlignment="1" applyProtection="1">
      <alignment horizontal="center"/>
    </xf>
    <xf numFmtId="9" fontId="3" fillId="14" borderId="36" xfId="3" applyFont="1" applyFill="1" applyBorder="1" applyAlignment="1" applyProtection="1">
      <alignment horizontal="center"/>
      <protection locked="0"/>
    </xf>
    <xf numFmtId="2" fontId="3" fillId="0" borderId="41" xfId="0" applyNumberFormat="1" applyFont="1" applyFill="1" applyBorder="1" applyAlignment="1">
      <alignment horizontal="center"/>
    </xf>
    <xf numFmtId="2" fontId="3" fillId="0" borderId="40" xfId="0" applyNumberFormat="1" applyFont="1" applyFill="1" applyBorder="1" applyAlignment="1">
      <alignment horizontal="center"/>
    </xf>
    <xf numFmtId="9" fontId="3" fillId="0" borderId="33" xfId="0" applyNumberFormat="1" applyFont="1" applyFill="1" applyBorder="1" applyAlignment="1">
      <alignment horizontal="center"/>
    </xf>
    <xf numFmtId="9" fontId="3" fillId="14" borderId="36" xfId="3" applyFont="1" applyFill="1" applyBorder="1" applyAlignment="1">
      <alignment horizontal="center"/>
    </xf>
    <xf numFmtId="0" fontId="3" fillId="9" borderId="0" xfId="0" applyFont="1" applyFill="1" applyBorder="1"/>
    <xf numFmtId="0" fontId="3" fillId="0" borderId="33" xfId="0" applyFont="1" applyBorder="1" applyAlignment="1">
      <alignment horizontal="center"/>
    </xf>
    <xf numFmtId="215" fontId="3" fillId="0" borderId="33" xfId="0" applyNumberFormat="1" applyFont="1" applyFill="1" applyBorder="1" applyAlignment="1">
      <alignment horizontal="center" vertical="center"/>
    </xf>
    <xf numFmtId="215" fontId="3" fillId="14" borderId="36" xfId="0" applyNumberFormat="1" applyFont="1" applyFill="1" applyBorder="1" applyAlignment="1" applyProtection="1">
      <alignment horizontal="center" vertical="center"/>
      <protection locked="0"/>
    </xf>
    <xf numFmtId="178" fontId="3" fillId="0" borderId="33" xfId="0" applyNumberFormat="1" applyFont="1" applyFill="1" applyBorder="1" applyAlignment="1" applyProtection="1">
      <alignment horizontal="center" vertical="center"/>
      <protection locked="0"/>
    </xf>
    <xf numFmtId="178" fontId="3" fillId="14" borderId="36" xfId="0" applyNumberFormat="1" applyFont="1" applyFill="1" applyBorder="1" applyAlignment="1" applyProtection="1">
      <alignment horizontal="center" vertical="center"/>
      <protection locked="0"/>
    </xf>
    <xf numFmtId="0" fontId="53" fillId="0" borderId="0" xfId="2" applyFont="1" applyAlignment="1" applyProtection="1"/>
    <xf numFmtId="0" fontId="3" fillId="0" borderId="0" xfId="0" applyFont="1" applyFill="1" applyAlignment="1">
      <alignment horizontal="left" vertical="center" wrapText="1"/>
    </xf>
    <xf numFmtId="3" fontId="3" fillId="0" borderId="33" xfId="0" applyNumberFormat="1" applyFont="1" applyFill="1" applyBorder="1" applyAlignment="1">
      <alignment horizontal="center" vertical="center"/>
    </xf>
    <xf numFmtId="3" fontId="3" fillId="14" borderId="36" xfId="0" applyNumberFormat="1" applyFont="1" applyFill="1" applyBorder="1" applyAlignment="1" applyProtection="1">
      <alignment horizontal="center" vertical="center"/>
      <protection locked="0"/>
    </xf>
    <xf numFmtId="167" fontId="3" fillId="0" borderId="33" xfId="0" applyNumberFormat="1" applyFont="1" applyFill="1" applyBorder="1" applyAlignment="1">
      <alignment horizontal="center" vertical="center"/>
    </xf>
    <xf numFmtId="167" fontId="3" fillId="14" borderId="36" xfId="0" applyNumberFormat="1" applyFont="1" applyFill="1" applyBorder="1" applyAlignment="1" applyProtection="1">
      <alignment horizontal="center" vertical="center"/>
      <protection locked="0"/>
    </xf>
    <xf numFmtId="0" fontId="3" fillId="0" borderId="33" xfId="0" applyFont="1" applyFill="1" applyBorder="1" applyAlignment="1">
      <alignment horizontal="center" vertical="center"/>
    </xf>
    <xf numFmtId="0" fontId="3" fillId="0" borderId="0" xfId="0" applyFont="1" applyFill="1" applyAlignment="1">
      <alignment horizontal="center" vertical="center"/>
    </xf>
    <xf numFmtId="193" fontId="3" fillId="0" borderId="33" xfId="0" applyNumberFormat="1" applyFont="1" applyFill="1" applyBorder="1" applyAlignment="1">
      <alignment horizontal="center" vertical="center"/>
    </xf>
    <xf numFmtId="10" fontId="3" fillId="0" borderId="0" xfId="3" applyNumberFormat="1" applyFont="1" applyFill="1" applyBorder="1" applyAlignment="1" applyProtection="1">
      <alignment horizontal="center" vertical="center"/>
    </xf>
    <xf numFmtId="9" fontId="3" fillId="0" borderId="0" xfId="3" applyFont="1" applyFill="1" applyBorder="1" applyAlignment="1" applyProtection="1">
      <alignment horizontal="center" vertical="center"/>
    </xf>
    <xf numFmtId="193" fontId="3" fillId="14" borderId="36" xfId="0" applyNumberFormat="1" applyFont="1" applyFill="1" applyBorder="1" applyAlignment="1">
      <alignment horizontal="center" vertical="center"/>
    </xf>
    <xf numFmtId="179" fontId="3" fillId="0" borderId="33" xfId="0" applyNumberFormat="1" applyFont="1" applyFill="1" applyBorder="1" applyAlignment="1">
      <alignment horizontal="center" vertical="center"/>
    </xf>
    <xf numFmtId="179" fontId="3" fillId="14" borderId="36" xfId="0" applyNumberFormat="1" applyFont="1" applyFill="1" applyBorder="1" applyAlignment="1">
      <alignment horizontal="center" vertical="center"/>
    </xf>
    <xf numFmtId="174" fontId="3" fillId="0" borderId="39" xfId="3" applyNumberFormat="1" applyFont="1" applyFill="1" applyBorder="1" applyAlignment="1">
      <alignment horizontal="center" vertical="center"/>
    </xf>
    <xf numFmtId="174" fontId="3" fillId="14" borderId="40" xfId="3" applyNumberFormat="1" applyFont="1" applyFill="1" applyBorder="1" applyAlignment="1" applyProtection="1">
      <alignment horizontal="center" vertical="center"/>
      <protection locked="0"/>
    </xf>
    <xf numFmtId="193" fontId="3" fillId="0" borderId="0" xfId="0" applyNumberFormat="1" applyFont="1" applyFill="1" applyAlignment="1">
      <alignment horizontal="center"/>
    </xf>
    <xf numFmtId="0" fontId="3" fillId="0" borderId="0" xfId="0" applyFont="1" applyAlignment="1">
      <alignment vertical="center"/>
    </xf>
    <xf numFmtId="0" fontId="3" fillId="8" borderId="0" xfId="0" applyFont="1" applyFill="1" applyAlignment="1">
      <alignment vertical="center"/>
    </xf>
    <xf numFmtId="0" fontId="3" fillId="8" borderId="33" xfId="0" applyFont="1" applyFill="1" applyBorder="1" applyAlignment="1">
      <alignment vertical="center"/>
    </xf>
    <xf numFmtId="0" fontId="3" fillId="8" borderId="36" xfId="0" applyFont="1" applyFill="1" applyBorder="1" applyAlignment="1">
      <alignment vertical="center"/>
    </xf>
    <xf numFmtId="168" fontId="3" fillId="0" borderId="33" xfId="0" applyNumberFormat="1" applyFont="1" applyFill="1" applyBorder="1" applyAlignment="1">
      <alignment horizontal="center" vertical="center"/>
    </xf>
    <xf numFmtId="168" fontId="3" fillId="0" borderId="36" xfId="0" applyNumberFormat="1" applyFont="1" applyFill="1" applyBorder="1" applyAlignment="1">
      <alignment horizontal="center" vertical="center"/>
    </xf>
    <xf numFmtId="0" fontId="3" fillId="0" borderId="0" xfId="0" applyFont="1" applyAlignment="1">
      <alignment horizontal="left" vertical="center"/>
    </xf>
    <xf numFmtId="49" fontId="3" fillId="8" borderId="0" xfId="0" applyNumberFormat="1" applyFont="1" applyFill="1" applyAlignment="1">
      <alignment horizontal="left" vertical="center" wrapText="1"/>
    </xf>
    <xf numFmtId="183" fontId="3" fillId="0" borderId="36" xfId="0" applyNumberFormat="1" applyFont="1" applyFill="1" applyBorder="1" applyAlignment="1">
      <alignment horizontal="center" vertical="center"/>
    </xf>
    <xf numFmtId="0" fontId="3" fillId="0" borderId="33" xfId="0" applyFont="1" applyBorder="1" applyAlignment="1">
      <alignment horizontal="center" vertical="center"/>
    </xf>
    <xf numFmtId="174" fontId="3" fillId="0" borderId="0" xfId="0" applyNumberFormat="1" applyFont="1" applyFill="1" applyAlignment="1">
      <alignment vertical="center"/>
    </xf>
    <xf numFmtId="49" fontId="3" fillId="0" borderId="0" xfId="0" applyNumberFormat="1" applyFont="1" applyFill="1" applyAlignment="1">
      <alignment horizontal="right" vertical="center" wrapText="1"/>
    </xf>
    <xf numFmtId="168" fontId="3" fillId="0" borderId="39" xfId="0" applyNumberFormat="1" applyFont="1" applyFill="1" applyBorder="1" applyAlignment="1">
      <alignment horizontal="center" vertical="center"/>
    </xf>
    <xf numFmtId="168" fontId="3" fillId="0" borderId="40" xfId="0" applyNumberFormat="1" applyFont="1" applyFill="1" applyBorder="1" applyAlignment="1">
      <alignment horizontal="center" vertical="center"/>
    </xf>
    <xf numFmtId="168" fontId="3" fillId="0" borderId="0" xfId="0" applyNumberFormat="1" applyFont="1" applyFill="1" applyAlignment="1">
      <alignment horizontal="center" vertical="center"/>
    </xf>
    <xf numFmtId="0" fontId="14" fillId="7"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4" fillId="13" borderId="0" xfId="0" applyNumberFormat="1" applyFont="1" applyFill="1" applyBorder="1" applyAlignment="1">
      <alignment horizontal="center" vertical="center"/>
    </xf>
    <xf numFmtId="193" fontId="12" fillId="8" borderId="38" xfId="0" applyNumberFormat="1" applyFont="1" applyFill="1" applyBorder="1" applyAlignment="1">
      <alignment horizontal="center" vertical="center"/>
    </xf>
    <xf numFmtId="193" fontId="12" fillId="8" borderId="37" xfId="0" applyNumberFormat="1" applyFont="1" applyFill="1" applyBorder="1" applyAlignment="1">
      <alignment horizontal="center" vertical="center"/>
    </xf>
    <xf numFmtId="0" fontId="3" fillId="0" borderId="0" xfId="0" applyFont="1" applyFill="1" applyAlignment="1">
      <alignment horizontal="right" vertical="center"/>
    </xf>
    <xf numFmtId="197" fontId="3" fillId="0" borderId="33" xfId="0" applyNumberFormat="1" applyFont="1" applyFill="1" applyBorder="1" applyAlignment="1">
      <alignment horizontal="center" vertical="center"/>
    </xf>
    <xf numFmtId="197" fontId="3" fillId="0" borderId="36" xfId="0" applyNumberFormat="1" applyFont="1" applyFill="1" applyBorder="1" applyAlignment="1">
      <alignment horizontal="center" vertical="center"/>
    </xf>
    <xf numFmtId="49" fontId="26" fillId="0" borderId="0" xfId="0" applyNumberFormat="1" applyFont="1" applyFill="1" applyAlignment="1">
      <alignment vertical="center" wrapText="1"/>
    </xf>
    <xf numFmtId="193" fontId="12" fillId="0" borderId="33" xfId="0" applyNumberFormat="1" applyFont="1" applyFill="1" applyBorder="1" applyAlignment="1">
      <alignment horizontal="center" vertical="center"/>
    </xf>
    <xf numFmtId="193" fontId="12" fillId="0" borderId="36" xfId="0" applyNumberFormat="1" applyFont="1" applyFill="1" applyBorder="1" applyAlignment="1">
      <alignment horizontal="center" vertical="center"/>
    </xf>
    <xf numFmtId="0" fontId="58" fillId="0" borderId="0" xfId="0" applyFont="1" applyFill="1" applyAlignment="1">
      <alignment vertical="center"/>
    </xf>
    <xf numFmtId="0" fontId="3" fillId="0" borderId="0" xfId="0" applyFont="1" applyFill="1" applyBorder="1" applyAlignment="1">
      <alignment vertical="center" wrapText="1"/>
    </xf>
    <xf numFmtId="182" fontId="12" fillId="8" borderId="33" xfId="0" applyNumberFormat="1" applyFont="1" applyFill="1" applyBorder="1" applyAlignment="1">
      <alignment horizontal="center" vertical="center"/>
    </xf>
    <xf numFmtId="182" fontId="12" fillId="8" borderId="36" xfId="0" applyNumberFormat="1" applyFont="1" applyFill="1" applyBorder="1" applyAlignment="1">
      <alignment horizontal="center" vertical="center"/>
    </xf>
    <xf numFmtId="193" fontId="3" fillId="0" borderId="33" xfId="3" applyNumberFormat="1" applyFont="1" applyFill="1" applyBorder="1" applyAlignment="1">
      <alignment horizontal="center" vertical="center"/>
    </xf>
    <xf numFmtId="193" fontId="3" fillId="0" borderId="36" xfId="3" applyNumberFormat="1" applyFont="1" applyFill="1" applyBorder="1" applyAlignment="1">
      <alignment horizontal="center" vertical="center"/>
    </xf>
    <xf numFmtId="0" fontId="3" fillId="0" borderId="0" xfId="0" applyFont="1" applyAlignment="1">
      <alignment horizontal="right" vertical="center"/>
    </xf>
    <xf numFmtId="190" fontId="3" fillId="0" borderId="33" xfId="0" applyNumberFormat="1" applyFont="1" applyFill="1" applyBorder="1" applyAlignment="1">
      <alignment horizontal="center" vertical="center"/>
    </xf>
    <xf numFmtId="190" fontId="3" fillId="0" borderId="36" xfId="0" applyNumberFormat="1" applyFont="1" applyFill="1" applyBorder="1" applyAlignment="1">
      <alignment horizontal="center" vertical="center"/>
    </xf>
    <xf numFmtId="0" fontId="3" fillId="0" borderId="0" xfId="0" applyFont="1" applyBorder="1" applyAlignment="1">
      <alignment vertical="center"/>
    </xf>
    <xf numFmtId="0" fontId="58" fillId="0" borderId="0" xfId="0" applyFont="1" applyFill="1" applyBorder="1" applyAlignment="1">
      <alignment vertical="center"/>
    </xf>
    <xf numFmtId="0" fontId="3" fillId="0" borderId="0" xfId="0" applyFont="1" applyFill="1" applyBorder="1" applyAlignment="1">
      <alignment horizontal="left" vertical="center" wrapText="1"/>
    </xf>
    <xf numFmtId="9" fontId="3" fillId="0" borderId="33" xfId="0" applyNumberFormat="1" applyFont="1" applyFill="1" applyBorder="1" applyAlignment="1">
      <alignment horizontal="center" vertical="center"/>
    </xf>
    <xf numFmtId="9" fontId="3" fillId="0" borderId="36" xfId="0" applyNumberFormat="1" applyFont="1" applyFill="1" applyBorder="1" applyAlignment="1">
      <alignment horizontal="center" vertical="center"/>
    </xf>
    <xf numFmtId="215" fontId="12" fillId="8" borderId="33" xfId="0" applyNumberFormat="1" applyFont="1" applyFill="1" applyBorder="1" applyAlignment="1">
      <alignment horizontal="center" vertical="center"/>
    </xf>
    <xf numFmtId="215" fontId="12" fillId="8" borderId="36" xfId="0" applyNumberFormat="1" applyFont="1" applyFill="1" applyBorder="1" applyAlignment="1">
      <alignment horizontal="center" vertical="center"/>
    </xf>
    <xf numFmtId="0" fontId="3" fillId="0" borderId="0" xfId="0" applyFont="1" applyBorder="1" applyAlignment="1">
      <alignment horizontal="right" vertical="center"/>
    </xf>
    <xf numFmtId="195" fontId="3" fillId="0" borderId="33" xfId="0" applyNumberFormat="1" applyFont="1" applyFill="1" applyBorder="1" applyAlignment="1">
      <alignment horizontal="center" vertical="center"/>
    </xf>
    <xf numFmtId="195" fontId="3" fillId="0" borderId="36" xfId="0" applyNumberFormat="1" applyFont="1" applyFill="1" applyBorder="1" applyAlignment="1">
      <alignment horizontal="center" vertical="center"/>
    </xf>
    <xf numFmtId="223" fontId="12" fillId="8" borderId="39" xfId="0" applyNumberFormat="1" applyFont="1" applyFill="1" applyBorder="1" applyAlignment="1">
      <alignment horizontal="center" vertical="center"/>
    </xf>
    <xf numFmtId="223" fontId="12" fillId="8" borderId="40" xfId="0" applyNumberFormat="1" applyFont="1" applyFill="1" applyBorder="1" applyAlignment="1">
      <alignment horizontal="center" vertical="center"/>
    </xf>
    <xf numFmtId="9" fontId="3" fillId="0" borderId="33" xfId="3" applyFont="1" applyFill="1" applyBorder="1" applyAlignment="1">
      <alignment horizontal="center" vertical="center"/>
    </xf>
    <xf numFmtId="9" fontId="3" fillId="0" borderId="36" xfId="3" applyFont="1" applyFill="1" applyBorder="1" applyAlignment="1">
      <alignment horizontal="center" vertical="center"/>
    </xf>
    <xf numFmtId="195" fontId="3" fillId="0" borderId="39" xfId="0" applyNumberFormat="1" applyFont="1" applyFill="1" applyBorder="1" applyAlignment="1">
      <alignment horizontal="center" vertical="center"/>
    </xf>
    <xf numFmtId="195" fontId="3" fillId="0" borderId="40" xfId="0" applyNumberFormat="1" applyFont="1" applyFill="1" applyBorder="1" applyAlignment="1">
      <alignment horizontal="center" vertical="center"/>
    </xf>
    <xf numFmtId="168" fontId="3" fillId="14" borderId="0" xfId="3" applyNumberFormat="1" applyFont="1" applyFill="1"/>
    <xf numFmtId="168" fontId="3" fillId="0" borderId="0" xfId="3" applyNumberFormat="1" applyFont="1" applyFill="1"/>
    <xf numFmtId="193" fontId="3" fillId="0" borderId="38" xfId="0" applyNumberFormat="1" applyFont="1" applyFill="1" applyBorder="1" applyAlignment="1">
      <alignment horizontal="center" vertical="center" wrapText="1"/>
    </xf>
    <xf numFmtId="9" fontId="3" fillId="0" borderId="0" xfId="3" applyFont="1" applyFill="1" applyBorder="1" applyAlignment="1" applyProtection="1">
      <alignment horizontal="center" vertical="center" wrapText="1"/>
    </xf>
    <xf numFmtId="193" fontId="3" fillId="0" borderId="37" xfId="0" applyNumberFormat="1" applyFont="1" applyFill="1" applyBorder="1" applyAlignment="1">
      <alignment horizontal="center" vertical="center" wrapText="1"/>
    </xf>
    <xf numFmtId="193" fontId="3" fillId="0" borderId="33" xfId="0" applyNumberFormat="1" applyFont="1" applyFill="1" applyBorder="1" applyAlignment="1">
      <alignment horizontal="center" vertical="center" wrapText="1"/>
    </xf>
    <xf numFmtId="193" fontId="3" fillId="0" borderId="36" xfId="0" applyNumberFormat="1" applyFont="1" applyFill="1" applyBorder="1" applyAlignment="1">
      <alignment horizontal="center" vertical="center" wrapText="1"/>
    </xf>
    <xf numFmtId="0" fontId="3" fillId="0" borderId="4" xfId="0" applyFont="1" applyFill="1" applyBorder="1" applyAlignment="1">
      <alignment vertical="center"/>
    </xf>
    <xf numFmtId="9" fontId="3" fillId="0" borderId="4" xfId="3" applyFont="1" applyFill="1" applyBorder="1" applyAlignment="1" applyProtection="1">
      <alignment horizontal="center" vertical="center" wrapText="1"/>
    </xf>
    <xf numFmtId="9" fontId="3" fillId="0" borderId="36" xfId="0" applyNumberFormat="1" applyFont="1" applyFill="1" applyBorder="1" applyAlignment="1">
      <alignment horizontal="center"/>
    </xf>
    <xf numFmtId="9" fontId="3" fillId="0" borderId="39" xfId="0" applyNumberFormat="1" applyFont="1" applyFill="1" applyBorder="1" applyAlignment="1">
      <alignment horizontal="center"/>
    </xf>
    <xf numFmtId="9" fontId="3" fillId="0" borderId="40" xfId="0" applyNumberFormat="1" applyFont="1" applyFill="1" applyBorder="1" applyAlignment="1">
      <alignment horizontal="center"/>
    </xf>
    <xf numFmtId="0" fontId="3" fillId="0" borderId="33" xfId="0" applyFont="1" applyBorder="1"/>
    <xf numFmtId="0" fontId="3" fillId="0" borderId="36" xfId="0" applyFont="1" applyBorder="1"/>
    <xf numFmtId="9" fontId="3" fillId="0" borderId="33" xfId="0" applyNumberFormat="1" applyFont="1" applyBorder="1" applyAlignment="1">
      <alignment horizontal="center"/>
    </xf>
    <xf numFmtId="9" fontId="3" fillId="0" borderId="36" xfId="0" applyNumberFormat="1" applyFont="1" applyBorder="1" applyAlignment="1">
      <alignment horizontal="center"/>
    </xf>
    <xf numFmtId="9" fontId="3" fillId="0" borderId="39" xfId="0" applyNumberFormat="1" applyFont="1" applyBorder="1" applyAlignment="1">
      <alignment horizontal="center"/>
    </xf>
    <xf numFmtId="9" fontId="3" fillId="0" borderId="40" xfId="0" applyNumberFormat="1" applyFont="1" applyBorder="1" applyAlignment="1">
      <alignment horizontal="center"/>
    </xf>
    <xf numFmtId="49" fontId="3" fillId="0" borderId="0" xfId="0" applyNumberFormat="1" applyFont="1" applyFill="1" applyAlignment="1">
      <alignment vertical="center"/>
    </xf>
    <xf numFmtId="0" fontId="3" fillId="0" borderId="4" xfId="0" applyFont="1" applyBorder="1"/>
    <xf numFmtId="0" fontId="3" fillId="0" borderId="0" xfId="0" applyFont="1" applyAlignment="1">
      <alignment vertical="center" wrapText="1"/>
    </xf>
    <xf numFmtId="193" fontId="3" fillId="0" borderId="38" xfId="0" applyNumberFormat="1" applyFont="1" applyBorder="1" applyAlignment="1">
      <alignment horizontal="center" vertical="center"/>
    </xf>
    <xf numFmtId="174" fontId="3" fillId="0" borderId="0" xfId="3" applyNumberFormat="1" applyFont="1" applyFill="1" applyBorder="1" applyAlignment="1" applyProtection="1">
      <alignment horizontal="center" vertical="center" wrapText="1"/>
    </xf>
    <xf numFmtId="193" fontId="3" fillId="0" borderId="37" xfId="0" applyNumberFormat="1" applyFont="1" applyBorder="1" applyAlignment="1">
      <alignment horizontal="center" vertical="center"/>
    </xf>
    <xf numFmtId="0" fontId="3" fillId="0" borderId="4" xfId="0" applyFont="1" applyBorder="1" applyAlignment="1">
      <alignment vertical="center" wrapText="1"/>
    </xf>
    <xf numFmtId="193" fontId="3" fillId="0" borderId="33" xfId="0" applyNumberFormat="1" applyFont="1" applyBorder="1" applyAlignment="1">
      <alignment horizontal="center" vertical="center"/>
    </xf>
    <xf numFmtId="174" fontId="3" fillId="0" borderId="4" xfId="3" applyNumberFormat="1" applyFont="1" applyFill="1" applyBorder="1" applyAlignment="1" applyProtection="1">
      <alignment horizontal="center" vertical="center" wrapText="1"/>
    </xf>
    <xf numFmtId="193" fontId="3" fillId="0" borderId="36" xfId="0" applyNumberFormat="1" applyFont="1" applyBorder="1" applyAlignment="1">
      <alignment horizontal="center" vertical="center"/>
    </xf>
    <xf numFmtId="0" fontId="3" fillId="0" borderId="33" xfId="0" applyFont="1" applyBorder="1" applyAlignment="1">
      <alignment vertical="center"/>
    </xf>
    <xf numFmtId="0" fontId="3" fillId="0" borderId="36" xfId="0" applyFont="1" applyBorder="1" applyAlignment="1">
      <alignment vertical="center"/>
    </xf>
    <xf numFmtId="9" fontId="3" fillId="0" borderId="33" xfId="0" applyNumberFormat="1" applyFont="1" applyBorder="1" applyAlignment="1">
      <alignment horizontal="center" vertical="center"/>
    </xf>
    <xf numFmtId="9" fontId="3" fillId="0" borderId="36" xfId="0" applyNumberFormat="1" applyFont="1" applyBorder="1" applyAlignment="1">
      <alignment horizontal="center" vertical="center"/>
    </xf>
    <xf numFmtId="9" fontId="3" fillId="0" borderId="39" xfId="0" applyNumberFormat="1" applyFont="1" applyBorder="1" applyAlignment="1">
      <alignment horizontal="center" vertical="center"/>
    </xf>
    <xf numFmtId="9" fontId="3" fillId="0" borderId="40" xfId="0" applyNumberFormat="1" applyFont="1" applyBorder="1" applyAlignment="1">
      <alignment horizontal="center" vertical="center"/>
    </xf>
    <xf numFmtId="193" fontId="3" fillId="0" borderId="38" xfId="0" applyNumberFormat="1" applyFont="1" applyBorder="1" applyAlignment="1">
      <alignment horizontal="center"/>
    </xf>
    <xf numFmtId="193" fontId="3" fillId="0" borderId="0" xfId="0" applyNumberFormat="1" applyFont="1" applyAlignment="1">
      <alignment horizontal="center"/>
    </xf>
    <xf numFmtId="193" fontId="3" fillId="0" borderId="33" xfId="0" applyNumberFormat="1" applyFont="1" applyBorder="1" applyAlignment="1">
      <alignment horizontal="center"/>
    </xf>
    <xf numFmtId="193" fontId="3" fillId="0" borderId="0" xfId="0" applyNumberFormat="1" applyFont="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right"/>
    </xf>
    <xf numFmtId="222" fontId="3" fillId="0" borderId="33" xfId="0" applyNumberFormat="1" applyFont="1" applyBorder="1" applyAlignment="1">
      <alignment horizontal="center"/>
    </xf>
    <xf numFmtId="0" fontId="3" fillId="0" borderId="9" xfId="0" applyFont="1" applyBorder="1"/>
    <xf numFmtId="1" fontId="3" fillId="0" borderId="33" xfId="0" applyNumberFormat="1" applyFont="1" applyBorder="1" applyAlignment="1">
      <alignment horizontal="center"/>
    </xf>
    <xf numFmtId="0" fontId="3" fillId="0" borderId="33" xfId="0" applyNumberFormat="1" applyFont="1" applyBorder="1" applyAlignment="1">
      <alignment horizontal="center"/>
    </xf>
    <xf numFmtId="0" fontId="3" fillId="0" borderId="10" xfId="0" applyFont="1" applyBorder="1" applyAlignment="1">
      <alignment vertical="center" wrapText="1"/>
    </xf>
    <xf numFmtId="1" fontId="3" fillId="0" borderId="39" xfId="0" applyNumberFormat="1" applyFont="1" applyBorder="1" applyAlignment="1">
      <alignment horizontal="center"/>
    </xf>
    <xf numFmtId="193" fontId="3" fillId="0" borderId="37" xfId="0" applyNumberFormat="1" applyFont="1" applyBorder="1" applyAlignment="1">
      <alignment horizontal="center"/>
    </xf>
    <xf numFmtId="193" fontId="3" fillId="0" borderId="36" xfId="0" applyNumberFormat="1" applyFont="1" applyBorder="1" applyAlignment="1">
      <alignment horizontal="center"/>
    </xf>
    <xf numFmtId="193" fontId="3" fillId="0" borderId="34" xfId="0" applyNumberFormat="1" applyFont="1" applyBorder="1" applyAlignment="1">
      <alignment horizontal="center"/>
    </xf>
    <xf numFmtId="193" fontId="3" fillId="0" borderId="42" xfId="0" applyNumberFormat="1" applyFont="1" applyBorder="1" applyAlignment="1">
      <alignment horizontal="center"/>
    </xf>
    <xf numFmtId="0" fontId="3" fillId="0" borderId="35" xfId="0" applyFont="1" applyBorder="1"/>
    <xf numFmtId="9" fontId="3" fillId="0" borderId="35" xfId="0" applyNumberFormat="1" applyFont="1" applyBorder="1" applyAlignment="1">
      <alignment horizontal="center"/>
    </xf>
    <xf numFmtId="9" fontId="3" fillId="0" borderId="41" xfId="0" applyNumberFormat="1" applyFont="1" applyBorder="1" applyAlignment="1">
      <alignment horizontal="center"/>
    </xf>
    <xf numFmtId="222" fontId="3" fillId="0" borderId="36" xfId="0" applyNumberFormat="1" applyFont="1" applyBorder="1" applyAlignment="1">
      <alignment horizontal="center"/>
    </xf>
    <xf numFmtId="1" fontId="3" fillId="0" borderId="36" xfId="0" applyNumberFormat="1" applyFont="1" applyBorder="1" applyAlignment="1">
      <alignment horizontal="center"/>
    </xf>
    <xf numFmtId="0" fontId="3" fillId="0" borderId="36" xfId="0" applyFont="1" applyBorder="1" applyAlignment="1">
      <alignment horizontal="center"/>
    </xf>
    <xf numFmtId="0" fontId="3" fillId="0" borderId="36" xfId="0" applyNumberFormat="1" applyFont="1" applyBorder="1" applyAlignment="1">
      <alignment horizontal="center"/>
    </xf>
    <xf numFmtId="0" fontId="3" fillId="0" borderId="43" xfId="0" applyFont="1" applyBorder="1" applyAlignment="1">
      <alignment horizontal="center"/>
    </xf>
    <xf numFmtId="1" fontId="12" fillId="0" borderId="36" xfId="0" applyNumberFormat="1" applyFont="1" applyBorder="1" applyAlignment="1">
      <alignment horizontal="center"/>
    </xf>
    <xf numFmtId="1" fontId="3" fillId="0" borderId="40" xfId="0" applyNumberFormat="1" applyFont="1" applyBorder="1" applyAlignment="1">
      <alignment horizontal="center"/>
    </xf>
    <xf numFmtId="0" fontId="12" fillId="8" borderId="32" xfId="0" applyFont="1" applyFill="1" applyBorder="1"/>
    <xf numFmtId="0" fontId="3" fillId="0" borderId="44" xfId="0" applyFont="1" applyBorder="1"/>
    <xf numFmtId="0" fontId="3" fillId="0" borderId="15" xfId="0" applyFont="1" applyBorder="1"/>
    <xf numFmtId="0" fontId="3" fillId="0" borderId="45" xfId="0" applyFont="1" applyBorder="1"/>
    <xf numFmtId="178" fontId="58" fillId="14" borderId="0" xfId="0" applyNumberFormat="1" applyFont="1" applyFill="1" applyAlignment="1">
      <alignment horizontal="center"/>
    </xf>
    <xf numFmtId="178" fontId="58" fillId="12" borderId="0" xfId="0" applyNumberFormat="1" applyFont="1" applyFill="1" applyAlignment="1">
      <alignment horizontal="center"/>
    </xf>
    <xf numFmtId="183" fontId="0" fillId="0" borderId="0" xfId="0" applyNumberFormat="1" applyFill="1" applyAlignment="1">
      <alignment horizontal="center"/>
    </xf>
    <xf numFmtId="4" fontId="89" fillId="0" borderId="0" xfId="0" applyNumberFormat="1" applyFont="1" applyFill="1" applyAlignment="1">
      <alignment horizontal="center"/>
    </xf>
    <xf numFmtId="4" fontId="0" fillId="17" borderId="0" xfId="0" applyNumberFormat="1" applyFill="1" applyAlignment="1">
      <alignment horizontal="center"/>
    </xf>
    <xf numFmtId="4" fontId="3" fillId="0" borderId="0" xfId="0" applyNumberFormat="1" applyFont="1" applyFill="1" applyBorder="1" applyAlignment="1">
      <alignment horizontal="center"/>
    </xf>
    <xf numFmtId="0" fontId="23" fillId="18" borderId="0" xfId="0" applyFont="1" applyFill="1" applyBorder="1" applyAlignment="1">
      <alignment horizontal="left" vertical="center"/>
    </xf>
    <xf numFmtId="0" fontId="61" fillId="18" borderId="0" xfId="0" applyFont="1" applyFill="1" applyBorder="1"/>
    <xf numFmtId="0" fontId="0" fillId="18" borderId="0" xfId="0" applyFill="1"/>
    <xf numFmtId="0" fontId="82" fillId="18" borderId="0" xfId="0" applyFont="1" applyFill="1"/>
    <xf numFmtId="0" fontId="33" fillId="18" borderId="0" xfId="0" applyFont="1" applyFill="1" applyBorder="1" applyAlignment="1">
      <alignment horizontal="center" vertical="center"/>
    </xf>
    <xf numFmtId="0" fontId="68" fillId="18" borderId="0" xfId="0" applyFont="1" applyFill="1"/>
    <xf numFmtId="176" fontId="41" fillId="18" borderId="0" xfId="0" applyNumberFormat="1" applyFont="1" applyFill="1" applyAlignment="1">
      <alignment horizontal="left"/>
    </xf>
    <xf numFmtId="0" fontId="23" fillId="18" borderId="0" xfId="0" applyFont="1" applyFill="1"/>
    <xf numFmtId="0" fontId="44" fillId="18" borderId="0" xfId="0" applyFont="1" applyFill="1" applyAlignment="1">
      <alignment horizontal="right"/>
    </xf>
    <xf numFmtId="0" fontId="44" fillId="18" borderId="0" xfId="0" applyFont="1" applyFill="1"/>
    <xf numFmtId="0" fontId="33" fillId="18" borderId="0" xfId="0" applyFont="1" applyFill="1" applyBorder="1" applyAlignment="1">
      <alignment horizontal="center"/>
    </xf>
    <xf numFmtId="0" fontId="41" fillId="18" borderId="0" xfId="0" applyFont="1" applyFill="1" applyAlignment="1"/>
    <xf numFmtId="0" fontId="40" fillId="18" borderId="0" xfId="0" applyFont="1" applyFill="1" applyAlignment="1">
      <alignment horizontal="left"/>
    </xf>
    <xf numFmtId="0" fontId="0" fillId="18" borderId="0" xfId="0" applyFill="1" applyBorder="1" applyAlignment="1">
      <alignment horizontal="center"/>
    </xf>
    <xf numFmtId="221" fontId="58" fillId="14" borderId="0" xfId="0" applyNumberFormat="1" applyFont="1" applyFill="1" applyAlignment="1">
      <alignment horizontal="center"/>
    </xf>
    <xf numFmtId="221" fontId="58" fillId="3" borderId="0" xfId="0" applyNumberFormat="1" applyFont="1" applyFill="1" applyAlignment="1">
      <alignment horizontal="center"/>
    </xf>
    <xf numFmtId="197" fontId="0" fillId="0" borderId="0" xfId="0" applyNumberFormat="1" applyFill="1" applyAlignment="1">
      <alignment horizontal="center"/>
    </xf>
    <xf numFmtId="0" fontId="91" fillId="0" borderId="0" xfId="0" applyFont="1" applyFill="1"/>
    <xf numFmtId="0" fontId="24" fillId="0" borderId="0" xfId="4" applyFont="1" applyFill="1" applyAlignment="1">
      <alignment horizontal="left"/>
    </xf>
    <xf numFmtId="0" fontId="0" fillId="0" borderId="0" xfId="0" applyFont="1" applyFill="1"/>
    <xf numFmtId="0" fontId="58" fillId="0" borderId="0" xfId="2" applyFont="1" applyFill="1" applyAlignment="1" applyProtection="1">
      <alignment horizontal="left"/>
    </xf>
    <xf numFmtId="0" fontId="58" fillId="0" borderId="0" xfId="2" applyFont="1" applyFill="1" applyBorder="1" applyAlignment="1" applyProtection="1">
      <alignment horizontal="left"/>
    </xf>
    <xf numFmtId="0" fontId="58" fillId="0" borderId="0" xfId="4" applyFont="1" applyFill="1" applyAlignment="1">
      <alignment horizontal="left"/>
    </xf>
    <xf numFmtId="0" fontId="0" fillId="0" borderId="0" xfId="0" applyNumberFormat="1" applyFont="1" applyFill="1"/>
    <xf numFmtId="0" fontId="87" fillId="0" borderId="0" xfId="4" applyFont="1" applyFill="1" applyAlignment="1">
      <alignment horizontal="left"/>
    </xf>
    <xf numFmtId="0" fontId="3" fillId="0" borderId="0" xfId="0" applyFont="1" applyFill="1" applyAlignment="1">
      <alignment horizontal="left"/>
    </xf>
    <xf numFmtId="0" fontId="3" fillId="0" borderId="0" xfId="0" applyNumberFormat="1" applyFont="1" applyFill="1" applyAlignment="1">
      <alignment horizontal="left"/>
    </xf>
    <xf numFmtId="0" fontId="87" fillId="0" borderId="0" xfId="4" applyNumberFormat="1" applyFont="1" applyFill="1" applyAlignment="1">
      <alignment horizontal="left"/>
    </xf>
    <xf numFmtId="0" fontId="86" fillId="0" borderId="0" xfId="2" applyFont="1" applyFill="1" applyAlignment="1" applyProtection="1">
      <alignment horizontal="left"/>
    </xf>
    <xf numFmtId="0" fontId="58" fillId="0" borderId="0" xfId="2" applyFont="1" applyFill="1" applyAlignment="1" applyProtection="1"/>
    <xf numFmtId="0" fontId="3" fillId="0" borderId="0" xfId="2" applyFont="1" applyFill="1" applyAlignment="1" applyProtection="1">
      <alignment horizontal="left"/>
    </xf>
    <xf numFmtId="0" fontId="0" fillId="0" borderId="0" xfId="0" applyFont="1" applyFill="1" applyAlignment="1">
      <alignment vertical="center"/>
    </xf>
    <xf numFmtId="10" fontId="0" fillId="0" borderId="0" xfId="0" applyNumberFormat="1" applyFont="1" applyFill="1"/>
    <xf numFmtId="0" fontId="3" fillId="0" borderId="0" xfId="2" applyFont="1" applyFill="1" applyAlignment="1" applyProtection="1"/>
    <xf numFmtId="0" fontId="58" fillId="0" borderId="0" xfId="0" applyFont="1" applyFill="1" applyBorder="1" applyAlignment="1">
      <alignment horizontal="left"/>
    </xf>
    <xf numFmtId="0" fontId="3" fillId="0" borderId="0" xfId="4" applyFont="1" applyFill="1" applyAlignment="1">
      <alignment horizontal="left"/>
    </xf>
    <xf numFmtId="0" fontId="3" fillId="0" borderId="0" xfId="0" applyFont="1" applyFill="1" applyBorder="1" applyAlignment="1">
      <alignment horizontal="left" vertical="center"/>
    </xf>
    <xf numFmtId="0" fontId="0" fillId="0" borderId="0" xfId="0" quotePrefix="1" applyFill="1"/>
    <xf numFmtId="227" fontId="0" fillId="0" borderId="0" xfId="0" applyNumberFormat="1" applyFill="1" applyBorder="1" applyAlignment="1">
      <alignment horizontal="center"/>
    </xf>
    <xf numFmtId="227" fontId="0" fillId="0" borderId="0" xfId="0" applyNumberFormat="1" applyFill="1" applyBorder="1" applyAlignment="1">
      <alignment horizontal="left"/>
    </xf>
    <xf numFmtId="227" fontId="92" fillId="0" borderId="0" xfId="0" applyNumberFormat="1" applyFont="1" applyFill="1" applyBorder="1" applyAlignment="1"/>
    <xf numFmtId="0" fontId="13" fillId="0" borderId="0" xfId="0" applyFont="1" applyFill="1" applyBorder="1" applyAlignment="1">
      <alignment horizontal="right"/>
    </xf>
    <xf numFmtId="0" fontId="0" fillId="0" borderId="0" xfId="0" applyFill="1" applyBorder="1" applyProtection="1">
      <protection locked="0"/>
    </xf>
    <xf numFmtId="0" fontId="12" fillId="14" borderId="36" xfId="0" applyFont="1" applyFill="1" applyBorder="1" applyAlignment="1">
      <alignment horizontal="center" vertical="center"/>
    </xf>
    <xf numFmtId="226" fontId="0" fillId="0" borderId="0" xfId="0" applyNumberFormat="1" applyFont="1" applyFill="1"/>
    <xf numFmtId="0" fontId="86" fillId="0" borderId="0" xfId="2" applyFont="1" applyFill="1" applyAlignment="1" applyProtection="1"/>
    <xf numFmtId="2" fontId="0" fillId="0" borderId="0" xfId="0" applyNumberFormat="1" applyFont="1" applyFill="1"/>
    <xf numFmtId="0" fontId="12" fillId="0" borderId="20" xfId="0" applyFont="1" applyBorder="1"/>
    <xf numFmtId="0" fontId="0" fillId="0" borderId="20" xfId="0" applyBorder="1"/>
    <xf numFmtId="0" fontId="3" fillId="12" borderId="0" xfId="0" applyFont="1" applyFill="1"/>
    <xf numFmtId="0" fontId="3" fillId="19" borderId="0" xfId="0" applyFont="1" applyFill="1"/>
    <xf numFmtId="0" fontId="0" fillId="19" borderId="0" xfId="0" applyFill="1"/>
    <xf numFmtId="0" fontId="0" fillId="0" borderId="0" xfId="0" applyAlignment="1">
      <alignment horizontal="right"/>
    </xf>
    <xf numFmtId="0" fontId="0" fillId="0" borderId="0" xfId="0" applyFont="1" applyAlignment="1">
      <alignment vertical="center"/>
    </xf>
    <xf numFmtId="0" fontId="20" fillId="14" borderId="0" xfId="0" applyFont="1" applyFill="1" applyAlignment="1">
      <alignment horizontal="center" vertical="center"/>
    </xf>
    <xf numFmtId="0" fontId="13" fillId="0" borderId="1" xfId="0" applyFont="1" applyBorder="1" applyAlignment="1">
      <alignment horizontal="center"/>
    </xf>
    <xf numFmtId="168" fontId="21" fillId="3" borderId="0" xfId="0" applyNumberFormat="1" applyFont="1" applyFill="1" applyBorder="1" applyAlignment="1">
      <alignment horizontal="center"/>
    </xf>
    <xf numFmtId="9" fontId="64" fillId="10" borderId="26" xfId="0" applyNumberFormat="1" applyFont="1" applyFill="1" applyBorder="1" applyAlignment="1">
      <alignment horizontal="center"/>
    </xf>
    <xf numFmtId="9" fontId="3" fillId="0" borderId="5" xfId="3" applyFont="1" applyBorder="1" applyAlignment="1">
      <alignment horizontal="center"/>
    </xf>
    <xf numFmtId="9" fontId="3" fillId="0" borderId="5" xfId="3" applyFont="1" applyFill="1" applyBorder="1" applyAlignment="1">
      <alignment horizontal="center"/>
    </xf>
    <xf numFmtId="168" fontId="64" fillId="10" borderId="19" xfId="0" applyNumberFormat="1" applyFont="1" applyFill="1" applyBorder="1" applyAlignment="1">
      <alignment horizontal="center"/>
    </xf>
    <xf numFmtId="168" fontId="20" fillId="3" borderId="0" xfId="0" applyNumberFormat="1" applyFont="1" applyFill="1" applyBorder="1" applyAlignment="1">
      <alignment horizontal="center"/>
    </xf>
    <xf numFmtId="168" fontId="21" fillId="0" borderId="0" xfId="0" applyNumberFormat="1" applyFont="1" applyFill="1" applyBorder="1" applyAlignment="1">
      <alignment horizontal="center"/>
    </xf>
    <xf numFmtId="214" fontId="0" fillId="0" borderId="0" xfId="0" applyNumberFormat="1" applyFill="1" applyAlignment="1">
      <alignment horizontal="center" vertical="center"/>
    </xf>
    <xf numFmtId="167" fontId="0" fillId="0" borderId="0" xfId="0" applyNumberFormat="1" applyFill="1" applyAlignment="1">
      <alignment horizontal="center" vertical="center"/>
    </xf>
    <xf numFmtId="193" fontId="0" fillId="0" borderId="0" xfId="0" applyNumberFormat="1" applyBorder="1"/>
    <xf numFmtId="49" fontId="8" fillId="9" borderId="0" xfId="0" applyNumberFormat="1" applyFont="1" applyFill="1" applyAlignment="1">
      <alignment horizontal="left" vertical="center" wrapText="1"/>
    </xf>
    <xf numFmtId="0" fontId="4" fillId="0" borderId="0" xfId="0" applyFont="1" applyFill="1" applyBorder="1"/>
    <xf numFmtId="182" fontId="13" fillId="0" borderId="0" xfId="0" applyNumberFormat="1" applyFont="1" applyFill="1" applyBorder="1" applyAlignment="1">
      <alignment horizontal="center"/>
    </xf>
    <xf numFmtId="0" fontId="12" fillId="0" borderId="0" xfId="0" applyFont="1" applyFill="1" applyAlignment="1">
      <alignment wrapText="1"/>
    </xf>
    <xf numFmtId="0" fontId="3" fillId="0" borderId="0" xfId="0" applyFont="1" applyFill="1" applyAlignment="1"/>
    <xf numFmtId="0" fontId="3" fillId="20" borderId="0" xfId="0" applyFont="1" applyFill="1"/>
    <xf numFmtId="182" fontId="3" fillId="20" borderId="0" xfId="0" applyNumberFormat="1" applyFont="1" applyFill="1" applyBorder="1" applyAlignment="1">
      <alignment horizontal="center"/>
    </xf>
    <xf numFmtId="0" fontId="3" fillId="20" borderId="0" xfId="0" applyFont="1" applyFill="1" applyBorder="1" applyAlignment="1">
      <alignment horizontal="center"/>
    </xf>
    <xf numFmtId="0" fontId="96" fillId="18" borderId="0" xfId="0" applyFont="1" applyFill="1" applyBorder="1" applyAlignment="1">
      <alignment horizontal="center"/>
    </xf>
    <xf numFmtId="0" fontId="3" fillId="0" borderId="0" xfId="0" applyFont="1" applyBorder="1" applyAlignment="1">
      <alignment horizontal="left"/>
    </xf>
    <xf numFmtId="0" fontId="95" fillId="0" borderId="0" xfId="0" applyFont="1" applyFill="1" applyBorder="1"/>
    <xf numFmtId="0" fontId="97" fillId="0" borderId="0" xfId="0" applyFont="1" applyFill="1" applyBorder="1"/>
    <xf numFmtId="0" fontId="95" fillId="0" borderId="0" xfId="0" applyFont="1" applyFill="1" applyBorder="1" applyAlignment="1">
      <alignment horizontal="center"/>
    </xf>
    <xf numFmtId="0" fontId="96" fillId="0" borderId="0" xfId="0" applyFont="1" applyFill="1" applyBorder="1" applyAlignment="1">
      <alignment wrapText="1"/>
    </xf>
    <xf numFmtId="0" fontId="95" fillId="0" borderId="0" xfId="0" applyFont="1" applyFill="1" applyBorder="1" applyAlignment="1"/>
    <xf numFmtId="166" fontId="5" fillId="0" borderId="0" xfId="0" applyNumberFormat="1" applyFont="1" applyFill="1" applyBorder="1" applyAlignment="1">
      <alignment horizontal="center"/>
    </xf>
    <xf numFmtId="0" fontId="58" fillId="14" borderId="5" xfId="0" applyFont="1" applyFill="1" applyBorder="1"/>
    <xf numFmtId="9" fontId="3" fillId="14" borderId="0" xfId="0" applyNumberFormat="1" applyFont="1" applyFill="1" applyBorder="1" applyAlignment="1">
      <alignment horizontal="center"/>
    </xf>
    <xf numFmtId="9" fontId="3" fillId="12" borderId="0" xfId="0" applyNumberFormat="1" applyFont="1" applyFill="1" applyBorder="1" applyAlignment="1">
      <alignment horizontal="center"/>
    </xf>
    <xf numFmtId="175" fontId="0" fillId="0" borderId="0" xfId="0" applyNumberFormat="1" applyFill="1" applyAlignment="1">
      <alignment horizontal="center"/>
    </xf>
    <xf numFmtId="49" fontId="3" fillId="9" borderId="0" xfId="0" applyNumberFormat="1" applyFont="1" applyFill="1" applyAlignment="1">
      <alignment horizontal="left" vertical="center" wrapText="1"/>
    </xf>
    <xf numFmtId="0" fontId="3" fillId="21" borderId="0" xfId="0" applyFont="1" applyFill="1" applyBorder="1"/>
    <xf numFmtId="0" fontId="79" fillId="14" borderId="0" xfId="0" applyFont="1" applyFill="1" applyBorder="1" applyAlignment="1">
      <alignment horizontal="center" vertical="center" wrapText="1"/>
    </xf>
    <xf numFmtId="0" fontId="78" fillId="14" borderId="0" xfId="0" applyFont="1" applyFill="1" applyAlignment="1">
      <alignment horizontal="center" vertical="center" wrapText="1"/>
    </xf>
    <xf numFmtId="0" fontId="58" fillId="0" borderId="0" xfId="0" applyFont="1" applyFill="1" applyBorder="1" applyAlignment="1"/>
    <xf numFmtId="2" fontId="72" fillId="9" borderId="0" xfId="0" applyNumberFormat="1" applyFont="1" applyFill="1" applyAlignment="1">
      <alignment horizontal="center" vertical="center" wrapText="1"/>
    </xf>
    <xf numFmtId="0" fontId="72" fillId="9" borderId="0" xfId="0" applyFont="1" applyFill="1" applyBorder="1" applyAlignment="1">
      <alignment horizontal="center" vertical="center"/>
    </xf>
    <xf numFmtId="49" fontId="3" fillId="9" borderId="0" xfId="0" applyNumberFormat="1" applyFont="1" applyFill="1" applyAlignment="1">
      <alignment horizontal="left" vertical="center" wrapText="1"/>
    </xf>
    <xf numFmtId="0" fontId="3" fillId="0" borderId="0" xfId="0" applyFont="1" applyFill="1" applyBorder="1" applyAlignment="1"/>
    <xf numFmtId="0" fontId="58" fillId="9" borderId="0" xfId="0" applyFont="1" applyFill="1" applyBorder="1" applyAlignment="1">
      <alignment horizontal="left" vertical="center" wrapText="1"/>
    </xf>
    <xf numFmtId="0" fontId="32" fillId="16" borderId="0" xfId="0" applyFont="1" applyFill="1" applyBorder="1" applyAlignment="1"/>
    <xf numFmtId="0" fontId="4" fillId="16" borderId="0" xfId="0" applyFont="1" applyFill="1" applyAlignment="1"/>
    <xf numFmtId="0" fontId="23" fillId="16" borderId="0" xfId="0" applyFont="1" applyFill="1" applyAlignment="1">
      <alignment horizontal="left" vertical="center" wrapText="1"/>
    </xf>
    <xf numFmtId="0" fontId="5" fillId="16" borderId="0" xfId="0" applyFont="1" applyFill="1" applyAlignment="1">
      <alignment vertical="center" wrapText="1"/>
    </xf>
    <xf numFmtId="0" fontId="0" fillId="16" borderId="0" xfId="0" applyFill="1" applyAlignment="1"/>
    <xf numFmtId="0" fontId="24" fillId="0" borderId="0" xfId="0" applyFont="1" applyFill="1" applyAlignment="1">
      <alignment wrapText="1"/>
    </xf>
    <xf numFmtId="0" fontId="58" fillId="0" borderId="0" xfId="0" applyFont="1" applyAlignment="1"/>
    <xf numFmtId="0" fontId="12" fillId="10" borderId="0" xfId="0" applyFont="1" applyFill="1" applyAlignment="1">
      <alignment horizontal="right"/>
    </xf>
    <xf numFmtId="0" fontId="12" fillId="0" borderId="0" xfId="0" applyFont="1" applyAlignment="1">
      <alignment horizontal="right"/>
    </xf>
    <xf numFmtId="0" fontId="0" fillId="0" borderId="0" xfId="0" applyAlignment="1">
      <alignment horizontal="right"/>
    </xf>
    <xf numFmtId="0" fontId="58" fillId="0" borderId="0" xfId="0" applyFont="1" applyFill="1" applyAlignment="1">
      <alignment horizontal="right"/>
    </xf>
    <xf numFmtId="0" fontId="0" fillId="0" borderId="0" xfId="0" applyFill="1" applyAlignment="1">
      <alignment horizontal="right"/>
    </xf>
    <xf numFmtId="0" fontId="12" fillId="16" borderId="0" xfId="0" applyFont="1" applyFill="1" applyAlignment="1">
      <alignment horizontal="right"/>
    </xf>
    <xf numFmtId="0" fontId="0" fillId="16" borderId="0" xfId="0" applyFill="1" applyAlignment="1">
      <alignment horizontal="right"/>
    </xf>
    <xf numFmtId="0" fontId="12" fillId="16" borderId="0" xfId="0" applyFont="1" applyFill="1" applyAlignment="1">
      <alignment wrapText="1"/>
    </xf>
    <xf numFmtId="0" fontId="13" fillId="10" borderId="0" xfId="0" applyFont="1" applyFill="1" applyAlignment="1">
      <alignment horizontal="right"/>
    </xf>
    <xf numFmtId="49" fontId="12" fillId="0" borderId="0" xfId="0" applyNumberFormat="1" applyFont="1" applyAlignment="1">
      <alignment vertical="top" wrapText="1"/>
    </xf>
    <xf numFmtId="49" fontId="0" fillId="0" borderId="0" xfId="0" applyNumberFormat="1" applyAlignment="1">
      <alignment vertical="top" wrapText="1"/>
    </xf>
    <xf numFmtId="0" fontId="12" fillId="10" borderId="0" xfId="0" applyFont="1" applyFill="1" applyAlignment="1">
      <alignment horizontal="center" wrapText="1"/>
    </xf>
    <xf numFmtId="0" fontId="0" fillId="0" borderId="0" xfId="0" applyAlignment="1">
      <alignment horizontal="center" wrapText="1"/>
    </xf>
    <xf numFmtId="0" fontId="0" fillId="0" borderId="0" xfId="0" applyFill="1" applyBorder="1" applyAlignment="1">
      <alignment wrapText="1"/>
    </xf>
    <xf numFmtId="0" fontId="23" fillId="7" borderId="0" xfId="0" applyFont="1" applyFill="1" applyAlignment="1">
      <alignment horizontal="left" vertical="center" wrapText="1"/>
    </xf>
    <xf numFmtId="0" fontId="5" fillId="7" borderId="0" xfId="0" applyFont="1" applyFill="1" applyAlignment="1">
      <alignment vertical="center" wrapText="1"/>
    </xf>
    <xf numFmtId="0" fontId="58" fillId="9" borderId="0" xfId="0" applyFont="1" applyFill="1" applyAlignment="1">
      <alignment vertical="center" wrapText="1"/>
    </xf>
    <xf numFmtId="0" fontId="32" fillId="7" borderId="0" xfId="0" applyFont="1" applyFill="1" applyBorder="1" applyAlignment="1"/>
    <xf numFmtId="0" fontId="4" fillId="7" borderId="0" xfId="0" applyFont="1" applyFill="1" applyAlignment="1"/>
    <xf numFmtId="0" fontId="55" fillId="7" borderId="0" xfId="0" applyFont="1" applyFill="1" applyAlignment="1"/>
    <xf numFmtId="0" fontId="58" fillId="3" borderId="0" xfId="0" applyFont="1" applyFill="1" applyAlignment="1">
      <alignment horizontal="right"/>
    </xf>
    <xf numFmtId="0" fontId="0" fillId="3" borderId="0" xfId="0" applyFill="1" applyAlignment="1">
      <alignment horizontal="right"/>
    </xf>
    <xf numFmtId="0" fontId="0" fillId="0" borderId="0" xfId="0" applyAlignment="1"/>
  </cellXfs>
  <cellStyles count="5">
    <cellStyle name="Komma" xfId="1" builtinId="3"/>
    <cellStyle name="Link" xfId="2" builtinId="8"/>
    <cellStyle name="Prozent" xfId="3" builtinId="5"/>
    <cellStyle name="Standard" xfId="0" builtinId="0"/>
    <cellStyle name="Standard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attachedToolbars" Target="attachedToolbars.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e-CH" sz="1400" b="1" i="0" u="none" strike="noStrike" baseline="0">
                <a:solidFill>
                  <a:srgbClr val="000000"/>
                </a:solidFill>
                <a:latin typeface="Arial"/>
                <a:cs typeface="Arial"/>
              </a:rPr>
              <a:t>Cashflow-Kurve</a:t>
            </a:r>
          </a:p>
          <a:p>
            <a:pPr>
              <a:defRPr sz="800" b="0" i="0" u="none" strike="noStrike" baseline="0">
                <a:solidFill>
                  <a:srgbClr val="000000"/>
                </a:solidFill>
                <a:latin typeface="Arial"/>
                <a:ea typeface="Arial"/>
                <a:cs typeface="Arial"/>
              </a:defRPr>
            </a:pPr>
            <a:r>
              <a:rPr lang="de-CH" sz="1100" b="1" i="0" u="none" strike="noStrike" baseline="0">
                <a:solidFill>
                  <a:srgbClr val="000000"/>
                </a:solidFill>
                <a:latin typeface="Arial"/>
                <a:cs typeface="Arial"/>
              </a:rPr>
              <a:t>Geldflusskurve</a:t>
            </a:r>
          </a:p>
        </c:rich>
      </c:tx>
      <c:layout>
        <c:manualLayout>
          <c:xMode val="edge"/>
          <c:yMode val="edge"/>
          <c:x val="0.50460599909418802"/>
          <c:y val="4.5146772297634573E-3"/>
        </c:manualLayout>
      </c:layout>
      <c:overlay val="0"/>
      <c:spPr>
        <a:noFill/>
        <a:ln w="25400">
          <a:noFill/>
        </a:ln>
      </c:spPr>
    </c:title>
    <c:autoTitleDeleted val="0"/>
    <c:plotArea>
      <c:layout>
        <c:manualLayout>
          <c:layoutTarget val="inner"/>
          <c:xMode val="edge"/>
          <c:yMode val="edge"/>
          <c:x val="0.15174498348996698"/>
          <c:y val="9.172652883630189E-2"/>
          <c:w val="0.8046828457293278"/>
          <c:h val="0.71296471490047109"/>
        </c:manualLayout>
      </c:layout>
      <c:scatterChart>
        <c:scatterStyle val="lineMarker"/>
        <c:varyColors val="0"/>
        <c:ser>
          <c:idx val="0"/>
          <c:order val="0"/>
          <c:spPr>
            <a:ln w="38100">
              <a:solidFill>
                <a:srgbClr val="000080"/>
              </a:solidFill>
              <a:prstDash val="solid"/>
            </a:ln>
          </c:spPr>
          <c:marker>
            <c:symbol val="diamond"/>
            <c:size val="7"/>
            <c:spPr>
              <a:solidFill>
                <a:srgbClr val="000080"/>
              </a:solidFill>
              <a:ln>
                <a:solidFill>
                  <a:srgbClr val="000080"/>
                </a:solidFill>
                <a:prstDash val="solid"/>
              </a:ln>
            </c:spPr>
          </c:marker>
          <c:xVal>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Cashflow'!$C$26:$C$42</c:f>
              <c:numCache>
                <c:formatCode>\ #,##0\ "Fr."</c:formatCode>
                <c:ptCount val="17"/>
                <c:pt idx="0">
                  <c:v>-83750.049866666683</c:v>
                </c:pt>
                <c:pt idx="1">
                  <c:v>-93834.025315466686</c:v>
                </c:pt>
                <c:pt idx="2">
                  <c:v>-104192.09654330589</c:v>
                </c:pt>
                <c:pt idx="3">
                  <c:v>-168806.69325953699</c:v>
                </c:pt>
                <c:pt idx="4">
                  <c:v>-178160.17572014211</c:v>
                </c:pt>
                <c:pt idx="5">
                  <c:v>-177855.37436337298</c:v>
                </c:pt>
                <c:pt idx="6">
                  <c:v>-170033.2356743243</c:v>
                </c:pt>
                <c:pt idx="7">
                  <c:v>-155716.10006983578</c:v>
                </c:pt>
                <c:pt idx="8">
                  <c:v>-140811.11024490686</c:v>
                </c:pt>
                <c:pt idx="9">
                  <c:v>-125771.97551155357</c:v>
                </c:pt>
                <c:pt idx="10">
                  <c:v>-158683.5885656001</c:v>
                </c:pt>
                <c:pt idx="11">
                  <c:v>-146673.47183181572</c:v>
                </c:pt>
                <c:pt idx="12">
                  <c:v>-134555.26404742728</c:v>
                </c:pt>
                <c:pt idx="13">
                  <c:v>-122727.99239297934</c:v>
                </c:pt>
                <c:pt idx="14">
                  <c:v>-110394.27529364139</c:v>
                </c:pt>
                <c:pt idx="15">
                  <c:v>-100817.72043509205</c:v>
                </c:pt>
                <c:pt idx="16">
                  <c:v>-100023.14227749844</c:v>
                </c:pt>
              </c:numCache>
            </c:numRef>
          </c:yVal>
          <c:smooth val="0"/>
          <c:extLst>
            <c:ext xmlns:c16="http://schemas.microsoft.com/office/drawing/2014/chart" uri="{C3380CC4-5D6E-409C-BE32-E72D297353CC}">
              <c16:uniqueId val="{00000000-32D1-4A1A-8151-210061261798}"/>
            </c:ext>
          </c:extLst>
        </c:ser>
        <c:ser>
          <c:idx val="1"/>
          <c:order val="1"/>
          <c:spPr>
            <a:ln w="38100">
              <a:solidFill>
                <a:srgbClr val="FF66CC"/>
              </a:solidFill>
              <a:prstDash val="solid"/>
            </a:ln>
          </c:spPr>
          <c:marker>
            <c:symbol val="circle"/>
            <c:size val="7"/>
            <c:spPr>
              <a:solidFill>
                <a:srgbClr val="FF66CC"/>
              </a:solidFill>
              <a:ln>
                <a:solidFill>
                  <a:srgbClr val="FF66CC"/>
                </a:solidFill>
                <a:prstDash val="solid"/>
              </a:ln>
            </c:spPr>
          </c:marker>
          <c:xVal>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Cashflow'!$C$26:$C$42</c:f>
              <c:numCache>
                <c:formatCode>\ #,##0\ "Fr."</c:formatCode>
                <c:ptCount val="17"/>
                <c:pt idx="0">
                  <c:v>-83750.049866666683</c:v>
                </c:pt>
                <c:pt idx="1">
                  <c:v>-93834.025315466686</c:v>
                </c:pt>
                <c:pt idx="2">
                  <c:v>-104192.09654330589</c:v>
                </c:pt>
                <c:pt idx="3">
                  <c:v>-168806.69325953699</c:v>
                </c:pt>
                <c:pt idx="4">
                  <c:v>-178160.17572014214</c:v>
                </c:pt>
                <c:pt idx="5">
                  <c:v>-177855.374363373</c:v>
                </c:pt>
                <c:pt idx="6">
                  <c:v>-170033.23567432433</c:v>
                </c:pt>
                <c:pt idx="7">
                  <c:v>-155716.10006983581</c:v>
                </c:pt>
                <c:pt idx="8">
                  <c:v>-140811.11024490689</c:v>
                </c:pt>
                <c:pt idx="9">
                  <c:v>-125771.97551155361</c:v>
                </c:pt>
                <c:pt idx="10">
                  <c:v>-158742.58856560013</c:v>
                </c:pt>
                <c:pt idx="11">
                  <c:v>-146733.00283181577</c:v>
                </c:pt>
                <c:pt idx="12">
                  <c:v>-134615.33082642735</c:v>
                </c:pt>
                <c:pt idx="13">
                  <c:v>-122847.59977299042</c:v>
                </c:pt>
                <c:pt idx="14">
                  <c:v>-110514.95914007255</c:v>
                </c:pt>
                <c:pt idx="15">
                  <c:v>-100939.4904361411</c:v>
                </c:pt>
                <c:pt idx="16">
                  <c:v>-100146.00820855694</c:v>
                </c:pt>
              </c:numCache>
            </c:numRef>
          </c:yVal>
          <c:smooth val="0"/>
          <c:extLst>
            <c:ext xmlns:c16="http://schemas.microsoft.com/office/drawing/2014/chart" uri="{C3380CC4-5D6E-409C-BE32-E72D297353CC}">
              <c16:uniqueId val="{00000001-32D1-4A1A-8151-210061261798}"/>
            </c:ext>
          </c:extLst>
        </c:ser>
        <c:dLbls>
          <c:showLegendKey val="0"/>
          <c:showVal val="0"/>
          <c:showCatName val="0"/>
          <c:showSerName val="0"/>
          <c:showPercent val="0"/>
          <c:showBubbleSize val="0"/>
        </c:dLbls>
        <c:axId val="659273744"/>
        <c:axId val="1"/>
      </c:scatterChart>
      <c:valAx>
        <c:axId val="659273744"/>
        <c:scaling>
          <c:orientation val="minMax"/>
          <c:max val="17"/>
          <c:min val="0"/>
        </c:scaling>
        <c:delete val="0"/>
        <c:axPos val="b"/>
        <c:title>
          <c:tx>
            <c:rich>
              <a:bodyPr/>
              <a:lstStyle/>
              <a:p>
                <a:pPr>
                  <a:defRPr sz="1100" b="0" i="0" u="none" strike="noStrike" baseline="0">
                    <a:solidFill>
                      <a:srgbClr val="000000"/>
                    </a:solidFill>
                    <a:latin typeface="Arial"/>
                    <a:ea typeface="Arial"/>
                    <a:cs typeface="Arial"/>
                  </a:defRPr>
                </a:pPr>
                <a:r>
                  <a:rPr lang="de-CH" sz="1200" b="1" i="0" u="none" strike="noStrike" baseline="0">
                    <a:solidFill>
                      <a:srgbClr val="000000"/>
                    </a:solidFill>
                    <a:latin typeface="Arial"/>
                    <a:cs typeface="Arial"/>
                  </a:rPr>
                  <a:t>Standjahre      </a:t>
                </a:r>
                <a:r>
                  <a:rPr lang="de-CH" sz="1000" b="0" i="0" u="none" strike="noStrike" baseline="0">
                    <a:solidFill>
                      <a:srgbClr val="000000"/>
                    </a:solidFill>
                    <a:latin typeface="Arial"/>
                    <a:cs typeface="Arial"/>
                  </a:rPr>
                  <a:t> </a:t>
                </a:r>
              </a:p>
              <a:p>
                <a:pPr>
                  <a:defRPr sz="11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0 = Erstellung,  1 = 1. Standjahr</a:t>
                </a:r>
              </a:p>
              <a:p>
                <a:pPr>
                  <a:defRPr sz="1100" b="0" i="0" u="none" strike="noStrike" baseline="0">
                    <a:solidFill>
                      <a:srgbClr val="000000"/>
                    </a:solidFill>
                    <a:latin typeface="Arial"/>
                    <a:ea typeface="Arial"/>
                    <a:cs typeface="Arial"/>
                  </a:defRPr>
                </a:pPr>
                <a:endParaRPr lang="de-CH" sz="1000" b="0" i="0" u="none" strike="noStrike" baseline="0">
                  <a:solidFill>
                    <a:srgbClr val="000000"/>
                  </a:solidFill>
                  <a:latin typeface="Arial"/>
                  <a:cs typeface="Arial"/>
                </a:endParaRPr>
              </a:p>
              <a:p>
                <a:pPr>
                  <a:defRPr sz="1100" b="0" i="0" u="none" strike="noStrike" baseline="0">
                    <a:solidFill>
                      <a:srgbClr val="000000"/>
                    </a:solidFill>
                    <a:latin typeface="Arial"/>
                    <a:ea typeface="Arial"/>
                    <a:cs typeface="Arial"/>
                  </a:defRPr>
                </a:pPr>
                <a:r>
                  <a:rPr lang="de-CH" sz="1000" b="1" i="0" u="none" strike="noStrike" baseline="0">
                    <a:solidFill>
                      <a:srgbClr val="000000"/>
                    </a:solidFill>
                    <a:latin typeface="Arial"/>
                    <a:cs typeface="Arial"/>
                  </a:rPr>
                  <a:t>1. Folie im 3. Stj.            2. Folie im 10. Stj.</a:t>
                </a:r>
              </a:p>
            </c:rich>
          </c:tx>
          <c:layout>
            <c:manualLayout>
              <c:xMode val="edge"/>
              <c:yMode val="edge"/>
              <c:x val="0.3605700339952308"/>
              <c:y val="0.8348688871713122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crossBetween val="midCat"/>
        <c:majorUnit val="2"/>
        <c:min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1.0672347089669925E-2"/>
              <c:y val="0.39733265703750226"/>
            </c:manualLayout>
          </c:layout>
          <c:overlay val="0"/>
          <c:spPr>
            <a:noFill/>
            <a:ln w="25400">
              <a:noFill/>
            </a:ln>
          </c:spPr>
        </c:title>
        <c:numFmt formatCode="\ #,##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5927374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Gliederung der Sachkosten</a:t>
            </a:r>
          </a:p>
        </c:rich>
      </c:tx>
      <c:layout>
        <c:manualLayout>
          <c:xMode val="edge"/>
          <c:yMode val="edge"/>
          <c:x val="0.34850289653690986"/>
          <c:y val="3.1496062992125984E-2"/>
        </c:manualLayout>
      </c:layout>
      <c:overlay val="0"/>
      <c:spPr>
        <a:noFill/>
        <a:ln w="25400">
          <a:noFill/>
        </a:ln>
      </c:spPr>
    </c:title>
    <c:autoTitleDeleted val="0"/>
    <c:plotArea>
      <c:layout>
        <c:manualLayout>
          <c:layoutTarget val="inner"/>
          <c:xMode val="edge"/>
          <c:yMode val="edge"/>
          <c:x val="0.27570093457943923"/>
          <c:y val="0.19154228855721392"/>
          <c:w val="0.49221183800623053"/>
          <c:h val="0.54975124378109452"/>
        </c:manualLayout>
      </c:layout>
      <c:barChart>
        <c:barDir val="bar"/>
        <c:grouping val="clustered"/>
        <c:varyColors val="0"/>
        <c:ser>
          <c:idx val="0"/>
          <c:order val="0"/>
          <c:tx>
            <c:strRef>
              <c:f>'Standard Ertragsphase'!$B$121</c:f>
              <c:strCache>
                <c:ptCount val="1"/>
                <c:pt idx="0">
                  <c:v>Standard</c:v>
                </c:pt>
              </c:strCache>
            </c:strRef>
          </c:tx>
          <c:spPr>
            <a:solidFill>
              <a:srgbClr val="000080"/>
            </a:solidFill>
            <a:ln w="12700">
              <a:solidFill>
                <a:srgbClr val="000000"/>
              </a:solidFill>
              <a:prstDash val="solid"/>
            </a:ln>
          </c:spPr>
          <c:invertIfNegative val="0"/>
          <c:cat>
            <c:strRef>
              <c:f>'Var Ertragsphase'!$A$122:$A$124</c:f>
              <c:strCache>
                <c:ptCount val="3"/>
                <c:pt idx="0">
                  <c:v>Abschreibung Kirschenanlage (inkl. Regendach mit 1x Folie, Ernteschutznetz 1x, Bewässerungsanlage und Zaun)</c:v>
                </c:pt>
                <c:pt idx="1">
                  <c:v>Maschinen und Geräte</c:v>
                </c:pt>
                <c:pt idx="2">
                  <c:v>übrige Kosten (aus Posten mit &lt; 10%)</c:v>
                </c:pt>
              </c:strCache>
            </c:strRef>
          </c:cat>
          <c:val>
            <c:numRef>
              <c:f>'Standard Ertragsphase'!$B$122:$B$124</c:f>
              <c:numCache>
                <c:formatCode>\ #,##0\ "Fr."</c:formatCode>
                <c:ptCount val="3"/>
                <c:pt idx="0">
                  <c:v>19407.042310011842</c:v>
                </c:pt>
                <c:pt idx="1">
                  <c:v>11672.899999999998</c:v>
                </c:pt>
                <c:pt idx="2">
                  <c:v>19824.091957437373</c:v>
                </c:pt>
              </c:numCache>
            </c:numRef>
          </c:val>
          <c:extLst>
            <c:ext xmlns:c16="http://schemas.microsoft.com/office/drawing/2014/chart" uri="{C3380CC4-5D6E-409C-BE32-E72D297353CC}">
              <c16:uniqueId val="{00000000-C2BF-4DB5-9FE8-50BB99CABD50}"/>
            </c:ext>
          </c:extLst>
        </c:ser>
        <c:ser>
          <c:idx val="1"/>
          <c:order val="1"/>
          <c:tx>
            <c:strRef>
              <c:f>'Var Ertragsphase'!$B$121</c:f>
              <c:strCache>
                <c:ptCount val="1"/>
                <c:pt idx="0">
                  <c:v>Variante</c:v>
                </c:pt>
              </c:strCache>
            </c:strRef>
          </c:tx>
          <c:spPr>
            <a:solidFill>
              <a:srgbClr val="FF66CC"/>
            </a:solidFill>
            <a:ln w="12700">
              <a:solidFill>
                <a:srgbClr val="000000"/>
              </a:solidFill>
              <a:prstDash val="solid"/>
            </a:ln>
          </c:spPr>
          <c:invertIfNegative val="0"/>
          <c:cat>
            <c:strRef>
              <c:f>'Var Ertragsphase'!$A$122:$A$124</c:f>
              <c:strCache>
                <c:ptCount val="3"/>
                <c:pt idx="0">
                  <c:v>Abschreibung Kirschenanlage (inkl. Regendach mit 1x Folie, Ernteschutznetz 1x, Bewässerungsanlage und Zaun)</c:v>
                </c:pt>
                <c:pt idx="1">
                  <c:v>Maschinen und Geräte</c:v>
                </c:pt>
                <c:pt idx="2">
                  <c:v>übrige Kosten (aus Posten mit &lt; 10%)</c:v>
                </c:pt>
              </c:strCache>
            </c:strRef>
          </c:cat>
          <c:val>
            <c:numRef>
              <c:f>'Var Ertragsphase'!$B$122:$B$124</c:f>
              <c:numCache>
                <c:formatCode>\ #,##0\ "Fr."</c:formatCode>
                <c:ptCount val="3"/>
                <c:pt idx="0">
                  <c:v>19407.042310011846</c:v>
                </c:pt>
                <c:pt idx="1">
                  <c:v>11672.899999999998</c:v>
                </c:pt>
                <c:pt idx="2">
                  <c:v>19824.091957437369</c:v>
                </c:pt>
              </c:numCache>
            </c:numRef>
          </c:val>
          <c:extLst>
            <c:ext xmlns:c16="http://schemas.microsoft.com/office/drawing/2014/chart" uri="{C3380CC4-5D6E-409C-BE32-E72D297353CC}">
              <c16:uniqueId val="{00000001-C2BF-4DB5-9FE8-50BB99CABD50}"/>
            </c:ext>
          </c:extLst>
        </c:ser>
        <c:dLbls>
          <c:showLegendKey val="0"/>
          <c:showVal val="0"/>
          <c:showCatName val="0"/>
          <c:showSerName val="0"/>
          <c:showPercent val="0"/>
          <c:showBubbleSize val="0"/>
        </c:dLbls>
        <c:gapWidth val="150"/>
        <c:axId val="660573288"/>
        <c:axId val="1"/>
      </c:barChart>
      <c:catAx>
        <c:axId val="660573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660573288"/>
        <c:crosses val="max"/>
        <c:crossBetween val="between"/>
      </c:valAx>
      <c:spPr>
        <a:noFill/>
        <a:ln w="3175">
          <a:solidFill>
            <a:srgbClr val="000000"/>
          </a:solidFill>
          <a:prstDash val="solid"/>
        </a:ln>
      </c:spPr>
    </c:plotArea>
    <c:legend>
      <c:legendPos val="r"/>
      <c:layout>
        <c:manualLayout>
          <c:xMode val="edge"/>
          <c:yMode val="edge"/>
          <c:x val="0.77749427740969723"/>
          <c:y val="0.40769306480920658"/>
          <c:w val="0.16368303226802527"/>
          <c:h val="0.1423079446799919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de-CH" sz="1425" b="1" i="0" u="none" strike="noStrike" baseline="0">
                <a:solidFill>
                  <a:srgbClr val="000000"/>
                </a:solidFill>
                <a:latin typeface="Arial"/>
                <a:cs typeface="Arial"/>
              </a:rPr>
              <a:t>Produktionskosten- / </a:t>
            </a:r>
          </a:p>
          <a:p>
            <a:pPr>
              <a:defRPr sz="925" b="0" i="0" u="none" strike="noStrike" baseline="0">
                <a:solidFill>
                  <a:srgbClr val="000000"/>
                </a:solidFill>
                <a:latin typeface="Arial"/>
                <a:ea typeface="Arial"/>
                <a:cs typeface="Arial"/>
              </a:defRPr>
            </a:pPr>
            <a:r>
              <a:rPr lang="de-CH" sz="1425" b="1" i="0" u="none" strike="noStrike" baseline="0">
                <a:solidFill>
                  <a:srgbClr val="000000"/>
                </a:solidFill>
                <a:latin typeface="Arial"/>
                <a:cs typeface="Arial"/>
              </a:rPr>
              <a:t>Leistungsvergleich</a:t>
            </a:r>
          </a:p>
          <a:p>
            <a:pPr>
              <a:defRPr sz="925" b="0" i="0" u="none" strike="noStrike" baseline="0">
                <a:solidFill>
                  <a:srgbClr val="000000"/>
                </a:solidFill>
                <a:latin typeface="Arial"/>
                <a:ea typeface="Arial"/>
                <a:cs typeface="Arial"/>
              </a:defRPr>
            </a:pPr>
            <a:endParaRPr lang="de-CH" sz="1425" b="1"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de-CH" sz="1425" b="1" i="0" u="none" strike="noStrike" baseline="0">
                <a:solidFill>
                  <a:srgbClr val="000080"/>
                </a:solidFill>
                <a:latin typeface="Arial"/>
                <a:cs typeface="Arial"/>
              </a:rPr>
              <a:t>Standard</a:t>
            </a:r>
            <a:endParaRPr lang="de-CH" sz="1425" b="1" i="1" u="none" strike="noStrike" baseline="0">
              <a:solidFill>
                <a:srgbClr val="000080"/>
              </a:solidFill>
              <a:latin typeface="Arial"/>
              <a:cs typeface="Arial"/>
            </a:endParaRPr>
          </a:p>
          <a:p>
            <a:pPr>
              <a:defRPr sz="925" b="0" i="0" u="none" strike="noStrike" baseline="0">
                <a:solidFill>
                  <a:srgbClr val="000000"/>
                </a:solidFill>
                <a:latin typeface="Arial"/>
                <a:ea typeface="Arial"/>
                <a:cs typeface="Arial"/>
              </a:defRPr>
            </a:pPr>
            <a:endParaRPr lang="de-CH" sz="1425" b="1" i="1" u="none" strike="noStrike" baseline="0">
              <a:solidFill>
                <a:srgbClr val="000080"/>
              </a:solidFill>
              <a:latin typeface="Arial"/>
              <a:cs typeface="Arial"/>
            </a:endParaRPr>
          </a:p>
        </c:rich>
      </c:tx>
      <c:layout>
        <c:manualLayout>
          <c:xMode val="edge"/>
          <c:yMode val="edge"/>
          <c:x val="0.31149130577427819"/>
          <c:y val="2.5408366584234777E-2"/>
        </c:manualLayout>
      </c:layout>
      <c:overlay val="0"/>
      <c:spPr>
        <a:noFill/>
        <a:ln w="25400">
          <a:noFill/>
        </a:ln>
      </c:spPr>
    </c:title>
    <c:autoTitleDeleted val="0"/>
    <c:plotArea>
      <c:layout>
        <c:manualLayout>
          <c:layoutTarget val="inner"/>
          <c:xMode val="edge"/>
          <c:yMode val="edge"/>
          <c:x val="0.17516636507393096"/>
          <c:y val="0.16338654675646841"/>
          <c:w val="0.76429549567173671"/>
          <c:h val="0.72097276493804863"/>
        </c:manualLayout>
      </c:layout>
      <c:barChart>
        <c:barDir val="col"/>
        <c:grouping val="clustered"/>
        <c:varyColors val="0"/>
        <c:ser>
          <c:idx val="0"/>
          <c:order val="0"/>
          <c:tx>
            <c:strRef>
              <c:f>'Standard Cashflow'!$D$25</c:f>
              <c:strCache>
                <c:ptCount val="1"/>
                <c:pt idx="0">
                  <c:v>Leistung</c:v>
                </c:pt>
              </c:strCache>
            </c:strRef>
          </c:tx>
          <c:spPr>
            <a:solidFill>
              <a:srgbClr val="00FFFF"/>
            </a:solidFill>
            <a:ln w="12700">
              <a:solidFill>
                <a:srgbClr val="000000"/>
              </a:solidFill>
              <a:prstDash val="solid"/>
            </a:ln>
          </c:spPr>
          <c:invertIfNegative val="0"/>
          <c:cat>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Cashflow'!$D$26:$D$42</c:f>
              <c:numCache>
                <c:formatCode>\ #,##0\ "Fr."</c:formatCode>
                <c:ptCount val="17"/>
                <c:pt idx="0">
                  <c:v>0</c:v>
                </c:pt>
                <c:pt idx="1">
                  <c:v>1100</c:v>
                </c:pt>
                <c:pt idx="2">
                  <c:v>1100</c:v>
                </c:pt>
                <c:pt idx="3">
                  <c:v>7144.9742710120063</c:v>
                </c:pt>
                <c:pt idx="4">
                  <c:v>25279.897084048025</c:v>
                </c:pt>
                <c:pt idx="5">
                  <c:v>55383.868953687808</c:v>
                </c:pt>
                <c:pt idx="6">
                  <c:v>71221.701543739269</c:v>
                </c:pt>
                <c:pt idx="7">
                  <c:v>85729.639794168077</c:v>
                </c:pt>
                <c:pt idx="8">
                  <c:v>85729.639794168077</c:v>
                </c:pt>
                <c:pt idx="9">
                  <c:v>85729.639794168077</c:v>
                </c:pt>
                <c:pt idx="10">
                  <c:v>85729.639794168077</c:v>
                </c:pt>
                <c:pt idx="11">
                  <c:v>79684.665523156073</c:v>
                </c:pt>
                <c:pt idx="12">
                  <c:v>79684.665523156073</c:v>
                </c:pt>
                <c:pt idx="13">
                  <c:v>79684.665523156073</c:v>
                </c:pt>
                <c:pt idx="14">
                  <c:v>79684.665523156073</c:v>
                </c:pt>
                <c:pt idx="15">
                  <c:v>73639.691252144083</c:v>
                </c:pt>
                <c:pt idx="16">
                  <c:v>67594.716981132078</c:v>
                </c:pt>
              </c:numCache>
            </c:numRef>
          </c:val>
          <c:extLst>
            <c:ext xmlns:c16="http://schemas.microsoft.com/office/drawing/2014/chart" uri="{C3380CC4-5D6E-409C-BE32-E72D297353CC}">
              <c16:uniqueId val="{00000000-9D26-45E7-A05B-B6F2DADDE9A0}"/>
            </c:ext>
          </c:extLst>
        </c:ser>
        <c:ser>
          <c:idx val="1"/>
          <c:order val="1"/>
          <c:tx>
            <c:strRef>
              <c:f>'Standard Cashflow'!$E$25</c:f>
              <c:strCache>
                <c:ptCount val="1"/>
                <c:pt idx="0">
                  <c:v>Produktionskosten</c:v>
                </c:pt>
              </c:strCache>
            </c:strRef>
          </c:tx>
          <c:spPr>
            <a:solidFill>
              <a:srgbClr val="000080"/>
            </a:solidFill>
            <a:ln w="12700">
              <a:solidFill>
                <a:srgbClr val="000000"/>
              </a:solidFill>
              <a:prstDash val="solid"/>
            </a:ln>
          </c:spPr>
          <c:invertIfNegative val="0"/>
          <c:cat>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Cashflow'!$E$26:$E$42</c:f>
              <c:numCache>
                <c:formatCode>\ #,##0\ "Fr."</c:formatCode>
                <c:ptCount val="17"/>
                <c:pt idx="0">
                  <c:v>83750.049866666683</c:v>
                </c:pt>
                <c:pt idx="1">
                  <c:v>11183.9754488</c:v>
                </c:pt>
                <c:pt idx="2">
                  <c:v>11458.0712278392</c:v>
                </c:pt>
                <c:pt idx="3">
                  <c:v>71759.570987243089</c:v>
                </c:pt>
                <c:pt idx="4">
                  <c:v>34633.379544653151</c:v>
                </c:pt>
                <c:pt idx="5">
                  <c:v>55079.06759691867</c:v>
                </c:pt>
                <c:pt idx="6">
                  <c:v>63399.562854690594</c:v>
                </c:pt>
                <c:pt idx="7">
                  <c:v>71412.504189679545</c:v>
                </c:pt>
                <c:pt idx="8">
                  <c:v>70824.649969239152</c:v>
                </c:pt>
                <c:pt idx="9">
                  <c:v>70690.505060814787</c:v>
                </c:pt>
                <c:pt idx="10">
                  <c:v>118641.2528482146</c:v>
                </c:pt>
                <c:pt idx="11">
                  <c:v>67674.548789371707</c:v>
                </c:pt>
                <c:pt idx="12">
                  <c:v>67566.45773876764</c:v>
                </c:pt>
                <c:pt idx="13">
                  <c:v>67857.393868708139</c:v>
                </c:pt>
                <c:pt idx="14">
                  <c:v>67350.948423818118</c:v>
                </c:pt>
                <c:pt idx="15">
                  <c:v>64063.136393594745</c:v>
                </c:pt>
                <c:pt idx="16">
                  <c:v>66800.138823538466</c:v>
                </c:pt>
              </c:numCache>
            </c:numRef>
          </c:val>
          <c:extLst>
            <c:ext xmlns:c16="http://schemas.microsoft.com/office/drawing/2014/chart" uri="{C3380CC4-5D6E-409C-BE32-E72D297353CC}">
              <c16:uniqueId val="{00000001-9D26-45E7-A05B-B6F2DADDE9A0}"/>
            </c:ext>
          </c:extLst>
        </c:ser>
        <c:dLbls>
          <c:showLegendKey val="0"/>
          <c:showVal val="0"/>
          <c:showCatName val="0"/>
          <c:showSerName val="0"/>
          <c:showPercent val="0"/>
          <c:showBubbleSize val="0"/>
        </c:dLbls>
        <c:gapWidth val="150"/>
        <c:axId val="660571320"/>
        <c:axId val="1"/>
      </c:barChart>
      <c:catAx>
        <c:axId val="66057132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de-CH"/>
                  <a:t>Standjahre</a:t>
                </a:r>
              </a:p>
            </c:rich>
          </c:tx>
          <c:layout>
            <c:manualLayout>
              <c:xMode val="edge"/>
              <c:yMode val="edge"/>
              <c:x val="0.52991535433070869"/>
              <c:y val="0.9147011970324520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de-CH"/>
                  <a:t>Fr. / ha</a:t>
                </a:r>
              </a:p>
            </c:rich>
          </c:tx>
          <c:layout>
            <c:manualLayout>
              <c:xMode val="edge"/>
              <c:yMode val="edge"/>
              <c:x val="3.4188156167979003E-2"/>
              <c:y val="0.50211769049100086"/>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660571320"/>
        <c:crosses val="autoZero"/>
        <c:crossBetween val="between"/>
      </c:valAx>
      <c:spPr>
        <a:noFill/>
        <a:ln w="3175">
          <a:solidFill>
            <a:srgbClr val="000000"/>
          </a:solidFill>
          <a:prstDash val="solid"/>
        </a:ln>
      </c:spPr>
    </c:plotArea>
    <c:legend>
      <c:legendPos val="r"/>
      <c:layout>
        <c:manualLayout>
          <c:xMode val="edge"/>
          <c:yMode val="edge"/>
          <c:wMode val="edge"/>
          <c:hMode val="edge"/>
          <c:x val="0.24125049212598426"/>
          <c:y val="0.95953845725931664"/>
          <c:w val="0.77250147637795274"/>
          <c:h val="0.9874768002265613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Anteil Arbeit-, Kapital- und Sachkosten</a:t>
            </a:r>
          </a:p>
        </c:rich>
      </c:tx>
      <c:layout>
        <c:manualLayout>
          <c:xMode val="edge"/>
          <c:yMode val="edge"/>
          <c:x val="0.30840813314366239"/>
          <c:y val="3.7700340648908245E-2"/>
        </c:manualLayout>
      </c:layout>
      <c:overlay val="0"/>
      <c:spPr>
        <a:noFill/>
        <a:ln w="25400">
          <a:noFill/>
        </a:ln>
      </c:spPr>
    </c:title>
    <c:autoTitleDeleted val="0"/>
    <c:plotArea>
      <c:layout>
        <c:manualLayout>
          <c:layoutTarget val="inner"/>
          <c:xMode val="edge"/>
          <c:yMode val="edge"/>
          <c:x val="0.14108527131782947"/>
          <c:y val="0.19029850746268656"/>
          <c:w val="0.66511627906976745"/>
          <c:h val="0.62313432835820892"/>
        </c:manualLayout>
      </c:layout>
      <c:barChart>
        <c:barDir val="bar"/>
        <c:grouping val="clustered"/>
        <c:varyColors val="0"/>
        <c:ser>
          <c:idx val="0"/>
          <c:order val="0"/>
          <c:tx>
            <c:strRef>
              <c:f>'Standard Ertragsphase'!$B$87</c:f>
              <c:strCache>
                <c:ptCount val="1"/>
                <c:pt idx="0">
                  <c:v>Standard</c:v>
                </c:pt>
              </c:strCache>
            </c:strRef>
          </c:tx>
          <c:spPr>
            <a:solidFill>
              <a:srgbClr val="000080"/>
            </a:solidFill>
            <a:ln w="12700">
              <a:solidFill>
                <a:srgbClr val="000000"/>
              </a:solidFill>
              <a:prstDash val="solid"/>
            </a:ln>
          </c:spPr>
          <c:invertIfNegative val="0"/>
          <c:cat>
            <c:strRef>
              <c:f>'Var Ertragsphase'!$A$88:$A$90</c:f>
              <c:strCache>
                <c:ptCount val="3"/>
                <c:pt idx="0">
                  <c:v>Arbeitskosten</c:v>
                </c:pt>
                <c:pt idx="1">
                  <c:v>Kapitalkosten</c:v>
                </c:pt>
                <c:pt idx="2">
                  <c:v>Sachkosten</c:v>
                </c:pt>
              </c:strCache>
            </c:strRef>
          </c:cat>
          <c:val>
            <c:numRef>
              <c:f>'Standard Ertragsphase'!$B$88:$B$90</c:f>
              <c:numCache>
                <c:formatCode>\ #,##0\ "Fr."</c:formatCode>
                <c:ptCount val="3"/>
                <c:pt idx="0">
                  <c:v>33295</c:v>
                </c:pt>
                <c:pt idx="1">
                  <c:v>2755.9605694812785</c:v>
                </c:pt>
                <c:pt idx="2">
                  <c:v>50904.034267449213</c:v>
                </c:pt>
              </c:numCache>
            </c:numRef>
          </c:val>
          <c:extLst>
            <c:ext xmlns:c16="http://schemas.microsoft.com/office/drawing/2014/chart" uri="{C3380CC4-5D6E-409C-BE32-E72D297353CC}">
              <c16:uniqueId val="{00000000-DDEF-4ED8-86F2-34FD2870636A}"/>
            </c:ext>
          </c:extLst>
        </c:ser>
        <c:ser>
          <c:idx val="1"/>
          <c:order val="1"/>
          <c:tx>
            <c:strRef>
              <c:f>'Var Ertragsphase'!$B$87</c:f>
              <c:strCache>
                <c:ptCount val="1"/>
                <c:pt idx="0">
                  <c:v>Variante</c:v>
                </c:pt>
              </c:strCache>
            </c:strRef>
          </c:tx>
          <c:spPr>
            <a:solidFill>
              <a:srgbClr val="FF66CC"/>
            </a:solidFill>
            <a:ln w="12700">
              <a:solidFill>
                <a:srgbClr val="000000"/>
              </a:solidFill>
              <a:prstDash val="solid"/>
            </a:ln>
          </c:spPr>
          <c:invertIfNegative val="0"/>
          <c:cat>
            <c:strRef>
              <c:f>'Var Ertragsphase'!$A$88:$A$90</c:f>
              <c:strCache>
                <c:ptCount val="3"/>
                <c:pt idx="0">
                  <c:v>Arbeitskosten</c:v>
                </c:pt>
                <c:pt idx="1">
                  <c:v>Kapitalkosten</c:v>
                </c:pt>
                <c:pt idx="2">
                  <c:v>Sachkosten</c:v>
                </c:pt>
              </c:strCache>
            </c:strRef>
          </c:cat>
          <c:val>
            <c:numRef>
              <c:f>'Var Ertragsphase'!$B$88:$B$90</c:f>
              <c:numCache>
                <c:formatCode>\ #,##0\ "Fr."</c:formatCode>
                <c:ptCount val="3"/>
                <c:pt idx="0">
                  <c:v>33295</c:v>
                </c:pt>
                <c:pt idx="1">
                  <c:v>2755.960569481279</c:v>
                </c:pt>
                <c:pt idx="2">
                  <c:v>50904.034267449213</c:v>
                </c:pt>
              </c:numCache>
            </c:numRef>
          </c:val>
          <c:extLst>
            <c:ext xmlns:c16="http://schemas.microsoft.com/office/drawing/2014/chart" uri="{C3380CC4-5D6E-409C-BE32-E72D297353CC}">
              <c16:uniqueId val="{00000001-DDEF-4ED8-86F2-34FD2870636A}"/>
            </c:ext>
          </c:extLst>
        </c:ser>
        <c:dLbls>
          <c:showLegendKey val="0"/>
          <c:showVal val="0"/>
          <c:showCatName val="0"/>
          <c:showSerName val="0"/>
          <c:showPercent val="0"/>
          <c:showBubbleSize val="0"/>
        </c:dLbls>
        <c:gapWidth val="100"/>
        <c:axId val="660576896"/>
        <c:axId val="1"/>
      </c:barChart>
      <c:catAx>
        <c:axId val="660576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60576896"/>
        <c:crosses val="max"/>
        <c:crossBetween val="between"/>
      </c:valAx>
      <c:spPr>
        <a:noFill/>
        <a:ln w="3175">
          <a:solidFill>
            <a:srgbClr val="000000"/>
          </a:solidFill>
          <a:prstDash val="solid"/>
        </a:ln>
      </c:spPr>
    </c:plotArea>
    <c:legend>
      <c:legendPos val="r"/>
      <c:layout>
        <c:manualLayout>
          <c:xMode val="edge"/>
          <c:yMode val="edge"/>
          <c:x val="0.76336044826457761"/>
          <c:y val="0.34650455927051671"/>
          <c:w val="0.15903341280813177"/>
          <c:h val="0.27659574468085113"/>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00" verticalDpi="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Arial"/>
                <a:ea typeface="Arial"/>
                <a:cs typeface="Arial"/>
              </a:defRPr>
            </a:pPr>
            <a:r>
              <a:rPr lang="de-CH" sz="2025" b="1" i="0" u="none" strike="noStrike" baseline="0">
                <a:solidFill>
                  <a:srgbClr val="000000"/>
                </a:solidFill>
                <a:latin typeface="Arial"/>
                <a:cs typeface="Arial"/>
              </a:rPr>
              <a:t>Produktionskosten- / </a:t>
            </a:r>
          </a:p>
          <a:p>
            <a:pPr>
              <a:defRPr sz="1175" b="0" i="0" u="none" strike="noStrike" baseline="0">
                <a:solidFill>
                  <a:srgbClr val="000000"/>
                </a:solidFill>
                <a:latin typeface="Arial"/>
                <a:ea typeface="Arial"/>
                <a:cs typeface="Arial"/>
              </a:defRPr>
            </a:pPr>
            <a:r>
              <a:rPr lang="de-CH" sz="2025" b="1" i="0" u="none" strike="noStrike" baseline="0">
                <a:solidFill>
                  <a:srgbClr val="000000"/>
                </a:solidFill>
                <a:latin typeface="Arial"/>
                <a:cs typeface="Arial"/>
              </a:rPr>
              <a:t>Leistungsvergleich</a:t>
            </a:r>
            <a:endParaRPr lang="de-CH" sz="1875" b="1" i="0" u="none" strike="noStrike" baseline="0">
              <a:solidFill>
                <a:srgbClr val="000000"/>
              </a:solidFill>
              <a:latin typeface="Arial"/>
              <a:cs typeface="Arial"/>
            </a:endParaRPr>
          </a:p>
          <a:p>
            <a:pPr>
              <a:defRPr sz="1175" b="0" i="0" u="none" strike="noStrike" baseline="0">
                <a:solidFill>
                  <a:srgbClr val="000000"/>
                </a:solidFill>
                <a:latin typeface="Arial"/>
                <a:ea typeface="Arial"/>
                <a:cs typeface="Arial"/>
              </a:defRPr>
            </a:pPr>
            <a:endParaRPr lang="de-CH" sz="1875" b="1" i="0" u="none" strike="noStrike" baseline="0">
              <a:solidFill>
                <a:srgbClr val="000000"/>
              </a:solidFill>
              <a:latin typeface="Arial"/>
              <a:cs typeface="Arial"/>
            </a:endParaRPr>
          </a:p>
          <a:p>
            <a:pPr>
              <a:defRPr sz="1175" b="0" i="0" u="none" strike="noStrike" baseline="0">
                <a:solidFill>
                  <a:srgbClr val="000000"/>
                </a:solidFill>
                <a:latin typeface="Arial"/>
                <a:ea typeface="Arial"/>
                <a:cs typeface="Arial"/>
              </a:defRPr>
            </a:pPr>
            <a:r>
              <a:rPr lang="de-CH" sz="1875" b="1" i="0" u="none" strike="noStrike" baseline="0">
                <a:solidFill>
                  <a:srgbClr val="FF00FF"/>
                </a:solidFill>
                <a:latin typeface="Arial"/>
                <a:cs typeface="Arial"/>
              </a:rPr>
              <a:t>Variante</a:t>
            </a:r>
          </a:p>
        </c:rich>
      </c:tx>
      <c:layout>
        <c:manualLayout>
          <c:xMode val="edge"/>
          <c:yMode val="edge"/>
          <c:x val="0.29253973907295816"/>
          <c:y val="2.5446915567569482E-2"/>
        </c:manualLayout>
      </c:layout>
      <c:overlay val="0"/>
      <c:spPr>
        <a:noFill/>
        <a:ln w="25400">
          <a:noFill/>
        </a:ln>
      </c:spPr>
    </c:title>
    <c:autoTitleDeleted val="0"/>
    <c:plotArea>
      <c:layout>
        <c:manualLayout>
          <c:layoutTarget val="inner"/>
          <c:xMode val="edge"/>
          <c:yMode val="edge"/>
          <c:x val="0.20139672609012341"/>
          <c:y val="0.22538657998194792"/>
          <c:w val="0.78206611883172006"/>
          <c:h val="0.63859530994885239"/>
        </c:manualLayout>
      </c:layout>
      <c:barChart>
        <c:barDir val="col"/>
        <c:grouping val="clustered"/>
        <c:varyColors val="0"/>
        <c:ser>
          <c:idx val="2"/>
          <c:order val="0"/>
          <c:tx>
            <c:strRef>
              <c:f>'Var Cashflow'!$D$25</c:f>
              <c:strCache>
                <c:ptCount val="1"/>
                <c:pt idx="0">
                  <c:v>Leistung</c:v>
                </c:pt>
              </c:strCache>
            </c:strRef>
          </c:tx>
          <c:spPr>
            <a:solidFill>
              <a:srgbClr val="FF66CC"/>
            </a:solidFill>
            <a:ln w="12700">
              <a:solidFill>
                <a:srgbClr val="000000"/>
              </a:solidFill>
              <a:prstDash val="solid"/>
            </a:ln>
          </c:spPr>
          <c:invertIfNegative val="0"/>
          <c:cat>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Cashflow'!$D$26:$D$42</c:f>
              <c:numCache>
                <c:formatCode>\ #,##0\ "Fr."</c:formatCode>
                <c:ptCount val="17"/>
                <c:pt idx="0">
                  <c:v>0</c:v>
                </c:pt>
                <c:pt idx="1">
                  <c:v>1100</c:v>
                </c:pt>
                <c:pt idx="2">
                  <c:v>1100</c:v>
                </c:pt>
                <c:pt idx="3">
                  <c:v>7144.9742710120081</c:v>
                </c:pt>
                <c:pt idx="4">
                  <c:v>25279.897084048032</c:v>
                </c:pt>
                <c:pt idx="5">
                  <c:v>55383.868953687816</c:v>
                </c:pt>
                <c:pt idx="6">
                  <c:v>71221.701543739284</c:v>
                </c:pt>
                <c:pt idx="7">
                  <c:v>85729.639794168092</c:v>
                </c:pt>
                <c:pt idx="8">
                  <c:v>85729.639794168092</c:v>
                </c:pt>
                <c:pt idx="9">
                  <c:v>85729.639794168092</c:v>
                </c:pt>
                <c:pt idx="10">
                  <c:v>85729.639794168092</c:v>
                </c:pt>
                <c:pt idx="11">
                  <c:v>79684.665523156087</c:v>
                </c:pt>
                <c:pt idx="12">
                  <c:v>79684.665523156087</c:v>
                </c:pt>
                <c:pt idx="13">
                  <c:v>79684.665523156087</c:v>
                </c:pt>
                <c:pt idx="14">
                  <c:v>79684.665523156087</c:v>
                </c:pt>
                <c:pt idx="15">
                  <c:v>73639.691252144097</c:v>
                </c:pt>
                <c:pt idx="16">
                  <c:v>67594.716981132078</c:v>
                </c:pt>
              </c:numCache>
            </c:numRef>
          </c:val>
          <c:extLst>
            <c:ext xmlns:c16="http://schemas.microsoft.com/office/drawing/2014/chart" uri="{C3380CC4-5D6E-409C-BE32-E72D297353CC}">
              <c16:uniqueId val="{00000000-714F-463D-B3DE-2235D921FF30}"/>
            </c:ext>
          </c:extLst>
        </c:ser>
        <c:ser>
          <c:idx val="3"/>
          <c:order val="1"/>
          <c:tx>
            <c:strRef>
              <c:f>'Var Cashflow'!$E$25</c:f>
              <c:strCache>
                <c:ptCount val="1"/>
                <c:pt idx="0">
                  <c:v>Produktionskosten</c:v>
                </c:pt>
              </c:strCache>
            </c:strRef>
          </c:tx>
          <c:spPr>
            <a:solidFill>
              <a:srgbClr val="CC00CC"/>
            </a:solidFill>
            <a:ln w="12700">
              <a:solidFill>
                <a:srgbClr val="000000"/>
              </a:solidFill>
              <a:prstDash val="solid"/>
            </a:ln>
          </c:spPr>
          <c:invertIfNegative val="0"/>
          <c:cat>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Cashflow'!$E$26:$E$42</c:f>
              <c:numCache>
                <c:formatCode>\ #,##0\ "Fr."</c:formatCode>
                <c:ptCount val="17"/>
                <c:pt idx="0">
                  <c:v>83750.049866666683</c:v>
                </c:pt>
                <c:pt idx="1">
                  <c:v>11183.9754488</c:v>
                </c:pt>
                <c:pt idx="2">
                  <c:v>11458.0712278392</c:v>
                </c:pt>
                <c:pt idx="3">
                  <c:v>71759.570987243089</c:v>
                </c:pt>
                <c:pt idx="4">
                  <c:v>34633.379544653159</c:v>
                </c:pt>
                <c:pt idx="5">
                  <c:v>55079.06759691867</c:v>
                </c:pt>
                <c:pt idx="6">
                  <c:v>63399.562854690594</c:v>
                </c:pt>
                <c:pt idx="7">
                  <c:v>71412.504189679559</c:v>
                </c:pt>
                <c:pt idx="8">
                  <c:v>70824.649969239166</c:v>
                </c:pt>
                <c:pt idx="9">
                  <c:v>70690.505060814801</c:v>
                </c:pt>
                <c:pt idx="10">
                  <c:v>118700.25284821462</c:v>
                </c:pt>
                <c:pt idx="11">
                  <c:v>67675.07978937171</c:v>
                </c:pt>
                <c:pt idx="12">
                  <c:v>67566.993517767653</c:v>
                </c:pt>
                <c:pt idx="13">
                  <c:v>67916.934469719155</c:v>
                </c:pt>
                <c:pt idx="14">
                  <c:v>67352.024890238215</c:v>
                </c:pt>
                <c:pt idx="15">
                  <c:v>64064.222548212638</c:v>
                </c:pt>
                <c:pt idx="16">
                  <c:v>66801.23475354792</c:v>
                </c:pt>
              </c:numCache>
            </c:numRef>
          </c:val>
          <c:extLst>
            <c:ext xmlns:c16="http://schemas.microsoft.com/office/drawing/2014/chart" uri="{C3380CC4-5D6E-409C-BE32-E72D297353CC}">
              <c16:uniqueId val="{00000001-714F-463D-B3DE-2235D921FF30}"/>
            </c:ext>
          </c:extLst>
        </c:ser>
        <c:dLbls>
          <c:showLegendKey val="0"/>
          <c:showVal val="0"/>
          <c:showCatName val="0"/>
          <c:showSerName val="0"/>
          <c:showPercent val="0"/>
          <c:showBubbleSize val="0"/>
        </c:dLbls>
        <c:gapWidth val="150"/>
        <c:axId val="660569352"/>
        <c:axId val="1"/>
      </c:barChart>
      <c:catAx>
        <c:axId val="660569352"/>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de-CH"/>
                  <a:t>Standjahre</a:t>
                </a:r>
              </a:p>
            </c:rich>
          </c:tx>
          <c:layout>
            <c:manualLayout>
              <c:xMode val="edge"/>
              <c:yMode val="edge"/>
              <c:x val="0.53362772654640656"/>
              <c:y val="0.9063933666922299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e-CH"/>
                  <a:t>Fr. / ha</a:t>
                </a:r>
              </a:p>
            </c:rich>
          </c:tx>
          <c:layout>
            <c:manualLayout>
              <c:xMode val="edge"/>
              <c:yMode val="edge"/>
              <c:x val="3.6751342818089054E-2"/>
              <c:y val="0.51257260875177491"/>
            </c:manualLayout>
          </c:layout>
          <c:overlay val="0"/>
          <c:spPr>
            <a:noFill/>
            <a:ln w="25400">
              <a:noFill/>
            </a:ln>
          </c:spPr>
        </c:title>
        <c:numFmt formatCode="#,##0\ \F\r."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660569352"/>
        <c:crosses val="autoZero"/>
        <c:crossBetween val="between"/>
      </c:valAx>
      <c:spPr>
        <a:noFill/>
        <a:ln w="3175">
          <a:solidFill>
            <a:srgbClr val="000000"/>
          </a:solidFill>
          <a:prstDash val="solid"/>
        </a:ln>
      </c:spPr>
    </c:plotArea>
    <c:legend>
      <c:legendPos val="r"/>
      <c:layout>
        <c:manualLayout>
          <c:xMode val="edge"/>
          <c:yMode val="edge"/>
          <c:wMode val="edge"/>
          <c:hMode val="edge"/>
          <c:x val="0.36797082057896796"/>
          <c:y val="0.94117710334424198"/>
          <c:w val="0.8019563110845862"/>
          <c:h val="0.96914238781868745"/>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Gliederung der Kapitalkosten</a:t>
            </a:r>
          </a:p>
        </c:rich>
      </c:tx>
      <c:layout>
        <c:manualLayout>
          <c:xMode val="edge"/>
          <c:yMode val="edge"/>
          <c:x val="0.3380934582544271"/>
          <c:y val="4.1408287078869239E-2"/>
        </c:manualLayout>
      </c:layout>
      <c:overlay val="0"/>
      <c:spPr>
        <a:noFill/>
        <a:ln w="25400">
          <a:noFill/>
        </a:ln>
      </c:spPr>
    </c:title>
    <c:autoTitleDeleted val="0"/>
    <c:plotArea>
      <c:layout>
        <c:manualLayout>
          <c:layoutTarget val="inner"/>
          <c:xMode val="edge"/>
          <c:yMode val="edge"/>
          <c:x val="0.16518718641451177"/>
          <c:y val="0.17805428023067557"/>
          <c:w val="0.64531069085295256"/>
          <c:h val="0.66666835156136661"/>
        </c:manualLayout>
      </c:layout>
      <c:barChart>
        <c:barDir val="bar"/>
        <c:grouping val="clustered"/>
        <c:varyColors val="0"/>
        <c:ser>
          <c:idx val="0"/>
          <c:order val="0"/>
          <c:tx>
            <c:strRef>
              <c:f>'Standard Ertragsphase'!$B$94</c:f>
              <c:strCache>
                <c:ptCount val="1"/>
                <c:pt idx="0">
                  <c:v>Standard</c:v>
                </c:pt>
              </c:strCache>
            </c:strRef>
          </c:tx>
          <c:spPr>
            <a:solidFill>
              <a:srgbClr val="000080"/>
            </a:solidFill>
            <a:ln w="12700">
              <a:solidFill>
                <a:srgbClr val="000000"/>
              </a:solidFill>
              <a:prstDash val="solid"/>
            </a:ln>
          </c:spPr>
          <c:invertIfNegative val="0"/>
          <c:cat>
            <c:strRef>
              <c:f>'Var Ertragsphase'!$A$95:$A$96</c:f>
              <c:strCache>
                <c:ptCount val="2"/>
                <c:pt idx="0">
                  <c:v>für Boden</c:v>
                </c:pt>
                <c:pt idx="1">
                  <c:v>für Investition Kirschenanlage </c:v>
                </c:pt>
              </c:strCache>
            </c:strRef>
          </c:cat>
          <c:val>
            <c:numRef>
              <c:f>'Standard Ertragsphase'!$B$95:$B$96</c:f>
              <c:numCache>
                <c:formatCode>\ #,##0\ "Fr."</c:formatCode>
                <c:ptCount val="2"/>
                <c:pt idx="0">
                  <c:v>660</c:v>
                </c:pt>
                <c:pt idx="1">
                  <c:v>2095.9605694812785</c:v>
                </c:pt>
              </c:numCache>
            </c:numRef>
          </c:val>
          <c:extLst>
            <c:ext xmlns:c16="http://schemas.microsoft.com/office/drawing/2014/chart" uri="{C3380CC4-5D6E-409C-BE32-E72D297353CC}">
              <c16:uniqueId val="{00000000-C430-41A6-8BFF-F340267CE0F3}"/>
            </c:ext>
          </c:extLst>
        </c:ser>
        <c:ser>
          <c:idx val="1"/>
          <c:order val="1"/>
          <c:tx>
            <c:strRef>
              <c:f>'Var Ertragsphase'!$B$94</c:f>
              <c:strCache>
                <c:ptCount val="1"/>
                <c:pt idx="0">
                  <c:v>Variante</c:v>
                </c:pt>
              </c:strCache>
            </c:strRef>
          </c:tx>
          <c:spPr>
            <a:solidFill>
              <a:srgbClr val="FF66CC"/>
            </a:solidFill>
            <a:ln w="12700">
              <a:solidFill>
                <a:srgbClr val="000000"/>
              </a:solidFill>
              <a:prstDash val="solid"/>
            </a:ln>
          </c:spPr>
          <c:invertIfNegative val="0"/>
          <c:cat>
            <c:strRef>
              <c:f>'Var Ertragsphase'!$A$95:$A$96</c:f>
              <c:strCache>
                <c:ptCount val="2"/>
                <c:pt idx="0">
                  <c:v>für Boden</c:v>
                </c:pt>
                <c:pt idx="1">
                  <c:v>für Investition Kirschenanlage </c:v>
                </c:pt>
              </c:strCache>
            </c:strRef>
          </c:cat>
          <c:val>
            <c:numRef>
              <c:f>'Var Ertragsphase'!$B$95:$B$96</c:f>
              <c:numCache>
                <c:formatCode>\ #,##0\ "Fr."</c:formatCode>
                <c:ptCount val="2"/>
                <c:pt idx="0">
                  <c:v>660</c:v>
                </c:pt>
                <c:pt idx="1">
                  <c:v>2095.960569481279</c:v>
                </c:pt>
              </c:numCache>
            </c:numRef>
          </c:val>
          <c:extLst>
            <c:ext xmlns:c16="http://schemas.microsoft.com/office/drawing/2014/chart" uri="{C3380CC4-5D6E-409C-BE32-E72D297353CC}">
              <c16:uniqueId val="{00000001-C430-41A6-8BFF-F340267CE0F3}"/>
            </c:ext>
          </c:extLst>
        </c:ser>
        <c:dLbls>
          <c:showLegendKey val="0"/>
          <c:showVal val="0"/>
          <c:showCatName val="0"/>
          <c:showSerName val="0"/>
          <c:showPercent val="0"/>
          <c:showBubbleSize val="0"/>
        </c:dLbls>
        <c:gapWidth val="150"/>
        <c:axId val="660571976"/>
        <c:axId val="1"/>
      </c:barChart>
      <c:catAx>
        <c:axId val="660571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660571976"/>
        <c:crosses val="max"/>
        <c:crossBetween val="between"/>
      </c:valAx>
      <c:spPr>
        <a:noFill/>
        <a:ln w="3175">
          <a:solidFill>
            <a:srgbClr val="000000"/>
          </a:solidFill>
          <a:prstDash val="solid"/>
        </a:ln>
      </c:spPr>
    </c:plotArea>
    <c:legend>
      <c:legendPos val="r"/>
      <c:layout>
        <c:manualLayout>
          <c:xMode val="edge"/>
          <c:yMode val="edge"/>
          <c:x val="0.77215272932655576"/>
          <c:y val="0.43606772514091474"/>
          <c:w val="0.16455712814379209"/>
          <c:h val="0.27541112688782754"/>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Gliederung der Arbeitskosten</a:t>
            </a:r>
          </a:p>
        </c:rich>
      </c:tx>
      <c:layout>
        <c:manualLayout>
          <c:xMode val="edge"/>
          <c:yMode val="edge"/>
          <c:x val="0.35955113094939567"/>
          <c:y val="4.5082148822306302E-2"/>
        </c:manualLayout>
      </c:layout>
      <c:overlay val="0"/>
      <c:spPr>
        <a:noFill/>
        <a:ln w="25400">
          <a:noFill/>
        </a:ln>
      </c:spPr>
    </c:title>
    <c:autoTitleDeleted val="0"/>
    <c:plotArea>
      <c:layout>
        <c:manualLayout>
          <c:layoutTarget val="inner"/>
          <c:xMode val="edge"/>
          <c:yMode val="edge"/>
          <c:x val="0.22781910592715154"/>
          <c:y val="0.15573848405923843"/>
          <c:w val="0.58427076826215063"/>
          <c:h val="0.63115069855586092"/>
        </c:manualLayout>
      </c:layout>
      <c:barChart>
        <c:barDir val="bar"/>
        <c:grouping val="clustered"/>
        <c:varyColors val="0"/>
        <c:ser>
          <c:idx val="0"/>
          <c:order val="0"/>
          <c:tx>
            <c:strRef>
              <c:f>'Standard Ertragsphase'!$B$114</c:f>
              <c:strCache>
                <c:ptCount val="1"/>
                <c:pt idx="0">
                  <c:v>Standard</c:v>
                </c:pt>
              </c:strCache>
            </c:strRef>
          </c:tx>
          <c:spPr>
            <a:solidFill>
              <a:srgbClr val="000080"/>
            </a:solidFill>
            <a:ln w="12700">
              <a:solidFill>
                <a:srgbClr val="000000"/>
              </a:solidFill>
              <a:prstDash val="solid"/>
            </a:ln>
          </c:spPr>
          <c:invertIfNegative val="0"/>
          <c:cat>
            <c:strRef>
              <c:f>'Var Ertragsphase'!$A$115:$A$117</c:f>
              <c:strCache>
                <c:ptCount val="3"/>
                <c:pt idx="0">
                  <c:v>Ernte (inkl. Sortieren  ohne kalibrieren)</c:v>
                </c:pt>
                <c:pt idx="1">
                  <c:v>Baumerziehung (Sommer + Winter)</c:v>
                </c:pt>
                <c:pt idx="2">
                  <c:v>übrige Arbeiten (aus Posten &lt; 10%)</c:v>
                </c:pt>
              </c:strCache>
            </c:strRef>
          </c:cat>
          <c:val>
            <c:numRef>
              <c:f>'Standard Ertragsphase'!$B$115:$B$117</c:f>
              <c:numCache>
                <c:formatCode>\ #,##0\ "Fr."</c:formatCode>
                <c:ptCount val="3"/>
                <c:pt idx="0">
                  <c:v>24505</c:v>
                </c:pt>
                <c:pt idx="1">
                  <c:v>3270.0000000000005</c:v>
                </c:pt>
                <c:pt idx="2">
                  <c:v>5519.9999999999991</c:v>
                </c:pt>
              </c:numCache>
            </c:numRef>
          </c:val>
          <c:extLst>
            <c:ext xmlns:c16="http://schemas.microsoft.com/office/drawing/2014/chart" uri="{C3380CC4-5D6E-409C-BE32-E72D297353CC}">
              <c16:uniqueId val="{00000000-F10D-404D-8AEF-A4B1214EF454}"/>
            </c:ext>
          </c:extLst>
        </c:ser>
        <c:ser>
          <c:idx val="1"/>
          <c:order val="1"/>
          <c:tx>
            <c:strRef>
              <c:f>'Var Ertragsphase'!$B$114</c:f>
              <c:strCache>
                <c:ptCount val="1"/>
                <c:pt idx="0">
                  <c:v>Variante</c:v>
                </c:pt>
              </c:strCache>
            </c:strRef>
          </c:tx>
          <c:spPr>
            <a:solidFill>
              <a:srgbClr val="FF66CC"/>
            </a:solidFill>
            <a:ln w="12700">
              <a:solidFill>
                <a:srgbClr val="000000"/>
              </a:solidFill>
              <a:prstDash val="solid"/>
            </a:ln>
          </c:spPr>
          <c:invertIfNegative val="0"/>
          <c:cat>
            <c:strRef>
              <c:f>'Var Ertragsphase'!$A$115:$A$117</c:f>
              <c:strCache>
                <c:ptCount val="3"/>
                <c:pt idx="0">
                  <c:v>Ernte (inkl. Sortieren  ohne kalibrieren)</c:v>
                </c:pt>
                <c:pt idx="1">
                  <c:v>Baumerziehung (Sommer + Winter)</c:v>
                </c:pt>
                <c:pt idx="2">
                  <c:v>übrige Arbeiten (aus Posten &lt; 10%)</c:v>
                </c:pt>
              </c:strCache>
            </c:strRef>
          </c:cat>
          <c:val>
            <c:numRef>
              <c:f>'Var Ertragsphase'!$B$115:$B$117</c:f>
              <c:numCache>
                <c:formatCode>\ #,##0\ "Fr."</c:formatCode>
                <c:ptCount val="3"/>
                <c:pt idx="0">
                  <c:v>24505</c:v>
                </c:pt>
                <c:pt idx="1">
                  <c:v>3270.0000000000005</c:v>
                </c:pt>
                <c:pt idx="2">
                  <c:v>5519.9999999999991</c:v>
                </c:pt>
              </c:numCache>
            </c:numRef>
          </c:val>
          <c:extLst>
            <c:ext xmlns:c16="http://schemas.microsoft.com/office/drawing/2014/chart" uri="{C3380CC4-5D6E-409C-BE32-E72D297353CC}">
              <c16:uniqueId val="{00000001-F10D-404D-8AEF-A4B1214EF454}"/>
            </c:ext>
          </c:extLst>
        </c:ser>
        <c:dLbls>
          <c:showLegendKey val="0"/>
          <c:showVal val="0"/>
          <c:showCatName val="0"/>
          <c:showSerName val="0"/>
          <c:showPercent val="0"/>
          <c:showBubbleSize val="0"/>
        </c:dLbls>
        <c:gapWidth val="150"/>
        <c:axId val="660983088"/>
        <c:axId val="1"/>
      </c:barChart>
      <c:catAx>
        <c:axId val="6609830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de-DE"/>
          </a:p>
        </c:txPr>
        <c:crossAx val="660983088"/>
        <c:crosses val="max"/>
        <c:crossBetween val="between"/>
      </c:valAx>
      <c:spPr>
        <a:noFill/>
        <a:ln w="3175">
          <a:solidFill>
            <a:srgbClr val="000000"/>
          </a:solidFill>
          <a:prstDash val="solid"/>
        </a:ln>
      </c:spPr>
    </c:plotArea>
    <c:legend>
      <c:legendPos val="r"/>
      <c:layout>
        <c:manualLayout>
          <c:xMode val="edge"/>
          <c:yMode val="edge"/>
          <c:x val="0.80891870204122573"/>
          <c:y val="0.3863640624467396"/>
          <c:w val="0.15668823244228236"/>
          <c:h val="0.27272769881037595"/>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Gliederung der Pflanzenschutzkosten</a:t>
            </a:r>
          </a:p>
        </c:rich>
      </c:tx>
      <c:layout>
        <c:manualLayout>
          <c:xMode val="edge"/>
          <c:yMode val="edge"/>
          <c:x val="0.29291020947222363"/>
          <c:y val="3.1119174156767692E-2"/>
        </c:manualLayout>
      </c:layout>
      <c:overlay val="0"/>
      <c:spPr>
        <a:noFill/>
        <a:ln w="25400">
          <a:noFill/>
        </a:ln>
      </c:spPr>
    </c:title>
    <c:autoTitleDeleted val="0"/>
    <c:plotArea>
      <c:layout>
        <c:manualLayout>
          <c:layoutTarget val="inner"/>
          <c:xMode val="edge"/>
          <c:yMode val="edge"/>
          <c:x val="0.14568024460647785"/>
          <c:y val="0.15559567915754852"/>
          <c:w val="0.66795941941906345"/>
          <c:h val="0.71813390380407005"/>
        </c:manualLayout>
      </c:layout>
      <c:barChart>
        <c:barDir val="bar"/>
        <c:grouping val="clustered"/>
        <c:varyColors val="0"/>
        <c:ser>
          <c:idx val="0"/>
          <c:order val="0"/>
          <c:tx>
            <c:strRef>
              <c:f>'Standard Ertragsphase'!$B$135</c:f>
              <c:strCache>
                <c:ptCount val="1"/>
                <c:pt idx="0">
                  <c:v>Standard</c:v>
                </c:pt>
              </c:strCache>
            </c:strRef>
          </c:tx>
          <c:spPr>
            <a:solidFill>
              <a:srgbClr val="000080"/>
            </a:solidFill>
            <a:ln w="12700">
              <a:solidFill>
                <a:srgbClr val="000000"/>
              </a:solidFill>
              <a:prstDash val="solid"/>
            </a:ln>
          </c:spPr>
          <c:invertIfNegative val="0"/>
          <c:cat>
            <c:strRef>
              <c:f>'Var Ertragsphase'!$A$152:$A$154</c:f>
              <c:strCache>
                <c:ptCount val="3"/>
                <c:pt idx="0">
                  <c:v>Material</c:v>
                </c:pt>
                <c:pt idx="1">
                  <c:v>Maschinen</c:v>
                </c:pt>
                <c:pt idx="2">
                  <c:v>Arbeit</c:v>
                </c:pt>
              </c:strCache>
            </c:strRef>
          </c:cat>
          <c:val>
            <c:numRef>
              <c:f>'Standard Ertragsphase'!$B$152:$B$154</c:f>
              <c:numCache>
                <c:formatCode>\ #,##0\ "Fr."</c:formatCode>
                <c:ptCount val="3"/>
                <c:pt idx="0">
                  <c:v>2500</c:v>
                </c:pt>
                <c:pt idx="1">
                  <c:v>1578</c:v>
                </c:pt>
                <c:pt idx="2">
                  <c:v>1275.3000000000002</c:v>
                </c:pt>
              </c:numCache>
            </c:numRef>
          </c:val>
          <c:extLst>
            <c:ext xmlns:c16="http://schemas.microsoft.com/office/drawing/2014/chart" uri="{C3380CC4-5D6E-409C-BE32-E72D297353CC}">
              <c16:uniqueId val="{00000000-DD77-47E6-96A2-DF631619B5F2}"/>
            </c:ext>
          </c:extLst>
        </c:ser>
        <c:ser>
          <c:idx val="1"/>
          <c:order val="1"/>
          <c:tx>
            <c:strRef>
              <c:f>'Var Ertragsphase'!$B$135</c:f>
              <c:strCache>
                <c:ptCount val="1"/>
                <c:pt idx="0">
                  <c:v>Variante</c:v>
                </c:pt>
              </c:strCache>
            </c:strRef>
          </c:tx>
          <c:spPr>
            <a:solidFill>
              <a:srgbClr val="FF66CC"/>
            </a:solidFill>
            <a:ln w="12700">
              <a:solidFill>
                <a:srgbClr val="000000"/>
              </a:solidFill>
              <a:prstDash val="solid"/>
            </a:ln>
          </c:spPr>
          <c:invertIfNegative val="0"/>
          <c:cat>
            <c:strRef>
              <c:f>'Var Ertragsphase'!$A$152:$A$154</c:f>
              <c:strCache>
                <c:ptCount val="3"/>
                <c:pt idx="0">
                  <c:v>Material</c:v>
                </c:pt>
                <c:pt idx="1">
                  <c:v>Maschinen</c:v>
                </c:pt>
                <c:pt idx="2">
                  <c:v>Arbeit</c:v>
                </c:pt>
              </c:strCache>
            </c:strRef>
          </c:cat>
          <c:val>
            <c:numRef>
              <c:f>'Var Ertragsphase'!$B$152:$B$154</c:f>
              <c:numCache>
                <c:formatCode>\ #,##0\ "Fr."</c:formatCode>
                <c:ptCount val="3"/>
                <c:pt idx="0">
                  <c:v>2500</c:v>
                </c:pt>
                <c:pt idx="1">
                  <c:v>1578</c:v>
                </c:pt>
                <c:pt idx="2">
                  <c:v>1275.3000000000002</c:v>
                </c:pt>
              </c:numCache>
            </c:numRef>
          </c:val>
          <c:extLst>
            <c:ext xmlns:c16="http://schemas.microsoft.com/office/drawing/2014/chart" uri="{C3380CC4-5D6E-409C-BE32-E72D297353CC}">
              <c16:uniqueId val="{00000001-DD77-47E6-96A2-DF631619B5F2}"/>
            </c:ext>
          </c:extLst>
        </c:ser>
        <c:dLbls>
          <c:showLegendKey val="0"/>
          <c:showVal val="0"/>
          <c:showCatName val="0"/>
          <c:showSerName val="0"/>
          <c:showPercent val="0"/>
          <c:showBubbleSize val="0"/>
        </c:dLbls>
        <c:gapWidth val="100"/>
        <c:axId val="660984400"/>
        <c:axId val="1"/>
      </c:barChart>
      <c:catAx>
        <c:axId val="6609844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660984400"/>
        <c:crosses val="max"/>
        <c:crossBetween val="between"/>
      </c:valAx>
      <c:spPr>
        <a:noFill/>
        <a:ln w="3175">
          <a:solidFill>
            <a:srgbClr val="000000"/>
          </a:solidFill>
          <a:prstDash val="solid"/>
        </a:ln>
      </c:spPr>
    </c:plotArea>
    <c:legend>
      <c:legendPos val="r"/>
      <c:layout>
        <c:manualLayout>
          <c:xMode val="edge"/>
          <c:yMode val="edge"/>
          <c:x val="0.79363207783740408"/>
          <c:y val="0.43021157967108797"/>
          <c:w val="0.16178377384355613"/>
          <c:h val="0.16061235653382716"/>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Anteil der Pflanzenschutzkosten</a:t>
            </a:r>
          </a:p>
        </c:rich>
      </c:tx>
      <c:layout>
        <c:manualLayout>
          <c:xMode val="edge"/>
          <c:yMode val="edge"/>
          <c:x val="0.32142852366384139"/>
          <c:y val="3.2581556048008969E-2"/>
        </c:manualLayout>
      </c:layout>
      <c:overlay val="0"/>
      <c:spPr>
        <a:noFill/>
        <a:ln w="25400">
          <a:noFill/>
        </a:ln>
      </c:spPr>
    </c:title>
    <c:autoTitleDeleted val="0"/>
    <c:plotArea>
      <c:layout>
        <c:manualLayout>
          <c:layoutTarget val="inner"/>
          <c:xMode val="edge"/>
          <c:yMode val="edge"/>
          <c:x val="0.21118012422360249"/>
          <c:y val="0.18797021235065867"/>
          <c:w val="0.62422360248447206"/>
          <c:h val="0.69674292044644148"/>
        </c:manualLayout>
      </c:layout>
      <c:barChart>
        <c:barDir val="bar"/>
        <c:grouping val="clustered"/>
        <c:varyColors val="0"/>
        <c:ser>
          <c:idx val="0"/>
          <c:order val="0"/>
          <c:tx>
            <c:strRef>
              <c:f>'Standard Ertragsphase'!$B$135</c:f>
              <c:strCache>
                <c:ptCount val="1"/>
                <c:pt idx="0">
                  <c:v>Standard</c:v>
                </c:pt>
              </c:strCache>
            </c:strRef>
          </c:tx>
          <c:spPr>
            <a:solidFill>
              <a:srgbClr val="000080"/>
            </a:solidFill>
            <a:ln w="12700">
              <a:solidFill>
                <a:srgbClr val="000000"/>
              </a:solidFill>
              <a:prstDash val="solid"/>
            </a:ln>
          </c:spPr>
          <c:invertIfNegative val="0"/>
          <c:cat>
            <c:strRef>
              <c:f>'Var Ertragsphase'!$A$148:$A$149</c:f>
              <c:strCache>
                <c:ptCount val="2"/>
                <c:pt idx="0">
                  <c:v>Total Pflanzenschutz</c:v>
                </c:pt>
                <c:pt idx="1">
                  <c:v>übrige Produktionskosten</c:v>
                </c:pt>
              </c:strCache>
            </c:strRef>
          </c:cat>
          <c:val>
            <c:numRef>
              <c:f>'Standard Ertragsphase'!$B$148:$B$149</c:f>
              <c:numCache>
                <c:formatCode>\ #,##0\ "Fr."</c:formatCode>
                <c:ptCount val="2"/>
                <c:pt idx="0">
                  <c:v>5353.3</c:v>
                </c:pt>
                <c:pt idx="1">
                  <c:v>81601.694836930488</c:v>
                </c:pt>
              </c:numCache>
            </c:numRef>
          </c:val>
          <c:extLst>
            <c:ext xmlns:c16="http://schemas.microsoft.com/office/drawing/2014/chart" uri="{C3380CC4-5D6E-409C-BE32-E72D297353CC}">
              <c16:uniqueId val="{00000000-435E-4325-A3AE-39679BA77464}"/>
            </c:ext>
          </c:extLst>
        </c:ser>
        <c:ser>
          <c:idx val="1"/>
          <c:order val="1"/>
          <c:tx>
            <c:strRef>
              <c:f>'Var Ertragsphase'!$B$135</c:f>
              <c:strCache>
                <c:ptCount val="1"/>
                <c:pt idx="0">
                  <c:v>Variante</c:v>
                </c:pt>
              </c:strCache>
            </c:strRef>
          </c:tx>
          <c:spPr>
            <a:solidFill>
              <a:srgbClr val="FF66CC"/>
            </a:solidFill>
            <a:ln w="12700">
              <a:solidFill>
                <a:srgbClr val="000000"/>
              </a:solidFill>
              <a:prstDash val="solid"/>
            </a:ln>
          </c:spPr>
          <c:invertIfNegative val="0"/>
          <c:cat>
            <c:strRef>
              <c:f>'Var Ertragsphase'!$A$148:$A$149</c:f>
              <c:strCache>
                <c:ptCount val="2"/>
                <c:pt idx="0">
                  <c:v>Total Pflanzenschutz</c:v>
                </c:pt>
                <c:pt idx="1">
                  <c:v>übrige Produktionskosten</c:v>
                </c:pt>
              </c:strCache>
            </c:strRef>
          </c:cat>
          <c:val>
            <c:numRef>
              <c:f>'Var Ertragsphase'!$B$148:$B$149</c:f>
              <c:numCache>
                <c:formatCode>\ #,##0\ "Fr."</c:formatCode>
                <c:ptCount val="2"/>
                <c:pt idx="0">
                  <c:v>5353.3</c:v>
                </c:pt>
                <c:pt idx="1">
                  <c:v>81601.694836930488</c:v>
                </c:pt>
              </c:numCache>
            </c:numRef>
          </c:val>
          <c:extLst>
            <c:ext xmlns:c16="http://schemas.microsoft.com/office/drawing/2014/chart" uri="{C3380CC4-5D6E-409C-BE32-E72D297353CC}">
              <c16:uniqueId val="{00000001-435E-4325-A3AE-39679BA77464}"/>
            </c:ext>
          </c:extLst>
        </c:ser>
        <c:dLbls>
          <c:showLegendKey val="0"/>
          <c:showVal val="0"/>
          <c:showCatName val="0"/>
          <c:showSerName val="0"/>
          <c:showPercent val="0"/>
          <c:showBubbleSize val="0"/>
        </c:dLbls>
        <c:gapWidth val="150"/>
        <c:axId val="660986040"/>
        <c:axId val="1"/>
      </c:barChart>
      <c:catAx>
        <c:axId val="660986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660986040"/>
        <c:crosses val="max"/>
        <c:crossBetween val="between"/>
      </c:valAx>
      <c:spPr>
        <a:noFill/>
        <a:ln w="3175">
          <a:solidFill>
            <a:srgbClr val="000000"/>
          </a:solidFill>
          <a:prstDash val="solid"/>
        </a:ln>
      </c:spPr>
    </c:plotArea>
    <c:legend>
      <c:legendPos val="r"/>
      <c:layout>
        <c:manualLayout>
          <c:xMode val="edge"/>
          <c:yMode val="edge"/>
          <c:x val="0.78344099503485631"/>
          <c:y val="0.5109798775153106"/>
          <c:w val="0.15541434709196378"/>
          <c:h val="0.17564922648142034"/>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Anteil der Erntekosten</a:t>
            </a:r>
          </a:p>
        </c:rich>
      </c:tx>
      <c:layout>
        <c:manualLayout>
          <c:xMode val="edge"/>
          <c:yMode val="edge"/>
          <c:x val="0.37391990517314366"/>
          <c:y val="3.1119263501153266E-2"/>
        </c:manualLayout>
      </c:layout>
      <c:overlay val="0"/>
      <c:spPr>
        <a:noFill/>
        <a:ln w="25400">
          <a:noFill/>
        </a:ln>
      </c:spPr>
    </c:title>
    <c:autoTitleDeleted val="0"/>
    <c:plotArea>
      <c:layout>
        <c:manualLayout>
          <c:layoutTarget val="inner"/>
          <c:xMode val="edge"/>
          <c:yMode val="edge"/>
          <c:x val="0.1871069182389937"/>
          <c:y val="0.13970588235294118"/>
          <c:w val="0.61949685534591192"/>
          <c:h val="0.73039215686274506"/>
        </c:manualLayout>
      </c:layout>
      <c:barChart>
        <c:barDir val="bar"/>
        <c:grouping val="clustered"/>
        <c:varyColors val="0"/>
        <c:ser>
          <c:idx val="0"/>
          <c:order val="0"/>
          <c:tx>
            <c:strRef>
              <c:f>'Standard Ertragsphase'!$B$159</c:f>
              <c:strCache>
                <c:ptCount val="1"/>
                <c:pt idx="0">
                  <c:v>Standard</c:v>
                </c:pt>
              </c:strCache>
            </c:strRef>
          </c:tx>
          <c:spPr>
            <a:solidFill>
              <a:srgbClr val="000080"/>
            </a:solidFill>
            <a:ln w="12700">
              <a:solidFill>
                <a:srgbClr val="000000"/>
              </a:solidFill>
              <a:prstDash val="solid"/>
            </a:ln>
          </c:spPr>
          <c:invertIfNegative val="0"/>
          <c:cat>
            <c:strRef>
              <c:f>'Var Ertragsphase'!$A$166:$A$167</c:f>
              <c:strCache>
                <c:ptCount val="2"/>
                <c:pt idx="0">
                  <c:v>Total Ernte</c:v>
                </c:pt>
                <c:pt idx="1">
                  <c:v>übrige Produktionskosten</c:v>
                </c:pt>
              </c:strCache>
            </c:strRef>
          </c:cat>
          <c:val>
            <c:numRef>
              <c:f>'Standard Ertragsphase'!$B$166:$B$167</c:f>
              <c:numCache>
                <c:formatCode>\ #,##0\ "Fr."</c:formatCode>
                <c:ptCount val="2"/>
                <c:pt idx="0">
                  <c:v>31655</c:v>
                </c:pt>
                <c:pt idx="1">
                  <c:v>55299.994836930491</c:v>
                </c:pt>
              </c:numCache>
            </c:numRef>
          </c:val>
          <c:extLst>
            <c:ext xmlns:c16="http://schemas.microsoft.com/office/drawing/2014/chart" uri="{C3380CC4-5D6E-409C-BE32-E72D297353CC}">
              <c16:uniqueId val="{00000000-F24C-42BD-B00A-83D85DC27355}"/>
            </c:ext>
          </c:extLst>
        </c:ser>
        <c:ser>
          <c:idx val="1"/>
          <c:order val="1"/>
          <c:tx>
            <c:strRef>
              <c:f>'Var Ertragsphase'!$B$159</c:f>
              <c:strCache>
                <c:ptCount val="1"/>
                <c:pt idx="0">
                  <c:v>Variante</c:v>
                </c:pt>
              </c:strCache>
            </c:strRef>
          </c:tx>
          <c:spPr>
            <a:solidFill>
              <a:srgbClr val="FF66CC"/>
            </a:solidFill>
            <a:ln w="12700">
              <a:solidFill>
                <a:srgbClr val="000000"/>
              </a:solidFill>
              <a:prstDash val="solid"/>
            </a:ln>
          </c:spPr>
          <c:invertIfNegative val="0"/>
          <c:cat>
            <c:strRef>
              <c:f>'Var Ertragsphase'!$A$166:$A$167</c:f>
              <c:strCache>
                <c:ptCount val="2"/>
                <c:pt idx="0">
                  <c:v>Total Ernte</c:v>
                </c:pt>
                <c:pt idx="1">
                  <c:v>übrige Produktionskosten</c:v>
                </c:pt>
              </c:strCache>
            </c:strRef>
          </c:cat>
          <c:val>
            <c:numRef>
              <c:f>'Var Ertragsphase'!$B$166:$B$167</c:f>
              <c:numCache>
                <c:formatCode>\ #,##0\ "Fr."</c:formatCode>
                <c:ptCount val="2"/>
                <c:pt idx="0">
                  <c:v>31655</c:v>
                </c:pt>
                <c:pt idx="1">
                  <c:v>55299.994836930491</c:v>
                </c:pt>
              </c:numCache>
            </c:numRef>
          </c:val>
          <c:extLst>
            <c:ext xmlns:c16="http://schemas.microsoft.com/office/drawing/2014/chart" uri="{C3380CC4-5D6E-409C-BE32-E72D297353CC}">
              <c16:uniqueId val="{00000001-F24C-42BD-B00A-83D85DC27355}"/>
            </c:ext>
          </c:extLst>
        </c:ser>
        <c:dLbls>
          <c:showLegendKey val="0"/>
          <c:showVal val="0"/>
          <c:showCatName val="0"/>
          <c:showSerName val="0"/>
          <c:showPercent val="0"/>
          <c:showBubbleSize val="0"/>
        </c:dLbls>
        <c:gapWidth val="150"/>
        <c:axId val="660986368"/>
        <c:axId val="1"/>
      </c:barChart>
      <c:catAx>
        <c:axId val="6609863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660986368"/>
        <c:crosses val="max"/>
        <c:crossBetween val="between"/>
      </c:valAx>
      <c:spPr>
        <a:noFill/>
        <a:ln w="3175">
          <a:solidFill>
            <a:srgbClr val="000000"/>
          </a:solidFill>
          <a:prstDash val="solid"/>
        </a:ln>
      </c:spPr>
    </c:plotArea>
    <c:legend>
      <c:legendPos val="r"/>
      <c:layout>
        <c:manualLayout>
          <c:xMode val="edge"/>
          <c:yMode val="edge"/>
          <c:x val="0.80000084666836002"/>
          <c:y val="0.45454620019088521"/>
          <c:w val="0.1587098467530268"/>
          <c:h val="0.1344699455181738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Gliederung der Erntekosten</a:t>
            </a:r>
          </a:p>
        </c:rich>
      </c:tx>
      <c:layout>
        <c:manualLayout>
          <c:xMode val="edge"/>
          <c:yMode val="edge"/>
          <c:x val="0.36079665522578913"/>
          <c:y val="3.2581414400734698E-2"/>
        </c:manualLayout>
      </c:layout>
      <c:overlay val="0"/>
      <c:spPr>
        <a:noFill/>
        <a:ln w="25400">
          <a:noFill/>
        </a:ln>
      </c:spPr>
    </c:title>
    <c:autoTitleDeleted val="0"/>
    <c:plotArea>
      <c:layout>
        <c:manualLayout>
          <c:layoutTarget val="inner"/>
          <c:xMode val="edge"/>
          <c:yMode val="edge"/>
          <c:x val="0.12495119094103865"/>
          <c:y val="0.12030093590442155"/>
          <c:w val="0.67629832096837172"/>
          <c:h val="0.72180561542652932"/>
        </c:manualLayout>
      </c:layout>
      <c:barChart>
        <c:barDir val="bar"/>
        <c:grouping val="clustered"/>
        <c:varyColors val="0"/>
        <c:ser>
          <c:idx val="0"/>
          <c:order val="0"/>
          <c:tx>
            <c:strRef>
              <c:f>'Standard Ertragsphase'!$B$159</c:f>
              <c:strCache>
                <c:ptCount val="1"/>
                <c:pt idx="0">
                  <c:v>Standard</c:v>
                </c:pt>
              </c:strCache>
            </c:strRef>
          </c:tx>
          <c:spPr>
            <a:solidFill>
              <a:srgbClr val="000080"/>
            </a:solidFill>
            <a:ln w="12700">
              <a:solidFill>
                <a:srgbClr val="000000"/>
              </a:solidFill>
              <a:prstDash val="solid"/>
            </a:ln>
          </c:spPr>
          <c:invertIfNegative val="0"/>
          <c:cat>
            <c:strRef>
              <c:f>'Var Ertragsphase'!$A$170:$A$171</c:f>
              <c:strCache>
                <c:ptCount val="2"/>
                <c:pt idx="0">
                  <c:v>Maschinen</c:v>
                </c:pt>
                <c:pt idx="1">
                  <c:v>Arbeit</c:v>
                </c:pt>
              </c:strCache>
            </c:strRef>
          </c:cat>
          <c:val>
            <c:numRef>
              <c:f>'Standard Ertragsphase'!$B$170:$B$171</c:f>
              <c:numCache>
                <c:formatCode>\ #,##0\ "Fr."</c:formatCode>
                <c:ptCount val="2"/>
                <c:pt idx="0">
                  <c:v>7149.9999999999991</c:v>
                </c:pt>
                <c:pt idx="1">
                  <c:v>24505</c:v>
                </c:pt>
              </c:numCache>
            </c:numRef>
          </c:val>
          <c:extLst>
            <c:ext xmlns:c16="http://schemas.microsoft.com/office/drawing/2014/chart" uri="{C3380CC4-5D6E-409C-BE32-E72D297353CC}">
              <c16:uniqueId val="{00000000-76CB-4486-81D3-3E95B4626713}"/>
            </c:ext>
          </c:extLst>
        </c:ser>
        <c:ser>
          <c:idx val="1"/>
          <c:order val="1"/>
          <c:tx>
            <c:strRef>
              <c:f>'Var Ertragsphase'!$B$159</c:f>
              <c:strCache>
                <c:ptCount val="1"/>
                <c:pt idx="0">
                  <c:v>Variante</c:v>
                </c:pt>
              </c:strCache>
            </c:strRef>
          </c:tx>
          <c:spPr>
            <a:solidFill>
              <a:srgbClr val="FF66CC"/>
            </a:solidFill>
            <a:ln w="12700">
              <a:solidFill>
                <a:srgbClr val="000000"/>
              </a:solidFill>
              <a:prstDash val="solid"/>
            </a:ln>
          </c:spPr>
          <c:invertIfNegative val="0"/>
          <c:cat>
            <c:strRef>
              <c:f>'Var Ertragsphase'!$A$170:$A$171</c:f>
              <c:strCache>
                <c:ptCount val="2"/>
                <c:pt idx="0">
                  <c:v>Maschinen</c:v>
                </c:pt>
                <c:pt idx="1">
                  <c:v>Arbeit</c:v>
                </c:pt>
              </c:strCache>
            </c:strRef>
          </c:cat>
          <c:val>
            <c:numRef>
              <c:f>'Var Ertragsphase'!$B$170:$B$171</c:f>
              <c:numCache>
                <c:formatCode>\ #,##0\ "Fr."</c:formatCode>
                <c:ptCount val="2"/>
                <c:pt idx="0">
                  <c:v>7149.9999999999991</c:v>
                </c:pt>
                <c:pt idx="1">
                  <c:v>24505</c:v>
                </c:pt>
              </c:numCache>
            </c:numRef>
          </c:val>
          <c:extLst>
            <c:ext xmlns:c16="http://schemas.microsoft.com/office/drawing/2014/chart" uri="{C3380CC4-5D6E-409C-BE32-E72D297353CC}">
              <c16:uniqueId val="{00000001-76CB-4486-81D3-3E95B4626713}"/>
            </c:ext>
          </c:extLst>
        </c:ser>
        <c:dLbls>
          <c:showLegendKey val="0"/>
          <c:showVal val="0"/>
          <c:showCatName val="0"/>
          <c:showSerName val="0"/>
          <c:showPercent val="0"/>
          <c:showBubbleSize val="0"/>
        </c:dLbls>
        <c:gapWidth val="150"/>
        <c:axId val="660979152"/>
        <c:axId val="1"/>
      </c:barChart>
      <c:catAx>
        <c:axId val="6609791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660979152"/>
        <c:crosses val="max"/>
        <c:crossBetween val="between"/>
      </c:valAx>
      <c:spPr>
        <a:noFill/>
        <a:ln w="3175">
          <a:solidFill>
            <a:srgbClr val="000000"/>
          </a:solidFill>
          <a:prstDash val="solid"/>
        </a:ln>
      </c:spPr>
    </c:plotArea>
    <c:legend>
      <c:legendPos val="r"/>
      <c:layout>
        <c:manualLayout>
          <c:xMode val="edge"/>
          <c:yMode val="edge"/>
          <c:wMode val="edge"/>
          <c:hMode val="edge"/>
          <c:x val="0.78717965542768698"/>
          <c:y val="0.39960264658766559"/>
          <c:w val="0.94487196311999466"/>
          <c:h val="0.56063644380436539"/>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Gliederung nach Direkt- und Strukturkosten</a:t>
            </a:r>
          </a:p>
        </c:rich>
      </c:tx>
      <c:layout>
        <c:manualLayout>
          <c:xMode val="edge"/>
          <c:yMode val="edge"/>
          <c:x val="0.26040101000033222"/>
          <c:y val="3.2890452821653815E-2"/>
        </c:manualLayout>
      </c:layout>
      <c:overlay val="0"/>
      <c:spPr>
        <a:noFill/>
        <a:ln w="25400">
          <a:noFill/>
        </a:ln>
      </c:spPr>
    </c:title>
    <c:autoTitleDeleted val="0"/>
    <c:plotArea>
      <c:layout>
        <c:manualLayout>
          <c:layoutTarget val="inner"/>
          <c:xMode val="edge"/>
          <c:yMode val="edge"/>
          <c:x val="0.20647188295974231"/>
          <c:y val="9.6141830943242856E-2"/>
          <c:w val="0.60708896929954081"/>
          <c:h val="0.794435129373112"/>
        </c:manualLayout>
      </c:layout>
      <c:barChart>
        <c:barDir val="bar"/>
        <c:grouping val="clustered"/>
        <c:varyColors val="0"/>
        <c:ser>
          <c:idx val="0"/>
          <c:order val="0"/>
          <c:tx>
            <c:strRef>
              <c:f>'Standard Ertragsphase'!$B$128</c:f>
              <c:strCache>
                <c:ptCount val="1"/>
                <c:pt idx="0">
                  <c:v>Standard</c:v>
                </c:pt>
              </c:strCache>
            </c:strRef>
          </c:tx>
          <c:spPr>
            <a:solidFill>
              <a:srgbClr val="000080"/>
            </a:solidFill>
            <a:ln w="12700">
              <a:solidFill>
                <a:srgbClr val="000000"/>
              </a:solidFill>
              <a:prstDash val="solid"/>
            </a:ln>
          </c:spPr>
          <c:invertIfNegative val="0"/>
          <c:cat>
            <c:strRef>
              <c:f>'Var Ertragsphase'!$A$129:$A$130</c:f>
              <c:strCache>
                <c:ptCount val="2"/>
                <c:pt idx="0">
                  <c:v>Total Direktkosten</c:v>
                </c:pt>
                <c:pt idx="1">
                  <c:v>Total Strukturkosten</c:v>
                </c:pt>
              </c:strCache>
            </c:strRef>
          </c:cat>
          <c:val>
            <c:numRef>
              <c:f>'Standard Ertragsphase'!$B$129:$B$130</c:f>
              <c:numCache>
                <c:formatCode>\ #,##0\ "Fr."</c:formatCode>
                <c:ptCount val="2"/>
                <c:pt idx="0">
                  <c:v>38781.134267449219</c:v>
                </c:pt>
                <c:pt idx="1">
                  <c:v>48173.860569481272</c:v>
                </c:pt>
              </c:numCache>
            </c:numRef>
          </c:val>
          <c:extLst>
            <c:ext xmlns:c16="http://schemas.microsoft.com/office/drawing/2014/chart" uri="{C3380CC4-5D6E-409C-BE32-E72D297353CC}">
              <c16:uniqueId val="{00000000-28C9-42C1-AE20-3DBD904477B5}"/>
            </c:ext>
          </c:extLst>
        </c:ser>
        <c:ser>
          <c:idx val="1"/>
          <c:order val="1"/>
          <c:tx>
            <c:strRef>
              <c:f>'Var Ertragsphase'!$B$128</c:f>
              <c:strCache>
                <c:ptCount val="1"/>
                <c:pt idx="0">
                  <c:v>Variante</c:v>
                </c:pt>
              </c:strCache>
            </c:strRef>
          </c:tx>
          <c:spPr>
            <a:solidFill>
              <a:srgbClr val="FF66CC"/>
            </a:solidFill>
            <a:ln w="12700">
              <a:solidFill>
                <a:srgbClr val="000000"/>
              </a:solidFill>
              <a:prstDash val="solid"/>
            </a:ln>
          </c:spPr>
          <c:invertIfNegative val="0"/>
          <c:cat>
            <c:strRef>
              <c:f>'Var Ertragsphase'!$A$129:$A$130</c:f>
              <c:strCache>
                <c:ptCount val="2"/>
                <c:pt idx="0">
                  <c:v>Total Direktkosten</c:v>
                </c:pt>
                <c:pt idx="1">
                  <c:v>Total Strukturkosten</c:v>
                </c:pt>
              </c:strCache>
            </c:strRef>
          </c:cat>
          <c:val>
            <c:numRef>
              <c:f>'Var Ertragsphase'!$B$129:$B$130</c:f>
              <c:numCache>
                <c:formatCode>\ #,##0\ "Fr."</c:formatCode>
                <c:ptCount val="2"/>
                <c:pt idx="0">
                  <c:v>38781.134267449219</c:v>
                </c:pt>
                <c:pt idx="1">
                  <c:v>48173.860569481272</c:v>
                </c:pt>
              </c:numCache>
            </c:numRef>
          </c:val>
          <c:extLst>
            <c:ext xmlns:c16="http://schemas.microsoft.com/office/drawing/2014/chart" uri="{C3380CC4-5D6E-409C-BE32-E72D297353CC}">
              <c16:uniqueId val="{00000001-28C9-42C1-AE20-3DBD904477B5}"/>
            </c:ext>
          </c:extLst>
        </c:ser>
        <c:dLbls>
          <c:showLegendKey val="0"/>
          <c:showVal val="0"/>
          <c:showCatName val="0"/>
          <c:showSerName val="0"/>
          <c:showPercent val="0"/>
          <c:showBubbleSize val="0"/>
        </c:dLbls>
        <c:gapWidth val="150"/>
        <c:axId val="660971608"/>
        <c:axId val="1"/>
      </c:barChart>
      <c:catAx>
        <c:axId val="6609716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660971608"/>
        <c:crosses val="max"/>
        <c:crossBetween val="between"/>
      </c:valAx>
      <c:spPr>
        <a:noFill/>
        <a:ln w="3175">
          <a:solidFill>
            <a:srgbClr val="000000"/>
          </a:solidFill>
          <a:prstDash val="solid"/>
        </a:ln>
      </c:spPr>
    </c:plotArea>
    <c:legend>
      <c:legendPos val="r"/>
      <c:layout>
        <c:manualLayout>
          <c:xMode val="edge"/>
          <c:yMode val="edge"/>
          <c:x val="0.80379829894680888"/>
          <c:y val="0.34268615972101685"/>
          <c:w val="0.15822801421974153"/>
          <c:h val="0.17835723941320963"/>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38743825169649"/>
          <c:y val="0.15866311826365045"/>
          <c:w val="0.74190718543446643"/>
          <c:h val="0.72339625106647409"/>
        </c:manualLayout>
      </c:layout>
      <c:scatterChart>
        <c:scatterStyle val="lineMarker"/>
        <c:varyColors val="0"/>
        <c:ser>
          <c:idx val="0"/>
          <c:order val="0"/>
          <c:spPr>
            <a:ln w="38100">
              <a:solidFill>
                <a:srgbClr val="7030A0"/>
              </a:solidFill>
              <a:prstDash val="solid"/>
            </a:ln>
          </c:spPr>
          <c:marker>
            <c:symbol val="diamond"/>
            <c:size val="9"/>
            <c:spPr>
              <a:solidFill>
                <a:schemeClr val="accent4"/>
              </a:solidFill>
              <a:ln>
                <a:solidFill>
                  <a:schemeClr val="accent4"/>
                </a:solidFill>
                <a:prstDash val="solid"/>
              </a:ln>
            </c:spPr>
          </c:marker>
          <c:xVal>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Cashflow'!$C$26:$C$42</c:f>
              <c:numCache>
                <c:formatCode>\ #,##0\ "Fr."</c:formatCode>
                <c:ptCount val="17"/>
                <c:pt idx="0">
                  <c:v>-83750.049866666683</c:v>
                </c:pt>
                <c:pt idx="1">
                  <c:v>-93834.025315466686</c:v>
                </c:pt>
                <c:pt idx="2">
                  <c:v>-104192.09654330589</c:v>
                </c:pt>
                <c:pt idx="3">
                  <c:v>-168806.69325953699</c:v>
                </c:pt>
                <c:pt idx="4">
                  <c:v>-178160.17572014214</c:v>
                </c:pt>
                <c:pt idx="5">
                  <c:v>-177855.374363373</c:v>
                </c:pt>
                <c:pt idx="6">
                  <c:v>-170033.23567432433</c:v>
                </c:pt>
                <c:pt idx="7">
                  <c:v>-155716.10006983581</c:v>
                </c:pt>
                <c:pt idx="8">
                  <c:v>-140811.11024490689</c:v>
                </c:pt>
                <c:pt idx="9">
                  <c:v>-125771.97551155361</c:v>
                </c:pt>
                <c:pt idx="10">
                  <c:v>-158742.58856560013</c:v>
                </c:pt>
                <c:pt idx="11">
                  <c:v>-146733.00283181577</c:v>
                </c:pt>
                <c:pt idx="12">
                  <c:v>-134615.33082642735</c:v>
                </c:pt>
                <c:pt idx="13">
                  <c:v>-122847.59977299042</c:v>
                </c:pt>
                <c:pt idx="14">
                  <c:v>-110514.95914007255</c:v>
                </c:pt>
                <c:pt idx="15">
                  <c:v>-100939.4904361411</c:v>
                </c:pt>
                <c:pt idx="16">
                  <c:v>-100146.00820855694</c:v>
                </c:pt>
              </c:numCache>
            </c:numRef>
          </c:yVal>
          <c:smooth val="0"/>
          <c:extLst>
            <c:ext xmlns:c16="http://schemas.microsoft.com/office/drawing/2014/chart" uri="{C3380CC4-5D6E-409C-BE32-E72D297353CC}">
              <c16:uniqueId val="{00000000-44BD-4306-8DB7-61E6BAB8C1C5}"/>
            </c:ext>
          </c:extLst>
        </c:ser>
        <c:dLbls>
          <c:showLegendKey val="0"/>
          <c:showVal val="0"/>
          <c:showCatName val="0"/>
          <c:showSerName val="0"/>
          <c:showPercent val="0"/>
          <c:showBubbleSize val="0"/>
        </c:dLbls>
        <c:axId val="660973576"/>
        <c:axId val="1"/>
      </c:scatterChart>
      <c:valAx>
        <c:axId val="6609735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2178095200411512"/>
              <c:y val="0.911640523281046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1527057861485903E-3"/>
              <c:y val="0.44371887077107486"/>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60973576"/>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C0C0C0"/>
        </a:gs>
        <a:gs pos="100000">
          <a:srgbClr val="C0C0C0">
            <a:gamma/>
            <a:tint val="33725"/>
            <a:invGamma/>
          </a:srgbClr>
        </a:gs>
      </a:gsLst>
      <a:path path="rect">
        <a:fillToRect l="50000" t="50000" r="50000" b="50000"/>
      </a:path>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81515648740341"/>
          <c:y val="0.15685534661952444"/>
          <c:w val="0.74464673209620713"/>
          <c:h val="0.72578829876491824"/>
        </c:manualLayout>
      </c:layout>
      <c:scatterChart>
        <c:scatterStyle val="lineMarker"/>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xVal>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Cashflow'!$C$26:$C$42</c:f>
              <c:numCache>
                <c:formatCode>\ #,##0\ "Fr."</c:formatCode>
                <c:ptCount val="17"/>
                <c:pt idx="0">
                  <c:v>-83750.049866666683</c:v>
                </c:pt>
                <c:pt idx="1">
                  <c:v>-93834.025315466686</c:v>
                </c:pt>
                <c:pt idx="2">
                  <c:v>-104192.09654330589</c:v>
                </c:pt>
                <c:pt idx="3">
                  <c:v>-168806.69325953699</c:v>
                </c:pt>
                <c:pt idx="4">
                  <c:v>-178160.17572014211</c:v>
                </c:pt>
                <c:pt idx="5">
                  <c:v>-177855.37436337298</c:v>
                </c:pt>
                <c:pt idx="6">
                  <c:v>-170033.2356743243</c:v>
                </c:pt>
                <c:pt idx="7">
                  <c:v>-155716.10006983578</c:v>
                </c:pt>
                <c:pt idx="8">
                  <c:v>-140811.11024490686</c:v>
                </c:pt>
                <c:pt idx="9">
                  <c:v>-125771.97551155357</c:v>
                </c:pt>
                <c:pt idx="10">
                  <c:v>-158683.5885656001</c:v>
                </c:pt>
                <c:pt idx="11">
                  <c:v>-146673.47183181572</c:v>
                </c:pt>
                <c:pt idx="12">
                  <c:v>-134555.26404742728</c:v>
                </c:pt>
                <c:pt idx="13">
                  <c:v>-122727.99239297934</c:v>
                </c:pt>
                <c:pt idx="14">
                  <c:v>-110394.27529364139</c:v>
                </c:pt>
                <c:pt idx="15">
                  <c:v>-100817.72043509205</c:v>
                </c:pt>
                <c:pt idx="16">
                  <c:v>-100023.14227749844</c:v>
                </c:pt>
              </c:numCache>
            </c:numRef>
          </c:yVal>
          <c:smooth val="0"/>
          <c:extLst>
            <c:ext xmlns:c16="http://schemas.microsoft.com/office/drawing/2014/chart" uri="{C3380CC4-5D6E-409C-BE32-E72D297353CC}">
              <c16:uniqueId val="{00000000-7A43-4ED5-A962-2B13C24B11B6}"/>
            </c:ext>
          </c:extLst>
        </c:ser>
        <c:dLbls>
          <c:showLegendKey val="0"/>
          <c:showVal val="0"/>
          <c:showCatName val="0"/>
          <c:showSerName val="0"/>
          <c:showPercent val="0"/>
          <c:showBubbleSize val="0"/>
        </c:dLbls>
        <c:axId val="660980792"/>
        <c:axId val="1"/>
      </c:scatterChart>
      <c:valAx>
        <c:axId val="66098079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2221989100892163"/>
              <c:y val="0.9118878153331270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0590043799384017E-3"/>
              <c:y val="0.4439804467672982"/>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60980792"/>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C0C0C0"/>
        </a:gs>
        <a:gs pos="100000">
          <a:srgbClr val="C0C0C0">
            <a:gamma/>
            <a:tint val="33725"/>
            <a:invGamma/>
          </a:srgbClr>
        </a:gs>
      </a:gsLst>
      <a:path path="rect">
        <a:fillToRect l="50000" t="50000" r="50000" b="50000"/>
      </a:path>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87864967750592"/>
          <c:y val="4.0000104166937937E-2"/>
          <c:w val="0.80747737247861828"/>
          <c:h val="0.8506688819502134"/>
        </c:manualLayout>
      </c:layout>
      <c:barChart>
        <c:barDir val="col"/>
        <c:grouping val="clustered"/>
        <c:varyColors val="0"/>
        <c:ser>
          <c:idx val="0"/>
          <c:order val="0"/>
          <c:tx>
            <c:strRef>
              <c:f>Abbildung!$A$2</c:f>
              <c:strCache>
                <c:ptCount val="1"/>
                <c:pt idx="0">
                  <c:v>Gesamterlös (Leistung)</c:v>
                </c:pt>
              </c:strCache>
            </c:strRef>
          </c:tx>
          <c:spPr>
            <a:solidFill>
              <a:srgbClr val="CC99FF"/>
            </a:solidFill>
            <a:ln w="12700">
              <a:solidFill>
                <a:srgbClr val="000000"/>
              </a:solidFill>
              <a:prstDash val="solid"/>
            </a:ln>
          </c:spPr>
          <c:invertIfNegative val="0"/>
          <c:cat>
            <c:strRef>
              <c:f>Abbildung!$B$1:$C$1</c:f>
              <c:strCache>
                <c:ptCount val="2"/>
                <c:pt idx="0">
                  <c:v>Kordia</c:v>
                </c:pt>
                <c:pt idx="1">
                  <c:v>Regina</c:v>
                </c:pt>
              </c:strCache>
            </c:strRef>
          </c:cat>
          <c:val>
            <c:numRef>
              <c:f>Abbildung!$B$2:$C$2</c:f>
              <c:numCache>
                <c:formatCode>General</c:formatCode>
                <c:ptCount val="2"/>
                <c:pt idx="0">
                  <c:v>67197.100000000006</c:v>
                </c:pt>
                <c:pt idx="1">
                  <c:v>94397.5</c:v>
                </c:pt>
              </c:numCache>
            </c:numRef>
          </c:val>
          <c:extLst>
            <c:ext xmlns:c16="http://schemas.microsoft.com/office/drawing/2014/chart" uri="{C3380CC4-5D6E-409C-BE32-E72D297353CC}">
              <c16:uniqueId val="{00000000-5911-4884-AF05-E5455DBE3EDE}"/>
            </c:ext>
          </c:extLst>
        </c:ser>
        <c:ser>
          <c:idx val="1"/>
          <c:order val="1"/>
          <c:tx>
            <c:strRef>
              <c:f>Abbildung!$A$3</c:f>
              <c:strCache>
                <c:ptCount val="1"/>
                <c:pt idx="0">
                  <c:v>Produktionskosten ohne Arbeitskosten</c:v>
                </c:pt>
              </c:strCache>
            </c:strRef>
          </c:tx>
          <c:spPr>
            <a:solidFill>
              <a:srgbClr val="000000"/>
            </a:solidFill>
            <a:ln w="12700">
              <a:solidFill>
                <a:srgbClr val="000000"/>
              </a:solidFill>
              <a:prstDash val="solid"/>
            </a:ln>
          </c:spPr>
          <c:invertIfNegative val="0"/>
          <c:cat>
            <c:strRef>
              <c:f>Abbildung!$B$1:$C$1</c:f>
              <c:strCache>
                <c:ptCount val="2"/>
                <c:pt idx="0">
                  <c:v>Kordia</c:v>
                </c:pt>
                <c:pt idx="1">
                  <c:v>Regina</c:v>
                </c:pt>
              </c:strCache>
            </c:strRef>
          </c:cat>
          <c:val>
            <c:numRef>
              <c:f>Abbildung!$B$3:$C$3</c:f>
              <c:numCache>
                <c:formatCode>General</c:formatCode>
                <c:ptCount val="2"/>
                <c:pt idx="0">
                  <c:v>28324.473949301435</c:v>
                </c:pt>
                <c:pt idx="1">
                  <c:v>26423.281570503492</c:v>
                </c:pt>
              </c:numCache>
            </c:numRef>
          </c:val>
          <c:extLst>
            <c:ext xmlns:c16="http://schemas.microsoft.com/office/drawing/2014/chart" uri="{C3380CC4-5D6E-409C-BE32-E72D297353CC}">
              <c16:uniqueId val="{00000001-5911-4884-AF05-E5455DBE3EDE}"/>
            </c:ext>
          </c:extLst>
        </c:ser>
        <c:dLbls>
          <c:showLegendKey val="0"/>
          <c:showVal val="0"/>
          <c:showCatName val="0"/>
          <c:showSerName val="0"/>
          <c:showPercent val="0"/>
          <c:showBubbleSize val="0"/>
        </c:dLbls>
        <c:gapWidth val="150"/>
        <c:axId val="659268168"/>
        <c:axId val="1"/>
      </c:barChart>
      <c:catAx>
        <c:axId val="65926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CH"/>
                  <a:t>CHF/ha</a:t>
                </a:r>
              </a:p>
            </c:rich>
          </c:tx>
          <c:layout>
            <c:manualLayout>
              <c:xMode val="edge"/>
              <c:yMode val="edge"/>
              <c:x val="2.990659367869292E-2"/>
              <c:y val="0.41066780312254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59268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4</xdr:col>
      <xdr:colOff>76200</xdr:colOff>
      <xdr:row>13</xdr:row>
      <xdr:rowOff>91440</xdr:rowOff>
    </xdr:from>
    <xdr:to>
      <xdr:col>11</xdr:col>
      <xdr:colOff>137160</xdr:colOff>
      <xdr:row>36</xdr:row>
      <xdr:rowOff>76200</xdr:rowOff>
    </xdr:to>
    <xdr:graphicFrame macro="">
      <xdr:nvGraphicFramePr>
        <xdr:cNvPr id="513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759574</xdr:colOff>
      <xdr:row>22</xdr:row>
      <xdr:rowOff>187383</xdr:rowOff>
    </xdr:from>
    <xdr:to>
      <xdr:col>6</xdr:col>
      <xdr:colOff>1636568</xdr:colOff>
      <xdr:row>33</xdr:row>
      <xdr:rowOff>95250</xdr:rowOff>
    </xdr:to>
    <xdr:sp macro="" textlink="">
      <xdr:nvSpPr>
        <xdr:cNvPr id="5131955" name="Line 10"/>
        <xdr:cNvSpPr>
          <a:spLocks noChangeShapeType="1"/>
        </xdr:cNvSpPr>
      </xdr:nvSpPr>
      <xdr:spPr bwMode="auto">
        <a:xfrm flipH="1" flipV="1">
          <a:off x="6673733" y="5538701"/>
          <a:ext cx="876994" cy="20812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25</xdr:row>
      <xdr:rowOff>216477</xdr:rowOff>
    </xdr:from>
    <xdr:to>
      <xdr:col>7</xdr:col>
      <xdr:colOff>787977</xdr:colOff>
      <xdr:row>33</xdr:row>
      <xdr:rowOff>77932</xdr:rowOff>
    </xdr:to>
    <xdr:sp macro="" textlink="">
      <xdr:nvSpPr>
        <xdr:cNvPr id="5131956" name="Line 11"/>
        <xdr:cNvSpPr>
          <a:spLocks noChangeShapeType="1"/>
        </xdr:cNvSpPr>
      </xdr:nvSpPr>
      <xdr:spPr bwMode="auto">
        <a:xfrm flipH="1" flipV="1">
          <a:off x="8979477" y="6303818"/>
          <a:ext cx="692727" cy="12988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1333500</xdr:colOff>
      <xdr:row>41</xdr:row>
      <xdr:rowOff>76200</xdr:rowOff>
    </xdr:from>
    <xdr:to>
      <xdr:col>6</xdr:col>
      <xdr:colOff>7620</xdr:colOff>
      <xdr:row>44</xdr:row>
      <xdr:rowOff>68580</xdr:rowOff>
    </xdr:to>
    <xdr:grpSp>
      <xdr:nvGrpSpPr>
        <xdr:cNvPr id="5131957" name="Group 57"/>
        <xdr:cNvGrpSpPr>
          <a:grpSpLocks/>
        </xdr:cNvGrpSpPr>
      </xdr:nvGrpSpPr>
      <xdr:grpSpPr bwMode="auto">
        <a:xfrm>
          <a:off x="4979307" y="9465129"/>
          <a:ext cx="1224099" cy="572951"/>
          <a:chOff x="698" y="998"/>
          <a:chExt cx="102" cy="70"/>
        </a:xfrm>
      </xdr:grpSpPr>
      <xdr:sp macro="" textlink="">
        <xdr:nvSpPr>
          <xdr:cNvPr id="5131987" name="AutoShape 58"/>
          <xdr:cNvSpPr>
            <a:spLocks noChangeArrowheads="1"/>
          </xdr:cNvSpPr>
        </xdr:nvSpPr>
        <xdr:spPr bwMode="auto">
          <a:xfrm>
            <a:off x="698" y="998"/>
            <a:ext cx="102" cy="70"/>
          </a:xfrm>
          <a:prstGeom prst="flowChartDecision">
            <a:avLst/>
          </a:prstGeom>
          <a:solidFill>
            <a:srgbClr val="FFFF99"/>
          </a:solidFill>
          <a:ln w="9525">
            <a:solidFill>
              <a:srgbClr val="000000"/>
            </a:solidFill>
            <a:miter lim="800000"/>
            <a:headEnd/>
            <a:tailEnd/>
          </a:ln>
        </xdr:spPr>
      </xdr:sp>
      <xdr:sp macro="" textlink="">
        <xdr:nvSpPr>
          <xdr:cNvPr id="22587" name="Text Box 59"/>
          <xdr:cNvSpPr txBox="1">
            <a:spLocks noChangeArrowheads="1"/>
          </xdr:cNvSpPr>
        </xdr:nvSpPr>
        <xdr:spPr bwMode="auto">
          <a:xfrm>
            <a:off x="734" y="1014"/>
            <a:ext cx="34" cy="31"/>
          </a:xfrm>
          <a:prstGeom prst="rect">
            <a:avLst/>
          </a:prstGeom>
          <a:solidFill>
            <a:srgbClr val="FFFF99"/>
          </a:solidFill>
          <a:ln w="9525">
            <a:noFill/>
            <a:miter lim="800000"/>
            <a:headEnd/>
            <a:tailEnd/>
          </a:ln>
        </xdr:spPr>
        <xdr:txBody>
          <a:bodyPr vertOverflow="clip" wrap="square" lIns="45720" tIns="41148" rIns="45720" bIns="0" anchor="t" upright="1"/>
          <a:lstStyle/>
          <a:p>
            <a:pPr algn="ctr" rtl="0">
              <a:defRPr sz="1000"/>
            </a:pPr>
            <a:r>
              <a:rPr lang="de-CH" sz="2200" b="1" i="0" u="none" strike="noStrike" baseline="0">
                <a:solidFill>
                  <a:srgbClr val="000000"/>
                </a:solidFill>
                <a:latin typeface="Arial"/>
                <a:cs typeface="Arial"/>
              </a:rPr>
              <a:t>&gt;</a:t>
            </a:r>
          </a:p>
        </xdr:txBody>
      </xdr:sp>
    </xdr:grpSp>
    <xdr:clientData/>
  </xdr:twoCellAnchor>
  <xdr:twoCellAnchor editAs="oneCell">
    <xdr:from>
      <xdr:col>5</xdr:col>
      <xdr:colOff>640080</xdr:colOff>
      <xdr:row>39</xdr:row>
      <xdr:rowOff>542925</xdr:rowOff>
    </xdr:from>
    <xdr:to>
      <xdr:col>6</xdr:col>
      <xdr:colOff>1486013</xdr:colOff>
      <xdr:row>41</xdr:row>
      <xdr:rowOff>104777</xdr:rowOff>
    </xdr:to>
    <xdr:sp macro="" textlink="">
      <xdr:nvSpPr>
        <xdr:cNvPr id="22588" name="AutoShape 60"/>
        <xdr:cNvSpPr>
          <a:spLocks/>
        </xdr:cNvSpPr>
      </xdr:nvSpPr>
      <xdr:spPr bwMode="auto">
        <a:xfrm flipV="1">
          <a:off x="6019800" y="8886825"/>
          <a:ext cx="1638300" cy="352425"/>
        </a:xfrm>
        <a:prstGeom prst="borderCallout1">
          <a:avLst>
            <a:gd name="adj1" fmla="val 67565"/>
            <a:gd name="adj2" fmla="val -4653"/>
            <a:gd name="adj3" fmla="val -45949"/>
            <a:gd name="adj4" fmla="val -16861"/>
          </a:avLst>
        </a:prstGeom>
        <a:solidFill>
          <a:srgbClr val="FFFFFF"/>
        </a:solidFill>
        <a:ln w="9525">
          <a:solidFill>
            <a:srgbClr val="000000"/>
          </a:solidFill>
          <a:miter lim="800000"/>
          <a:headEnd/>
          <a:tailEnd type="arrow" w="med" len="med"/>
        </a:ln>
      </xdr:spPr>
      <xdr:txBody>
        <a:bodyPr vertOverflow="clip" wrap="square" lIns="27432" tIns="0" rIns="27432" bIns="22860" anchor="b" upright="1"/>
        <a:lstStyle/>
        <a:p>
          <a:pPr algn="ctr" rtl="0">
            <a:defRPr sz="1000"/>
          </a:pPr>
          <a:r>
            <a:rPr lang="de-CH" sz="1000" b="0" i="0" u="none" strike="noStrike" baseline="0">
              <a:solidFill>
                <a:srgbClr val="000000"/>
              </a:solidFill>
              <a:latin typeface="Arial"/>
              <a:cs typeface="Arial"/>
            </a:rPr>
            <a:t>Leistung muss Betriebsminimum decken</a:t>
          </a:r>
        </a:p>
      </xdr:txBody>
    </xdr:sp>
    <xdr:clientData/>
  </xdr:twoCellAnchor>
  <xdr:twoCellAnchor>
    <xdr:from>
      <xdr:col>3</xdr:col>
      <xdr:colOff>1104900</xdr:colOff>
      <xdr:row>52</xdr:row>
      <xdr:rowOff>350520</xdr:rowOff>
    </xdr:from>
    <xdr:to>
      <xdr:col>5</xdr:col>
      <xdr:colOff>815340</xdr:colOff>
      <xdr:row>58</xdr:row>
      <xdr:rowOff>480060</xdr:rowOff>
    </xdr:to>
    <xdr:sp macro="" textlink="">
      <xdr:nvSpPr>
        <xdr:cNvPr id="5131959" name="Line 61"/>
        <xdr:cNvSpPr>
          <a:spLocks noChangeShapeType="1"/>
        </xdr:cNvSpPr>
      </xdr:nvSpPr>
      <xdr:spPr bwMode="auto">
        <a:xfrm flipV="1">
          <a:off x="4869180" y="11597640"/>
          <a:ext cx="1158240" cy="177546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403860</xdr:colOff>
      <xdr:row>44</xdr:row>
      <xdr:rowOff>99060</xdr:rowOff>
    </xdr:from>
    <xdr:to>
      <xdr:col>6</xdr:col>
      <xdr:colOff>0</xdr:colOff>
      <xdr:row>44</xdr:row>
      <xdr:rowOff>99060</xdr:rowOff>
    </xdr:to>
    <xdr:sp macro="" textlink="">
      <xdr:nvSpPr>
        <xdr:cNvPr id="5131960" name="Line 62"/>
        <xdr:cNvSpPr>
          <a:spLocks noChangeShapeType="1"/>
        </xdr:cNvSpPr>
      </xdr:nvSpPr>
      <xdr:spPr bwMode="auto">
        <a:xfrm flipH="1">
          <a:off x="5615940" y="9822180"/>
          <a:ext cx="4419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426720</xdr:colOff>
      <xdr:row>44</xdr:row>
      <xdr:rowOff>106680</xdr:rowOff>
    </xdr:from>
    <xdr:to>
      <xdr:col>6</xdr:col>
      <xdr:colOff>0</xdr:colOff>
      <xdr:row>52</xdr:row>
      <xdr:rowOff>228600</xdr:rowOff>
    </xdr:to>
    <xdr:sp macro="" textlink="">
      <xdr:nvSpPr>
        <xdr:cNvPr id="5131961" name="Line 63"/>
        <xdr:cNvSpPr>
          <a:spLocks noChangeShapeType="1"/>
        </xdr:cNvSpPr>
      </xdr:nvSpPr>
      <xdr:spPr bwMode="auto">
        <a:xfrm>
          <a:off x="5638800" y="9829800"/>
          <a:ext cx="419100" cy="164592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64</xdr:row>
      <xdr:rowOff>106680</xdr:rowOff>
    </xdr:from>
    <xdr:to>
      <xdr:col>6</xdr:col>
      <xdr:colOff>0</xdr:colOff>
      <xdr:row>66</xdr:row>
      <xdr:rowOff>76200</xdr:rowOff>
    </xdr:to>
    <xdr:grpSp>
      <xdr:nvGrpSpPr>
        <xdr:cNvPr id="5131962" name="Group 64"/>
        <xdr:cNvGrpSpPr>
          <a:grpSpLocks/>
        </xdr:cNvGrpSpPr>
      </xdr:nvGrpSpPr>
      <xdr:grpSpPr bwMode="auto">
        <a:xfrm>
          <a:off x="4987834" y="15655109"/>
          <a:ext cx="1207952" cy="595448"/>
          <a:chOff x="700" y="1603"/>
          <a:chExt cx="97" cy="70"/>
        </a:xfrm>
      </xdr:grpSpPr>
      <xdr:sp macro="" textlink="">
        <xdr:nvSpPr>
          <xdr:cNvPr id="5131985" name="AutoShape 65"/>
          <xdr:cNvSpPr>
            <a:spLocks noChangeArrowheads="1"/>
          </xdr:cNvSpPr>
        </xdr:nvSpPr>
        <xdr:spPr bwMode="auto">
          <a:xfrm>
            <a:off x="700" y="1603"/>
            <a:ext cx="97" cy="70"/>
          </a:xfrm>
          <a:prstGeom prst="flowChartDecision">
            <a:avLst/>
          </a:prstGeom>
          <a:solidFill>
            <a:srgbClr val="FFFF99"/>
          </a:solidFill>
          <a:ln w="9525">
            <a:solidFill>
              <a:srgbClr val="000000"/>
            </a:solidFill>
            <a:miter lim="800000"/>
            <a:headEnd/>
            <a:tailEnd/>
          </a:ln>
        </xdr:spPr>
      </xdr:sp>
      <xdr:sp macro="" textlink="">
        <xdr:nvSpPr>
          <xdr:cNvPr id="22594" name="Text Box 66"/>
          <xdr:cNvSpPr txBox="1">
            <a:spLocks noChangeArrowheads="1"/>
          </xdr:cNvSpPr>
        </xdr:nvSpPr>
        <xdr:spPr bwMode="auto">
          <a:xfrm>
            <a:off x="730" y="1619"/>
            <a:ext cx="37" cy="39"/>
          </a:xfrm>
          <a:prstGeom prst="rect">
            <a:avLst/>
          </a:prstGeom>
          <a:solidFill>
            <a:srgbClr val="FFFF99"/>
          </a:solidFill>
          <a:ln w="9525">
            <a:noFill/>
            <a:miter lim="800000"/>
            <a:headEnd/>
            <a:tailEnd/>
          </a:ln>
        </xdr:spPr>
        <xdr:txBody>
          <a:bodyPr vertOverflow="clip" wrap="square" lIns="45720" tIns="41148" rIns="45720" bIns="0" anchor="t" upright="1"/>
          <a:lstStyle/>
          <a:p>
            <a:pPr algn="ctr" rtl="0">
              <a:defRPr sz="1000"/>
            </a:pPr>
            <a:r>
              <a:rPr lang="de-CH" sz="2200" b="1" i="0" u="none" strike="noStrike" baseline="0">
                <a:solidFill>
                  <a:srgbClr val="000000"/>
                </a:solidFill>
                <a:latin typeface="Arial"/>
                <a:cs typeface="Arial"/>
              </a:rPr>
              <a:t>&lt;</a:t>
            </a:r>
          </a:p>
        </xdr:txBody>
      </xdr:sp>
    </xdr:grpSp>
    <xdr:clientData/>
  </xdr:twoCellAnchor>
  <xdr:twoCellAnchor editAs="oneCell">
    <xdr:from>
      <xdr:col>6</xdr:col>
      <xdr:colOff>95250</xdr:colOff>
      <xdr:row>57</xdr:row>
      <xdr:rowOff>156210</xdr:rowOff>
    </xdr:from>
    <xdr:to>
      <xdr:col>6</xdr:col>
      <xdr:colOff>1737272</xdr:colOff>
      <xdr:row>58</xdr:row>
      <xdr:rowOff>638092</xdr:rowOff>
    </xdr:to>
    <xdr:sp macro="" textlink="">
      <xdr:nvSpPr>
        <xdr:cNvPr id="22595" name="AutoShape 67"/>
        <xdr:cNvSpPr>
          <a:spLocks/>
        </xdr:cNvSpPr>
      </xdr:nvSpPr>
      <xdr:spPr bwMode="auto">
        <a:xfrm flipV="1">
          <a:off x="6305550" y="12906375"/>
          <a:ext cx="1590675" cy="666750"/>
        </a:xfrm>
        <a:prstGeom prst="borderCallout1">
          <a:avLst>
            <a:gd name="adj1" fmla="val 77356"/>
            <a:gd name="adj2" fmla="val -4792"/>
            <a:gd name="adj3" fmla="val -147171"/>
            <a:gd name="adj4" fmla="val -27546"/>
          </a:avLst>
        </a:prstGeom>
        <a:solidFill>
          <a:srgbClr val="FFFFFF"/>
        </a:solidFill>
        <a:ln w="9525">
          <a:solidFill>
            <a:srgbClr val="000000"/>
          </a:solidFill>
          <a:miter lim="800000"/>
          <a:headEnd/>
          <a:tailEnd type="arrow" w="med" len="med"/>
        </a:ln>
      </xdr:spPr>
      <xdr:txBody>
        <a:bodyPr vertOverflow="clip" wrap="square" lIns="27432" tIns="0" rIns="27432" bIns="22860" anchor="b" upright="1"/>
        <a:lstStyle/>
        <a:p>
          <a:pPr algn="ctr" rtl="0">
            <a:defRPr sz="1000"/>
          </a:pPr>
          <a:r>
            <a:rPr lang="de-CH" sz="1000" b="0" i="0" u="none" strike="noStrike" baseline="0">
              <a:solidFill>
                <a:srgbClr val="000000"/>
              </a:solidFill>
              <a:latin typeface="Arial"/>
              <a:cs typeface="Arial"/>
            </a:rPr>
            <a:t>Cashflow sollte Abschreibung decken</a:t>
          </a:r>
        </a:p>
      </xdr:txBody>
    </xdr:sp>
    <xdr:clientData/>
  </xdr:twoCellAnchor>
  <xdr:twoCellAnchor>
    <xdr:from>
      <xdr:col>3</xdr:col>
      <xdr:colOff>1333500</xdr:colOff>
      <xdr:row>71</xdr:row>
      <xdr:rowOff>0</xdr:rowOff>
    </xdr:from>
    <xdr:to>
      <xdr:col>6</xdr:col>
      <xdr:colOff>0</xdr:colOff>
      <xdr:row>71</xdr:row>
      <xdr:rowOff>129540</xdr:rowOff>
    </xdr:to>
    <xdr:sp macro="" textlink="">
      <xdr:nvSpPr>
        <xdr:cNvPr id="5131964" name="Line 71"/>
        <xdr:cNvSpPr>
          <a:spLocks noChangeShapeType="1"/>
        </xdr:cNvSpPr>
      </xdr:nvSpPr>
      <xdr:spPr bwMode="auto">
        <a:xfrm flipV="1">
          <a:off x="4869180" y="17495520"/>
          <a:ext cx="1188720" cy="12954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1280160</xdr:colOff>
      <xdr:row>70</xdr:row>
      <xdr:rowOff>175260</xdr:rowOff>
    </xdr:from>
    <xdr:to>
      <xdr:col>5</xdr:col>
      <xdr:colOff>838200</xdr:colOff>
      <xdr:row>70</xdr:row>
      <xdr:rowOff>175260</xdr:rowOff>
    </xdr:to>
    <xdr:sp macro="" textlink="">
      <xdr:nvSpPr>
        <xdr:cNvPr id="5131965" name="Line 72"/>
        <xdr:cNvSpPr>
          <a:spLocks noChangeShapeType="1"/>
        </xdr:cNvSpPr>
      </xdr:nvSpPr>
      <xdr:spPr bwMode="auto">
        <a:xfrm>
          <a:off x="4869180" y="17327880"/>
          <a:ext cx="11811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45720</xdr:colOff>
      <xdr:row>73</xdr:row>
      <xdr:rowOff>335280</xdr:rowOff>
    </xdr:from>
    <xdr:to>
      <xdr:col>6</xdr:col>
      <xdr:colOff>0</xdr:colOff>
      <xdr:row>73</xdr:row>
      <xdr:rowOff>335280</xdr:rowOff>
    </xdr:to>
    <xdr:sp macro="" textlink="">
      <xdr:nvSpPr>
        <xdr:cNvPr id="5131966" name="Line 73"/>
        <xdr:cNvSpPr>
          <a:spLocks noChangeShapeType="1"/>
        </xdr:cNvSpPr>
      </xdr:nvSpPr>
      <xdr:spPr bwMode="auto">
        <a:xfrm>
          <a:off x="4914900" y="18409920"/>
          <a:ext cx="11430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45720</xdr:colOff>
      <xdr:row>73</xdr:row>
      <xdr:rowOff>495300</xdr:rowOff>
    </xdr:from>
    <xdr:to>
      <xdr:col>5</xdr:col>
      <xdr:colOff>822960</xdr:colOff>
      <xdr:row>74</xdr:row>
      <xdr:rowOff>114300</xdr:rowOff>
    </xdr:to>
    <xdr:sp macro="" textlink="">
      <xdr:nvSpPr>
        <xdr:cNvPr id="5131967" name="Line 74"/>
        <xdr:cNvSpPr>
          <a:spLocks noChangeShapeType="1"/>
        </xdr:cNvSpPr>
      </xdr:nvSpPr>
      <xdr:spPr bwMode="auto">
        <a:xfrm flipV="1">
          <a:off x="4914900" y="18569940"/>
          <a:ext cx="1120140" cy="12192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45720</xdr:colOff>
      <xdr:row>122</xdr:row>
      <xdr:rowOff>30480</xdr:rowOff>
    </xdr:from>
    <xdr:to>
      <xdr:col>5</xdr:col>
      <xdr:colOff>792480</xdr:colOff>
      <xdr:row>145</xdr:row>
      <xdr:rowOff>60960</xdr:rowOff>
    </xdr:to>
    <xdr:graphicFrame macro="">
      <xdr:nvGraphicFramePr>
        <xdr:cNvPr id="5131968"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265</xdr:row>
      <xdr:rowOff>30480</xdr:rowOff>
    </xdr:from>
    <xdr:to>
      <xdr:col>6</xdr:col>
      <xdr:colOff>38100</xdr:colOff>
      <xdr:row>312</xdr:row>
      <xdr:rowOff>60960</xdr:rowOff>
    </xdr:to>
    <xdr:graphicFrame macro="">
      <xdr:nvGraphicFramePr>
        <xdr:cNvPr id="5131969" name="Chart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82</xdr:row>
      <xdr:rowOff>99060</xdr:rowOff>
    </xdr:from>
    <xdr:to>
      <xdr:col>5</xdr:col>
      <xdr:colOff>815340</xdr:colOff>
      <xdr:row>92</xdr:row>
      <xdr:rowOff>220980</xdr:rowOff>
    </xdr:to>
    <xdr:graphicFrame macro="">
      <xdr:nvGraphicFramePr>
        <xdr:cNvPr id="513197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60960</xdr:colOff>
      <xdr:row>265</xdr:row>
      <xdr:rowOff>7620</xdr:rowOff>
    </xdr:from>
    <xdr:to>
      <xdr:col>11</xdr:col>
      <xdr:colOff>213360</xdr:colOff>
      <xdr:row>312</xdr:row>
      <xdr:rowOff>30480</xdr:rowOff>
    </xdr:to>
    <xdr:graphicFrame macro="">
      <xdr:nvGraphicFramePr>
        <xdr:cNvPr id="5131971" name="Chart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xdr:colOff>
      <xdr:row>94</xdr:row>
      <xdr:rowOff>76200</xdr:rowOff>
    </xdr:from>
    <xdr:to>
      <xdr:col>5</xdr:col>
      <xdr:colOff>815340</xdr:colOff>
      <xdr:row>107</xdr:row>
      <xdr:rowOff>144780</xdr:rowOff>
    </xdr:to>
    <xdr:graphicFrame macro="">
      <xdr:nvGraphicFramePr>
        <xdr:cNvPr id="5131972" name="Chart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108</xdr:row>
      <xdr:rowOff>45720</xdr:rowOff>
    </xdr:from>
    <xdr:to>
      <xdr:col>5</xdr:col>
      <xdr:colOff>807720</xdr:colOff>
      <xdr:row>121</xdr:row>
      <xdr:rowOff>106680</xdr:rowOff>
    </xdr:to>
    <xdr:graphicFrame macro="">
      <xdr:nvGraphicFramePr>
        <xdr:cNvPr id="5131973"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194</xdr:row>
      <xdr:rowOff>45720</xdr:rowOff>
    </xdr:from>
    <xdr:to>
      <xdr:col>5</xdr:col>
      <xdr:colOff>807720</xdr:colOff>
      <xdr:row>216</xdr:row>
      <xdr:rowOff>0</xdr:rowOff>
    </xdr:to>
    <xdr:graphicFrame macro="">
      <xdr:nvGraphicFramePr>
        <xdr:cNvPr id="5131974"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45720</xdr:colOff>
      <xdr:row>171</xdr:row>
      <xdr:rowOff>68580</xdr:rowOff>
    </xdr:from>
    <xdr:to>
      <xdr:col>5</xdr:col>
      <xdr:colOff>815340</xdr:colOff>
      <xdr:row>193</xdr:row>
      <xdr:rowOff>76200</xdr:rowOff>
    </xdr:to>
    <xdr:graphicFrame macro="">
      <xdr:nvGraphicFramePr>
        <xdr:cNvPr id="5131975" name="Chart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217</xdr:row>
      <xdr:rowOff>38100</xdr:rowOff>
    </xdr:from>
    <xdr:to>
      <xdr:col>5</xdr:col>
      <xdr:colOff>769620</xdr:colOff>
      <xdr:row>240</xdr:row>
      <xdr:rowOff>129540</xdr:rowOff>
    </xdr:to>
    <xdr:graphicFrame macro="">
      <xdr:nvGraphicFramePr>
        <xdr:cNvPr id="5131976"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45720</xdr:colOff>
      <xdr:row>241</xdr:row>
      <xdr:rowOff>30480</xdr:rowOff>
    </xdr:from>
    <xdr:to>
      <xdr:col>5</xdr:col>
      <xdr:colOff>777240</xdr:colOff>
      <xdr:row>263</xdr:row>
      <xdr:rowOff>99060</xdr:rowOff>
    </xdr:to>
    <xdr:graphicFrame macro="">
      <xdr:nvGraphicFramePr>
        <xdr:cNvPr id="5131977" name="Chart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xdr:colOff>
      <xdr:row>147</xdr:row>
      <xdr:rowOff>68580</xdr:rowOff>
    </xdr:from>
    <xdr:to>
      <xdr:col>6</xdr:col>
      <xdr:colOff>0</xdr:colOff>
      <xdr:row>169</xdr:row>
      <xdr:rowOff>106680</xdr:rowOff>
    </xdr:to>
    <xdr:graphicFrame macro="">
      <xdr:nvGraphicFramePr>
        <xdr:cNvPr id="5131978"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xdr:row>
      <xdr:rowOff>1905</xdr:rowOff>
    </xdr:from>
    <xdr:to>
      <xdr:col>0</xdr:col>
      <xdr:colOff>912610</xdr:colOff>
      <xdr:row>11</xdr:row>
      <xdr:rowOff>0</xdr:rowOff>
    </xdr:to>
    <xdr:sp macro="" textlink="">
      <xdr:nvSpPr>
        <xdr:cNvPr id="22643" name="Text Box 115"/>
        <xdr:cNvSpPr txBox="1">
          <a:spLocks noChangeArrowheads="1"/>
        </xdr:cNvSpPr>
      </xdr:nvSpPr>
      <xdr:spPr bwMode="auto">
        <a:xfrm>
          <a:off x="0" y="1666875"/>
          <a:ext cx="885825" cy="933450"/>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Preis ohne Gebinde</a:t>
          </a:r>
        </a:p>
      </xdr:txBody>
    </xdr:sp>
    <xdr:clientData/>
  </xdr:twoCellAnchor>
  <xdr:twoCellAnchor>
    <xdr:from>
      <xdr:col>0</xdr:col>
      <xdr:colOff>28575</xdr:colOff>
      <xdr:row>11</xdr:row>
      <xdr:rowOff>66675</xdr:rowOff>
    </xdr:from>
    <xdr:to>
      <xdr:col>0</xdr:col>
      <xdr:colOff>884166</xdr:colOff>
      <xdr:row>14</xdr:row>
      <xdr:rowOff>95250</xdr:rowOff>
    </xdr:to>
    <xdr:sp macro="" textlink="">
      <xdr:nvSpPr>
        <xdr:cNvPr id="22644" name="Text Box 116"/>
        <xdr:cNvSpPr txBox="1">
          <a:spLocks noChangeArrowheads="1"/>
        </xdr:cNvSpPr>
      </xdr:nvSpPr>
      <xdr:spPr bwMode="auto">
        <a:xfrm>
          <a:off x="28575" y="2667000"/>
          <a:ext cx="838200" cy="638175"/>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Sortier-ergebnis</a:t>
          </a:r>
        </a:p>
      </xdr:txBody>
    </xdr:sp>
    <xdr:clientData/>
  </xdr:twoCellAnchor>
  <xdr:twoCellAnchor>
    <xdr:from>
      <xdr:col>0</xdr:col>
      <xdr:colOff>898467</xdr:colOff>
      <xdr:row>6</xdr:row>
      <xdr:rowOff>214746</xdr:rowOff>
    </xdr:from>
    <xdr:to>
      <xdr:col>0</xdr:col>
      <xdr:colOff>967047</xdr:colOff>
      <xdr:row>10</xdr:row>
      <xdr:rowOff>201583</xdr:rowOff>
    </xdr:to>
    <xdr:sp macro="" textlink="">
      <xdr:nvSpPr>
        <xdr:cNvPr id="5131981" name="AutoShape 169"/>
        <xdr:cNvSpPr>
          <a:spLocks/>
        </xdr:cNvSpPr>
      </xdr:nvSpPr>
      <xdr:spPr bwMode="auto">
        <a:xfrm>
          <a:off x="898467" y="1662546"/>
          <a:ext cx="68580" cy="894310"/>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926869</xdr:colOff>
      <xdr:row>11</xdr:row>
      <xdr:rowOff>76200</xdr:rowOff>
    </xdr:from>
    <xdr:to>
      <xdr:col>0</xdr:col>
      <xdr:colOff>957349</xdr:colOff>
      <xdr:row>14</xdr:row>
      <xdr:rowOff>137160</xdr:rowOff>
    </xdr:to>
    <xdr:sp macro="" textlink="">
      <xdr:nvSpPr>
        <xdr:cNvPr id="5131982" name="AutoShape 170"/>
        <xdr:cNvSpPr>
          <a:spLocks/>
        </xdr:cNvSpPr>
      </xdr:nvSpPr>
      <xdr:spPr bwMode="auto">
        <a:xfrm>
          <a:off x="926869" y="2653145"/>
          <a:ext cx="30480" cy="684415"/>
        </a:xfrm>
        <a:prstGeom prst="leftBrace">
          <a:avLst>
            <a:gd name="adj1" fmla="val 187500"/>
            <a:gd name="adj2" fmla="val 5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97</xdr:row>
      <xdr:rowOff>0</xdr:rowOff>
    </xdr:from>
    <xdr:to>
      <xdr:col>8</xdr:col>
      <xdr:colOff>0</xdr:colOff>
      <xdr:row>103</xdr:row>
      <xdr:rowOff>0</xdr:rowOff>
    </xdr:to>
    <xdr:sp macro="" textlink="">
      <xdr:nvSpPr>
        <xdr:cNvPr id="5131983" name="Rectangle 207"/>
        <xdr:cNvSpPr>
          <a:spLocks noChangeArrowheads="1"/>
        </xdr:cNvSpPr>
      </xdr:nvSpPr>
      <xdr:spPr bwMode="auto">
        <a:xfrm>
          <a:off x="9113520" y="24147780"/>
          <a:ext cx="1021080" cy="1059180"/>
        </a:xfrm>
        <a:prstGeom prst="rect">
          <a:avLst/>
        </a:prstGeom>
        <a:noFill/>
        <a:ln w="38100">
          <a:solidFill>
            <a:srgbClr val="000080"/>
          </a:solidFill>
          <a:miter lim="800000"/>
          <a:headEnd/>
          <a:tailEnd/>
        </a:ln>
        <a:effectLst>
          <a:outerShdw sx="999" sy="999"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320040</xdr:colOff>
      <xdr:row>0</xdr:row>
      <xdr:rowOff>190500</xdr:rowOff>
    </xdr:from>
    <xdr:to>
      <xdr:col>9</xdr:col>
      <xdr:colOff>304800</xdr:colOff>
      <xdr:row>1</xdr:row>
      <xdr:rowOff>388620</xdr:rowOff>
    </xdr:to>
    <xdr:pic>
      <xdr:nvPicPr>
        <xdr:cNvPr id="5131984" name="Grafik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77940" y="190500"/>
          <a:ext cx="48082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0.00776</cdr:x>
      <cdr:y>0.01208</cdr:y>
    </cdr:from>
    <cdr:to>
      <cdr:x>0.00776</cdr:x>
      <cdr:y>0.01208</cdr:y>
    </cdr:to>
    <cdr:pic>
      <cdr:nvPicPr>
        <cdr:cNvPr id="46081" name="Picture 2049"/>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0800" y="50800"/>
          <a:ext cx="0" cy="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0.41761</cdr:x>
      <cdr:y>0.05984</cdr:y>
    </cdr:from>
    <cdr:to>
      <cdr:x>0.41761</cdr:x>
      <cdr:y>0.05984</cdr:y>
    </cdr:to>
    <cdr:pic>
      <cdr:nvPicPr>
        <cdr:cNvPr id="47105" name="Picture 102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441950" y="270639"/>
          <a:ext cx="0" cy="0"/>
        </a:xfrm>
        <a:prstGeom xmlns:a="http://schemas.openxmlformats.org/drawingml/2006/main" prst="rect">
          <a:avLst/>
        </a:prstGeom>
        <a:noFill xmlns:a="http://schemas.openxmlformats.org/drawingml/2006/main"/>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2125980</xdr:colOff>
      <xdr:row>0</xdr:row>
      <xdr:rowOff>152400</xdr:rowOff>
    </xdr:from>
    <xdr:to>
      <xdr:col>5</xdr:col>
      <xdr:colOff>441960</xdr:colOff>
      <xdr:row>1</xdr:row>
      <xdr:rowOff>236220</xdr:rowOff>
    </xdr:to>
    <xdr:pic>
      <xdr:nvPicPr>
        <xdr:cNvPr id="42608"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152400"/>
          <a:ext cx="5265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822960</xdr:colOff>
      <xdr:row>7</xdr:row>
      <xdr:rowOff>30480</xdr:rowOff>
    </xdr:from>
    <xdr:to>
      <xdr:col>7</xdr:col>
      <xdr:colOff>769620</xdr:colOff>
      <xdr:row>10</xdr:row>
      <xdr:rowOff>137160</xdr:rowOff>
    </xdr:to>
    <xdr:sp macro="" textlink="">
      <xdr:nvSpPr>
        <xdr:cNvPr id="33709" name="Line 13"/>
        <xdr:cNvSpPr>
          <a:spLocks noChangeShapeType="1"/>
        </xdr:cNvSpPr>
      </xdr:nvSpPr>
      <xdr:spPr bwMode="auto">
        <a:xfrm flipV="1">
          <a:off x="10477500" y="2621280"/>
          <a:ext cx="647700" cy="6172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1024345</xdr:colOff>
      <xdr:row>0</xdr:row>
      <xdr:rowOff>137886</xdr:rowOff>
    </xdr:from>
    <xdr:to>
      <xdr:col>6</xdr:col>
      <xdr:colOff>534488</xdr:colOff>
      <xdr:row>1</xdr:row>
      <xdr:rowOff>122646</xdr:rowOff>
    </xdr:to>
    <xdr:pic>
      <xdr:nvPicPr>
        <xdr:cNvPr id="33710"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2917" y="137886"/>
          <a:ext cx="4575628" cy="56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106</xdr:col>
      <xdr:colOff>1432560</xdr:colOff>
      <xdr:row>67</xdr:row>
      <xdr:rowOff>91440</xdr:rowOff>
    </xdr:from>
    <xdr:to>
      <xdr:col>109</xdr:col>
      <xdr:colOff>701040</xdr:colOff>
      <xdr:row>73</xdr:row>
      <xdr:rowOff>99060</xdr:rowOff>
    </xdr:to>
    <xdr:sp macro="" textlink="">
      <xdr:nvSpPr>
        <xdr:cNvPr id="57270" name="Line 228"/>
        <xdr:cNvSpPr>
          <a:spLocks noChangeShapeType="1"/>
        </xdr:cNvSpPr>
      </xdr:nvSpPr>
      <xdr:spPr bwMode="auto">
        <a:xfrm flipV="1">
          <a:off x="134790180" y="13716000"/>
          <a:ext cx="2857500" cy="1150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0</xdr:row>
      <xdr:rowOff>144780</xdr:rowOff>
    </xdr:from>
    <xdr:to>
      <xdr:col>5</xdr:col>
      <xdr:colOff>1196340</xdr:colOff>
      <xdr:row>3</xdr:row>
      <xdr:rowOff>76200</xdr:rowOff>
    </xdr:to>
    <xdr:pic>
      <xdr:nvPicPr>
        <xdr:cNvPr id="5727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2920" y="144780"/>
          <a:ext cx="39776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45</xdr:col>
      <xdr:colOff>416379</xdr:colOff>
      <xdr:row>55</xdr:row>
      <xdr:rowOff>122463</xdr:rowOff>
    </xdr:from>
    <xdr:to>
      <xdr:col>47</xdr:col>
      <xdr:colOff>35379</xdr:colOff>
      <xdr:row>57</xdr:row>
      <xdr:rowOff>122193</xdr:rowOff>
    </xdr:to>
    <xdr:sp macro="" textlink="">
      <xdr:nvSpPr>
        <xdr:cNvPr id="35007" name="Text Box 191" hidden="1"/>
        <xdr:cNvSpPr txBox="1">
          <a:spLocks noChangeArrowheads="1"/>
        </xdr:cNvSpPr>
      </xdr:nvSpPr>
      <xdr:spPr bwMode="auto">
        <a:xfrm>
          <a:off x="5815584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51</xdr:col>
      <xdr:colOff>850447</xdr:colOff>
      <xdr:row>52</xdr:row>
      <xdr:rowOff>140154</xdr:rowOff>
    </xdr:from>
    <xdr:to>
      <xdr:col>54</xdr:col>
      <xdr:colOff>728798</xdr:colOff>
      <xdr:row>57</xdr:row>
      <xdr:rowOff>122193</xdr:rowOff>
    </xdr:to>
    <xdr:sp macro="" textlink="">
      <xdr:nvSpPr>
        <xdr:cNvPr id="35008" name="Text Box 192" hidden="1"/>
        <xdr:cNvSpPr txBox="1">
          <a:spLocks noChangeArrowheads="1"/>
        </xdr:cNvSpPr>
      </xdr:nvSpPr>
      <xdr:spPr bwMode="auto">
        <a:xfrm>
          <a:off x="66225420" y="10012680"/>
          <a:ext cx="275844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51</xdr:col>
      <xdr:colOff>850447</xdr:colOff>
      <xdr:row>55</xdr:row>
      <xdr:rowOff>122463</xdr:rowOff>
    </xdr:from>
    <xdr:to>
      <xdr:col>53</xdr:col>
      <xdr:colOff>302078</xdr:colOff>
      <xdr:row>57</xdr:row>
      <xdr:rowOff>122193</xdr:rowOff>
    </xdr:to>
    <xdr:sp macro="" textlink="">
      <xdr:nvSpPr>
        <xdr:cNvPr id="35009" name="Text Box 193" hidden="1"/>
        <xdr:cNvSpPr txBox="1">
          <a:spLocks noChangeArrowheads="1"/>
        </xdr:cNvSpPr>
      </xdr:nvSpPr>
      <xdr:spPr bwMode="auto">
        <a:xfrm>
          <a:off x="6622542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225878</xdr:colOff>
      <xdr:row>52</xdr:row>
      <xdr:rowOff>140154</xdr:rowOff>
    </xdr:from>
    <xdr:to>
      <xdr:col>61</xdr:col>
      <xdr:colOff>126819</xdr:colOff>
      <xdr:row>57</xdr:row>
      <xdr:rowOff>122193</xdr:rowOff>
    </xdr:to>
    <xdr:sp macro="" textlink="">
      <xdr:nvSpPr>
        <xdr:cNvPr id="35010" name="Text Box 194" hidden="1"/>
        <xdr:cNvSpPr txBox="1">
          <a:spLocks noChangeArrowheads="1"/>
        </xdr:cNvSpPr>
      </xdr:nvSpPr>
      <xdr:spPr bwMode="auto">
        <a:xfrm>
          <a:off x="74348340" y="10012680"/>
          <a:ext cx="275082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225878</xdr:colOff>
      <xdr:row>55</xdr:row>
      <xdr:rowOff>122463</xdr:rowOff>
    </xdr:from>
    <xdr:to>
      <xdr:col>59</xdr:col>
      <xdr:colOff>584019</xdr:colOff>
      <xdr:row>57</xdr:row>
      <xdr:rowOff>122193</xdr:rowOff>
    </xdr:to>
    <xdr:sp macro="" textlink="">
      <xdr:nvSpPr>
        <xdr:cNvPr id="35011" name="Text Box 195" hidden="1"/>
        <xdr:cNvSpPr txBox="1">
          <a:spLocks noChangeArrowheads="1"/>
        </xdr:cNvSpPr>
      </xdr:nvSpPr>
      <xdr:spPr bwMode="auto">
        <a:xfrm>
          <a:off x="74348340" y="10561320"/>
          <a:ext cx="140970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164919</xdr:colOff>
      <xdr:row>52</xdr:row>
      <xdr:rowOff>140154</xdr:rowOff>
    </xdr:from>
    <xdr:to>
      <xdr:col>68</xdr:col>
      <xdr:colOff>73479</xdr:colOff>
      <xdr:row>57</xdr:row>
      <xdr:rowOff>122193</xdr:rowOff>
    </xdr:to>
    <xdr:sp macro="" textlink="">
      <xdr:nvSpPr>
        <xdr:cNvPr id="35012" name="Text Box 196" hidden="1"/>
        <xdr:cNvSpPr txBox="1">
          <a:spLocks noChangeArrowheads="1"/>
        </xdr:cNvSpPr>
      </xdr:nvSpPr>
      <xdr:spPr bwMode="auto">
        <a:xfrm>
          <a:off x="83012280" y="10012680"/>
          <a:ext cx="274320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164919</xdr:colOff>
      <xdr:row>55</xdr:row>
      <xdr:rowOff>122463</xdr:rowOff>
    </xdr:from>
    <xdr:to>
      <xdr:col>66</xdr:col>
      <xdr:colOff>538298</xdr:colOff>
      <xdr:row>57</xdr:row>
      <xdr:rowOff>122193</xdr:rowOff>
    </xdr:to>
    <xdr:sp macro="" textlink="">
      <xdr:nvSpPr>
        <xdr:cNvPr id="35013" name="Text Box 197" hidden="1"/>
        <xdr:cNvSpPr txBox="1">
          <a:spLocks noChangeArrowheads="1"/>
        </xdr:cNvSpPr>
      </xdr:nvSpPr>
      <xdr:spPr bwMode="auto">
        <a:xfrm>
          <a:off x="83012280" y="10561320"/>
          <a:ext cx="140970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73479</xdr:colOff>
      <xdr:row>52</xdr:row>
      <xdr:rowOff>140154</xdr:rowOff>
    </xdr:from>
    <xdr:to>
      <xdr:col>74</xdr:col>
      <xdr:colOff>898072</xdr:colOff>
      <xdr:row>57</xdr:row>
      <xdr:rowOff>122193</xdr:rowOff>
    </xdr:to>
    <xdr:sp macro="" textlink="">
      <xdr:nvSpPr>
        <xdr:cNvPr id="35014" name="Text Box 198" hidden="1"/>
        <xdr:cNvSpPr txBox="1">
          <a:spLocks noChangeArrowheads="1"/>
        </xdr:cNvSpPr>
      </xdr:nvSpPr>
      <xdr:spPr bwMode="auto">
        <a:xfrm>
          <a:off x="9162288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73479</xdr:colOff>
      <xdr:row>55</xdr:row>
      <xdr:rowOff>122463</xdr:rowOff>
    </xdr:from>
    <xdr:to>
      <xdr:col>73</xdr:col>
      <xdr:colOff>416379</xdr:colOff>
      <xdr:row>57</xdr:row>
      <xdr:rowOff>122193</xdr:rowOff>
    </xdr:to>
    <xdr:sp macro="" textlink="">
      <xdr:nvSpPr>
        <xdr:cNvPr id="35015" name="Text Box 199" hidden="1"/>
        <xdr:cNvSpPr txBox="1">
          <a:spLocks noChangeArrowheads="1"/>
        </xdr:cNvSpPr>
      </xdr:nvSpPr>
      <xdr:spPr bwMode="auto">
        <a:xfrm>
          <a:off x="91622880" y="10561320"/>
          <a:ext cx="13792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78</xdr:col>
      <xdr:colOff>1725387</xdr:colOff>
      <xdr:row>52</xdr:row>
      <xdr:rowOff>140154</xdr:rowOff>
    </xdr:from>
    <xdr:to>
      <xdr:col>81</xdr:col>
      <xdr:colOff>813435</xdr:colOff>
      <xdr:row>57</xdr:row>
      <xdr:rowOff>122193</xdr:rowOff>
    </xdr:to>
    <xdr:sp macro="" textlink="">
      <xdr:nvSpPr>
        <xdr:cNvPr id="35016" name="Text Box 200" hidden="1"/>
        <xdr:cNvSpPr txBox="1">
          <a:spLocks noChangeArrowheads="1"/>
        </xdr:cNvSpPr>
      </xdr:nvSpPr>
      <xdr:spPr bwMode="auto">
        <a:xfrm>
          <a:off x="10025634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78</xdr:col>
      <xdr:colOff>1725387</xdr:colOff>
      <xdr:row>55</xdr:row>
      <xdr:rowOff>122463</xdr:rowOff>
    </xdr:from>
    <xdr:to>
      <xdr:col>80</xdr:col>
      <xdr:colOff>324939</xdr:colOff>
      <xdr:row>57</xdr:row>
      <xdr:rowOff>122193</xdr:rowOff>
    </xdr:to>
    <xdr:sp macro="" textlink="">
      <xdr:nvSpPr>
        <xdr:cNvPr id="35017" name="Text Box 201" hidden="1"/>
        <xdr:cNvSpPr txBox="1">
          <a:spLocks noChangeArrowheads="1"/>
        </xdr:cNvSpPr>
      </xdr:nvSpPr>
      <xdr:spPr bwMode="auto">
        <a:xfrm>
          <a:off x="100256340" y="10561320"/>
          <a:ext cx="13792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1224099</xdr:colOff>
      <xdr:row>52</xdr:row>
      <xdr:rowOff>140154</xdr:rowOff>
    </xdr:from>
    <xdr:to>
      <xdr:col>88</xdr:col>
      <xdr:colOff>340178</xdr:colOff>
      <xdr:row>57</xdr:row>
      <xdr:rowOff>122193</xdr:rowOff>
    </xdr:to>
    <xdr:sp macro="" textlink="">
      <xdr:nvSpPr>
        <xdr:cNvPr id="35018" name="Text Box 202" hidden="1"/>
        <xdr:cNvSpPr txBox="1">
          <a:spLocks noChangeArrowheads="1"/>
        </xdr:cNvSpPr>
      </xdr:nvSpPr>
      <xdr:spPr bwMode="auto">
        <a:xfrm>
          <a:off x="108691680" y="10012680"/>
          <a:ext cx="273558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1224099</xdr:colOff>
      <xdr:row>55</xdr:row>
      <xdr:rowOff>122463</xdr:rowOff>
    </xdr:from>
    <xdr:to>
      <xdr:col>86</xdr:col>
      <xdr:colOff>972366</xdr:colOff>
      <xdr:row>57</xdr:row>
      <xdr:rowOff>122193</xdr:rowOff>
    </xdr:to>
    <xdr:sp macro="" textlink="">
      <xdr:nvSpPr>
        <xdr:cNvPr id="35019" name="Text Box 203" hidden="1"/>
        <xdr:cNvSpPr txBox="1">
          <a:spLocks noChangeArrowheads="1"/>
        </xdr:cNvSpPr>
      </xdr:nvSpPr>
      <xdr:spPr bwMode="auto">
        <a:xfrm>
          <a:off x="108691680" y="10561320"/>
          <a:ext cx="139446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911679</xdr:colOff>
      <xdr:row>52</xdr:row>
      <xdr:rowOff>140154</xdr:rowOff>
    </xdr:from>
    <xdr:to>
      <xdr:col>95</xdr:col>
      <xdr:colOff>42999</xdr:colOff>
      <xdr:row>57</xdr:row>
      <xdr:rowOff>122193</xdr:rowOff>
    </xdr:to>
    <xdr:sp macro="" textlink="">
      <xdr:nvSpPr>
        <xdr:cNvPr id="35020" name="Text Box 204" hidden="1"/>
        <xdr:cNvSpPr txBox="1">
          <a:spLocks noChangeArrowheads="1"/>
        </xdr:cNvSpPr>
      </xdr:nvSpPr>
      <xdr:spPr bwMode="auto">
        <a:xfrm>
          <a:off x="11709654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911679</xdr:colOff>
      <xdr:row>55</xdr:row>
      <xdr:rowOff>122463</xdr:rowOff>
    </xdr:from>
    <xdr:to>
      <xdr:col>93</xdr:col>
      <xdr:colOff>622119</xdr:colOff>
      <xdr:row>57</xdr:row>
      <xdr:rowOff>122193</xdr:rowOff>
    </xdr:to>
    <xdr:sp macro="" textlink="">
      <xdr:nvSpPr>
        <xdr:cNvPr id="35021" name="Text Box 205" hidden="1"/>
        <xdr:cNvSpPr txBox="1">
          <a:spLocks noChangeArrowheads="1"/>
        </xdr:cNvSpPr>
      </xdr:nvSpPr>
      <xdr:spPr bwMode="auto">
        <a:xfrm>
          <a:off x="117096540" y="10561320"/>
          <a:ext cx="138684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690699</xdr:colOff>
      <xdr:row>52</xdr:row>
      <xdr:rowOff>140154</xdr:rowOff>
    </xdr:from>
    <xdr:to>
      <xdr:col>101</xdr:col>
      <xdr:colOff>764177</xdr:colOff>
      <xdr:row>57</xdr:row>
      <xdr:rowOff>122193</xdr:rowOff>
    </xdr:to>
    <xdr:sp macro="" textlink="">
      <xdr:nvSpPr>
        <xdr:cNvPr id="35022" name="Text Box 206" hidden="1"/>
        <xdr:cNvSpPr txBox="1">
          <a:spLocks noChangeArrowheads="1"/>
        </xdr:cNvSpPr>
      </xdr:nvSpPr>
      <xdr:spPr bwMode="auto">
        <a:xfrm>
          <a:off x="12556998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690699</xdr:colOff>
      <xdr:row>55</xdr:row>
      <xdr:rowOff>122463</xdr:rowOff>
    </xdr:from>
    <xdr:to>
      <xdr:col>100</xdr:col>
      <xdr:colOff>439239</xdr:colOff>
      <xdr:row>57</xdr:row>
      <xdr:rowOff>122193</xdr:rowOff>
    </xdr:to>
    <xdr:sp macro="" textlink="">
      <xdr:nvSpPr>
        <xdr:cNvPr id="35023" name="Text Box 207" hidden="1"/>
        <xdr:cNvSpPr txBox="1">
          <a:spLocks noChangeArrowheads="1"/>
        </xdr:cNvSpPr>
      </xdr:nvSpPr>
      <xdr:spPr bwMode="auto">
        <a:xfrm>
          <a:off x="12556998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748120</xdr:colOff>
      <xdr:row>57</xdr:row>
      <xdr:rowOff>84093</xdr:rowOff>
    </xdr:from>
    <xdr:to>
      <xdr:col>19</xdr:col>
      <xdr:colOff>279218</xdr:colOff>
      <xdr:row>59</xdr:row>
      <xdr:rowOff>142603</xdr:rowOff>
    </xdr:to>
    <xdr:sp macro="" textlink="">
      <xdr:nvSpPr>
        <xdr:cNvPr id="35024" name="Text Box 208" hidden="1"/>
        <xdr:cNvSpPr txBox="1">
          <a:spLocks noChangeArrowheads="1"/>
        </xdr:cNvSpPr>
      </xdr:nvSpPr>
      <xdr:spPr bwMode="auto">
        <a:xfrm>
          <a:off x="23675340" y="10850880"/>
          <a:ext cx="136398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31</xdr:col>
      <xdr:colOff>614498</xdr:colOff>
      <xdr:row>57</xdr:row>
      <xdr:rowOff>84093</xdr:rowOff>
    </xdr:from>
    <xdr:to>
      <xdr:col>33</xdr:col>
      <xdr:colOff>225879</xdr:colOff>
      <xdr:row>59</xdr:row>
      <xdr:rowOff>142603</xdr:rowOff>
    </xdr:to>
    <xdr:sp macro="" textlink="">
      <xdr:nvSpPr>
        <xdr:cNvPr id="35025" name="Text Box 209" hidden="1"/>
        <xdr:cNvSpPr txBox="1">
          <a:spLocks noChangeArrowheads="1"/>
        </xdr:cNvSpPr>
      </xdr:nvSpPr>
      <xdr:spPr bwMode="auto">
        <a:xfrm>
          <a:off x="40957500" y="10850880"/>
          <a:ext cx="140970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38</xdr:col>
      <xdr:colOff>748121</xdr:colOff>
      <xdr:row>57</xdr:row>
      <xdr:rowOff>84093</xdr:rowOff>
    </xdr:from>
    <xdr:to>
      <xdr:col>40</xdr:col>
      <xdr:colOff>302078</xdr:colOff>
      <xdr:row>59</xdr:row>
      <xdr:rowOff>142603</xdr:rowOff>
    </xdr:to>
    <xdr:sp macro="" textlink="">
      <xdr:nvSpPr>
        <xdr:cNvPr id="35026" name="Text Box 210" hidden="1"/>
        <xdr:cNvSpPr txBox="1">
          <a:spLocks noChangeArrowheads="1"/>
        </xdr:cNvSpPr>
      </xdr:nvSpPr>
      <xdr:spPr bwMode="auto">
        <a:xfrm>
          <a:off x="4975098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45</xdr:col>
      <xdr:colOff>416379</xdr:colOff>
      <xdr:row>57</xdr:row>
      <xdr:rowOff>84093</xdr:rowOff>
    </xdr:from>
    <xdr:to>
      <xdr:col>47</xdr:col>
      <xdr:colOff>4899</xdr:colOff>
      <xdr:row>59</xdr:row>
      <xdr:rowOff>142603</xdr:rowOff>
    </xdr:to>
    <xdr:sp macro="" textlink="">
      <xdr:nvSpPr>
        <xdr:cNvPr id="35027" name="Text Box 211" hidden="1"/>
        <xdr:cNvSpPr txBox="1">
          <a:spLocks noChangeArrowheads="1"/>
        </xdr:cNvSpPr>
      </xdr:nvSpPr>
      <xdr:spPr bwMode="auto">
        <a:xfrm>
          <a:off x="5815584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51</xdr:col>
      <xdr:colOff>850447</xdr:colOff>
      <xdr:row>57</xdr:row>
      <xdr:rowOff>84093</xdr:rowOff>
    </xdr:from>
    <xdr:to>
      <xdr:col>53</xdr:col>
      <xdr:colOff>271598</xdr:colOff>
      <xdr:row>59</xdr:row>
      <xdr:rowOff>142603</xdr:rowOff>
    </xdr:to>
    <xdr:sp macro="" textlink="">
      <xdr:nvSpPr>
        <xdr:cNvPr id="35028" name="Text Box 212" hidden="1"/>
        <xdr:cNvSpPr txBox="1">
          <a:spLocks noChangeArrowheads="1"/>
        </xdr:cNvSpPr>
      </xdr:nvSpPr>
      <xdr:spPr bwMode="auto">
        <a:xfrm>
          <a:off x="6622542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225878</xdr:colOff>
      <xdr:row>57</xdr:row>
      <xdr:rowOff>84093</xdr:rowOff>
    </xdr:from>
    <xdr:to>
      <xdr:col>59</xdr:col>
      <xdr:colOff>553539</xdr:colOff>
      <xdr:row>59</xdr:row>
      <xdr:rowOff>142603</xdr:rowOff>
    </xdr:to>
    <xdr:sp macro="" textlink="">
      <xdr:nvSpPr>
        <xdr:cNvPr id="35029" name="Text Box 213" hidden="1"/>
        <xdr:cNvSpPr txBox="1">
          <a:spLocks noChangeArrowheads="1"/>
        </xdr:cNvSpPr>
      </xdr:nvSpPr>
      <xdr:spPr bwMode="auto">
        <a:xfrm>
          <a:off x="74348340" y="10850880"/>
          <a:ext cx="137922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164919</xdr:colOff>
      <xdr:row>57</xdr:row>
      <xdr:rowOff>84093</xdr:rowOff>
    </xdr:from>
    <xdr:to>
      <xdr:col>66</xdr:col>
      <xdr:colOff>500198</xdr:colOff>
      <xdr:row>59</xdr:row>
      <xdr:rowOff>142603</xdr:rowOff>
    </xdr:to>
    <xdr:sp macro="" textlink="">
      <xdr:nvSpPr>
        <xdr:cNvPr id="35030" name="Text Box 214" hidden="1"/>
        <xdr:cNvSpPr txBox="1">
          <a:spLocks noChangeArrowheads="1"/>
        </xdr:cNvSpPr>
      </xdr:nvSpPr>
      <xdr:spPr bwMode="auto">
        <a:xfrm>
          <a:off x="83012280" y="10850880"/>
          <a:ext cx="137160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73479</xdr:colOff>
      <xdr:row>57</xdr:row>
      <xdr:rowOff>84093</xdr:rowOff>
    </xdr:from>
    <xdr:to>
      <xdr:col>73</xdr:col>
      <xdr:colOff>385899</xdr:colOff>
      <xdr:row>59</xdr:row>
      <xdr:rowOff>142603</xdr:rowOff>
    </xdr:to>
    <xdr:sp macro="" textlink="">
      <xdr:nvSpPr>
        <xdr:cNvPr id="35031" name="Text Box 215" hidden="1"/>
        <xdr:cNvSpPr txBox="1">
          <a:spLocks noChangeArrowheads="1"/>
        </xdr:cNvSpPr>
      </xdr:nvSpPr>
      <xdr:spPr bwMode="auto">
        <a:xfrm>
          <a:off x="91622880" y="10850880"/>
          <a:ext cx="13487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78</xdr:col>
      <xdr:colOff>1725387</xdr:colOff>
      <xdr:row>57</xdr:row>
      <xdr:rowOff>84093</xdr:rowOff>
    </xdr:from>
    <xdr:to>
      <xdr:col>80</xdr:col>
      <xdr:colOff>302079</xdr:colOff>
      <xdr:row>59</xdr:row>
      <xdr:rowOff>142603</xdr:rowOff>
    </xdr:to>
    <xdr:sp macro="" textlink="">
      <xdr:nvSpPr>
        <xdr:cNvPr id="35032" name="Text Box 216" hidden="1"/>
        <xdr:cNvSpPr txBox="1">
          <a:spLocks noChangeArrowheads="1"/>
        </xdr:cNvSpPr>
      </xdr:nvSpPr>
      <xdr:spPr bwMode="auto">
        <a:xfrm>
          <a:off x="10025634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1224099</xdr:colOff>
      <xdr:row>57</xdr:row>
      <xdr:rowOff>84093</xdr:rowOff>
    </xdr:from>
    <xdr:to>
      <xdr:col>86</xdr:col>
      <xdr:colOff>934266</xdr:colOff>
      <xdr:row>59</xdr:row>
      <xdr:rowOff>142603</xdr:rowOff>
    </xdr:to>
    <xdr:sp macro="" textlink="">
      <xdr:nvSpPr>
        <xdr:cNvPr id="35033" name="Text Box 217" hidden="1"/>
        <xdr:cNvSpPr txBox="1">
          <a:spLocks noChangeArrowheads="1"/>
        </xdr:cNvSpPr>
      </xdr:nvSpPr>
      <xdr:spPr bwMode="auto">
        <a:xfrm>
          <a:off x="10869168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911679</xdr:colOff>
      <xdr:row>57</xdr:row>
      <xdr:rowOff>84093</xdr:rowOff>
    </xdr:from>
    <xdr:to>
      <xdr:col>93</xdr:col>
      <xdr:colOff>591639</xdr:colOff>
      <xdr:row>59</xdr:row>
      <xdr:rowOff>142603</xdr:rowOff>
    </xdr:to>
    <xdr:sp macro="" textlink="">
      <xdr:nvSpPr>
        <xdr:cNvPr id="35034" name="Text Box 218" hidden="1"/>
        <xdr:cNvSpPr txBox="1">
          <a:spLocks noChangeArrowheads="1"/>
        </xdr:cNvSpPr>
      </xdr:nvSpPr>
      <xdr:spPr bwMode="auto">
        <a:xfrm>
          <a:off x="11709654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690699</xdr:colOff>
      <xdr:row>57</xdr:row>
      <xdr:rowOff>84093</xdr:rowOff>
    </xdr:from>
    <xdr:to>
      <xdr:col>100</xdr:col>
      <xdr:colOff>401139</xdr:colOff>
      <xdr:row>59</xdr:row>
      <xdr:rowOff>142603</xdr:rowOff>
    </xdr:to>
    <xdr:sp macro="" textlink="">
      <xdr:nvSpPr>
        <xdr:cNvPr id="35035" name="Text Box 219" hidden="1"/>
        <xdr:cNvSpPr txBox="1">
          <a:spLocks noChangeArrowheads="1"/>
        </xdr:cNvSpPr>
      </xdr:nvSpPr>
      <xdr:spPr bwMode="auto">
        <a:xfrm>
          <a:off x="125569980" y="10850880"/>
          <a:ext cx="137922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878478</xdr:colOff>
      <xdr:row>52</xdr:row>
      <xdr:rowOff>140154</xdr:rowOff>
    </xdr:from>
    <xdr:to>
      <xdr:col>14</xdr:col>
      <xdr:colOff>149679</xdr:colOff>
      <xdr:row>56</xdr:row>
      <xdr:rowOff>114572</xdr:rowOff>
    </xdr:to>
    <xdr:sp macro="" textlink="">
      <xdr:nvSpPr>
        <xdr:cNvPr id="35036" name="Text Box 220" hidden="1"/>
        <xdr:cNvSpPr txBox="1">
          <a:spLocks noChangeArrowheads="1"/>
        </xdr:cNvSpPr>
      </xdr:nvSpPr>
      <xdr:spPr bwMode="auto">
        <a:xfrm>
          <a:off x="15095220" y="10012680"/>
          <a:ext cx="2712720" cy="701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878478</xdr:colOff>
      <xdr:row>55</xdr:row>
      <xdr:rowOff>122463</xdr:rowOff>
    </xdr:from>
    <xdr:to>
      <xdr:col>12</xdr:col>
      <xdr:colOff>454479</xdr:colOff>
      <xdr:row>57</xdr:row>
      <xdr:rowOff>122193</xdr:rowOff>
    </xdr:to>
    <xdr:sp macro="" textlink="">
      <xdr:nvSpPr>
        <xdr:cNvPr id="35037" name="Text Box 221" hidden="1"/>
        <xdr:cNvSpPr txBox="1">
          <a:spLocks noChangeArrowheads="1"/>
        </xdr:cNvSpPr>
      </xdr:nvSpPr>
      <xdr:spPr bwMode="auto">
        <a:xfrm>
          <a:off x="15095220" y="10561320"/>
          <a:ext cx="140208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878478</xdr:colOff>
      <xdr:row>57</xdr:row>
      <xdr:rowOff>84093</xdr:rowOff>
    </xdr:from>
    <xdr:to>
      <xdr:col>12</xdr:col>
      <xdr:colOff>431619</xdr:colOff>
      <xdr:row>60</xdr:row>
      <xdr:rowOff>8981</xdr:rowOff>
    </xdr:to>
    <xdr:sp macro="" textlink="">
      <xdr:nvSpPr>
        <xdr:cNvPr id="35038" name="Text Box 222" hidden="1"/>
        <xdr:cNvSpPr txBox="1">
          <a:spLocks noChangeArrowheads="1"/>
        </xdr:cNvSpPr>
      </xdr:nvSpPr>
      <xdr:spPr bwMode="auto">
        <a:xfrm>
          <a:off x="15095220" y="10850880"/>
          <a:ext cx="1379220" cy="4267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748120</xdr:colOff>
      <xdr:row>52</xdr:row>
      <xdr:rowOff>140154</xdr:rowOff>
    </xdr:from>
    <xdr:to>
      <xdr:col>21</xdr:col>
      <xdr:colOff>73479</xdr:colOff>
      <xdr:row>57</xdr:row>
      <xdr:rowOff>122193</xdr:rowOff>
    </xdr:to>
    <xdr:sp macro="" textlink="">
      <xdr:nvSpPr>
        <xdr:cNvPr id="35039" name="Text Box 223" hidden="1"/>
        <xdr:cNvSpPr txBox="1">
          <a:spLocks noChangeArrowheads="1"/>
        </xdr:cNvSpPr>
      </xdr:nvSpPr>
      <xdr:spPr bwMode="auto">
        <a:xfrm>
          <a:off x="2367534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748120</xdr:colOff>
      <xdr:row>55</xdr:row>
      <xdr:rowOff>122463</xdr:rowOff>
    </xdr:from>
    <xdr:to>
      <xdr:col>19</xdr:col>
      <xdr:colOff>309698</xdr:colOff>
      <xdr:row>57</xdr:row>
      <xdr:rowOff>122193</xdr:rowOff>
    </xdr:to>
    <xdr:sp macro="" textlink="">
      <xdr:nvSpPr>
        <xdr:cNvPr id="35040" name="Text Box 224" hidden="1"/>
        <xdr:cNvSpPr txBox="1">
          <a:spLocks noChangeArrowheads="1"/>
        </xdr:cNvSpPr>
      </xdr:nvSpPr>
      <xdr:spPr bwMode="auto">
        <a:xfrm>
          <a:off x="23675340" y="10561320"/>
          <a:ext cx="139446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748120</xdr:colOff>
      <xdr:row>57</xdr:row>
      <xdr:rowOff>84093</xdr:rowOff>
    </xdr:from>
    <xdr:to>
      <xdr:col>19</xdr:col>
      <xdr:colOff>279218</xdr:colOff>
      <xdr:row>59</xdr:row>
      <xdr:rowOff>142603</xdr:rowOff>
    </xdr:to>
    <xdr:sp macro="" textlink="">
      <xdr:nvSpPr>
        <xdr:cNvPr id="35041" name="Text Box 225" hidden="1"/>
        <xdr:cNvSpPr txBox="1">
          <a:spLocks noChangeArrowheads="1"/>
        </xdr:cNvSpPr>
      </xdr:nvSpPr>
      <xdr:spPr bwMode="auto">
        <a:xfrm>
          <a:off x="23675340" y="10850880"/>
          <a:ext cx="136398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1307918</xdr:colOff>
      <xdr:row>70</xdr:row>
      <xdr:rowOff>51707</xdr:rowOff>
    </xdr:from>
    <xdr:to>
      <xdr:col>99</xdr:col>
      <xdr:colOff>4899</xdr:colOff>
      <xdr:row>74</xdr:row>
      <xdr:rowOff>71846</xdr:rowOff>
    </xdr:to>
    <xdr:sp macro="" textlink="">
      <xdr:nvSpPr>
        <xdr:cNvPr id="35042" name="Text Box 226" hidden="1"/>
        <xdr:cNvSpPr txBox="1">
          <a:spLocks noChangeArrowheads="1"/>
        </xdr:cNvSpPr>
      </xdr:nvSpPr>
      <xdr:spPr bwMode="auto">
        <a:xfrm>
          <a:off x="123619260" y="13106400"/>
          <a:ext cx="1264920" cy="8229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101</xdr:col>
      <xdr:colOff>363038</xdr:colOff>
      <xdr:row>25</xdr:row>
      <xdr:rowOff>104775</xdr:rowOff>
    </xdr:from>
    <xdr:to>
      <xdr:col>103</xdr:col>
      <xdr:colOff>644979</xdr:colOff>
      <xdr:row>27</xdr:row>
      <xdr:rowOff>89535</xdr:rowOff>
    </xdr:to>
    <xdr:sp macro="" textlink="">
      <xdr:nvSpPr>
        <xdr:cNvPr id="35045" name="Text Box 229" hidden="1"/>
        <xdr:cNvSpPr txBox="1">
          <a:spLocks noChangeArrowheads="1"/>
        </xdr:cNvSpPr>
      </xdr:nvSpPr>
      <xdr:spPr bwMode="auto">
        <a:xfrm>
          <a:off x="127962660" y="4732020"/>
          <a:ext cx="2080260" cy="320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108</xdr:col>
      <xdr:colOff>223158</xdr:colOff>
      <xdr:row>25</xdr:row>
      <xdr:rowOff>104775</xdr:rowOff>
    </xdr:from>
    <xdr:to>
      <xdr:col>110</xdr:col>
      <xdr:colOff>489857</xdr:colOff>
      <xdr:row>27</xdr:row>
      <xdr:rowOff>89535</xdr:rowOff>
    </xdr:to>
    <xdr:sp macro="" textlink="">
      <xdr:nvSpPr>
        <xdr:cNvPr id="35046" name="Text Box 230" hidden="1"/>
        <xdr:cNvSpPr txBox="1">
          <a:spLocks noChangeArrowheads="1"/>
        </xdr:cNvSpPr>
      </xdr:nvSpPr>
      <xdr:spPr bwMode="auto">
        <a:xfrm>
          <a:off x="136748520" y="4732020"/>
          <a:ext cx="2065020" cy="320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759279</xdr:colOff>
      <xdr:row>37</xdr:row>
      <xdr:rowOff>16056</xdr:rowOff>
    </xdr:from>
    <xdr:to>
      <xdr:col>100</xdr:col>
      <xdr:colOff>340179</xdr:colOff>
      <xdr:row>38</xdr:row>
      <xdr:rowOff>36467</xdr:rowOff>
    </xdr:to>
    <xdr:sp macro="" textlink="">
      <xdr:nvSpPr>
        <xdr:cNvPr id="35047" name="Text Box 231" hidden="1"/>
        <xdr:cNvSpPr txBox="1">
          <a:spLocks noChangeArrowheads="1"/>
        </xdr:cNvSpPr>
      </xdr:nvSpPr>
      <xdr:spPr bwMode="auto">
        <a:xfrm>
          <a:off x="125638560" y="7269480"/>
          <a:ext cx="1249680" cy="266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566057</xdr:colOff>
      <xdr:row>37</xdr:row>
      <xdr:rowOff>16056</xdr:rowOff>
    </xdr:from>
    <xdr:to>
      <xdr:col>107</xdr:col>
      <xdr:colOff>185056</xdr:colOff>
      <xdr:row>38</xdr:row>
      <xdr:rowOff>36467</xdr:rowOff>
    </xdr:to>
    <xdr:sp macro="" textlink="">
      <xdr:nvSpPr>
        <xdr:cNvPr id="35048" name="Text Box 232" hidden="1"/>
        <xdr:cNvSpPr txBox="1">
          <a:spLocks noChangeArrowheads="1"/>
        </xdr:cNvSpPr>
      </xdr:nvSpPr>
      <xdr:spPr bwMode="auto">
        <a:xfrm>
          <a:off x="134386320" y="7269480"/>
          <a:ext cx="1287780" cy="266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1589043</xdr:colOff>
      <xdr:row>38</xdr:row>
      <xdr:rowOff>13607</xdr:rowOff>
    </xdr:from>
    <xdr:to>
      <xdr:col>101</xdr:col>
      <xdr:colOff>81098</xdr:colOff>
      <xdr:row>39</xdr:row>
      <xdr:rowOff>87086</xdr:rowOff>
    </xdr:to>
    <xdr:sp macro="" textlink="">
      <xdr:nvSpPr>
        <xdr:cNvPr id="35049" name="Text Box 233" hidden="1"/>
        <xdr:cNvSpPr txBox="1">
          <a:spLocks noChangeArrowheads="1"/>
        </xdr:cNvSpPr>
      </xdr:nvSpPr>
      <xdr:spPr bwMode="auto">
        <a:xfrm>
          <a:off x="126415800" y="7513320"/>
          <a:ext cx="1264920" cy="289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1418680</xdr:colOff>
      <xdr:row>38</xdr:row>
      <xdr:rowOff>13607</xdr:rowOff>
    </xdr:from>
    <xdr:to>
      <xdr:col>107</xdr:col>
      <xdr:colOff>1008561</xdr:colOff>
      <xdr:row>39</xdr:row>
      <xdr:rowOff>87086</xdr:rowOff>
    </xdr:to>
    <xdr:sp macro="" textlink="">
      <xdr:nvSpPr>
        <xdr:cNvPr id="35050" name="Text Box 234" hidden="1"/>
        <xdr:cNvSpPr txBox="1">
          <a:spLocks noChangeArrowheads="1"/>
        </xdr:cNvSpPr>
      </xdr:nvSpPr>
      <xdr:spPr bwMode="auto">
        <a:xfrm>
          <a:off x="135186420" y="7513320"/>
          <a:ext cx="1272540" cy="289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2229938</xdr:colOff>
      <xdr:row>39</xdr:row>
      <xdr:rowOff>87086</xdr:rowOff>
    </xdr:from>
    <xdr:to>
      <xdr:col>100</xdr:col>
      <xdr:colOff>401139</xdr:colOff>
      <xdr:row>41</xdr:row>
      <xdr:rowOff>89262</xdr:rowOff>
    </xdr:to>
    <xdr:sp macro="" textlink="">
      <xdr:nvSpPr>
        <xdr:cNvPr id="35051" name="Text Box 235" hidden="1"/>
        <xdr:cNvSpPr txBox="1">
          <a:spLocks noChangeArrowheads="1"/>
        </xdr:cNvSpPr>
      </xdr:nvSpPr>
      <xdr:spPr bwMode="auto">
        <a:xfrm>
          <a:off x="124541280" y="7802880"/>
          <a:ext cx="2407920" cy="3124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2067197</xdr:colOff>
      <xdr:row>39</xdr:row>
      <xdr:rowOff>87086</xdr:rowOff>
    </xdr:from>
    <xdr:to>
      <xdr:col>107</xdr:col>
      <xdr:colOff>261256</xdr:colOff>
      <xdr:row>41</xdr:row>
      <xdr:rowOff>89262</xdr:rowOff>
    </xdr:to>
    <xdr:sp macro="" textlink="">
      <xdr:nvSpPr>
        <xdr:cNvPr id="35052" name="Text Box 236" hidden="1"/>
        <xdr:cNvSpPr txBox="1">
          <a:spLocks noChangeArrowheads="1"/>
        </xdr:cNvSpPr>
      </xdr:nvSpPr>
      <xdr:spPr bwMode="auto">
        <a:xfrm>
          <a:off x="133319520" y="7802880"/>
          <a:ext cx="2430780" cy="3124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2229938</xdr:colOff>
      <xdr:row>42</xdr:row>
      <xdr:rowOff>1361</xdr:rowOff>
    </xdr:from>
    <xdr:to>
      <xdr:col>102</xdr:col>
      <xdr:colOff>4899</xdr:colOff>
      <xdr:row>47</xdr:row>
      <xdr:rowOff>169817</xdr:rowOff>
    </xdr:to>
    <xdr:sp macro="" textlink="">
      <xdr:nvSpPr>
        <xdr:cNvPr id="35053" name="Text Box 237" hidden="1"/>
        <xdr:cNvSpPr txBox="1">
          <a:spLocks noChangeArrowheads="1"/>
        </xdr:cNvSpPr>
      </xdr:nvSpPr>
      <xdr:spPr bwMode="auto">
        <a:xfrm>
          <a:off x="124541280" y="8183880"/>
          <a:ext cx="3947160" cy="9372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759279</xdr:colOff>
      <xdr:row>42</xdr:row>
      <xdr:rowOff>1361</xdr:rowOff>
    </xdr:from>
    <xdr:to>
      <xdr:col>102</xdr:col>
      <xdr:colOff>905692</xdr:colOff>
      <xdr:row>46</xdr:row>
      <xdr:rowOff>146413</xdr:rowOff>
    </xdr:to>
    <xdr:sp macro="" textlink="">
      <xdr:nvSpPr>
        <xdr:cNvPr id="35054" name="Text Box 238" hidden="1"/>
        <xdr:cNvSpPr txBox="1">
          <a:spLocks noChangeArrowheads="1"/>
        </xdr:cNvSpPr>
      </xdr:nvSpPr>
      <xdr:spPr bwMode="auto">
        <a:xfrm>
          <a:off x="125638560" y="8183880"/>
          <a:ext cx="3726180" cy="7543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2067197</xdr:colOff>
      <xdr:row>42</xdr:row>
      <xdr:rowOff>1361</xdr:rowOff>
    </xdr:from>
    <xdr:to>
      <xdr:col>108</xdr:col>
      <xdr:colOff>769077</xdr:colOff>
      <xdr:row>47</xdr:row>
      <xdr:rowOff>169817</xdr:rowOff>
    </xdr:to>
    <xdr:sp macro="" textlink="">
      <xdr:nvSpPr>
        <xdr:cNvPr id="35055" name="Text Box 239" hidden="1"/>
        <xdr:cNvSpPr txBox="1">
          <a:spLocks noChangeArrowheads="1"/>
        </xdr:cNvSpPr>
      </xdr:nvSpPr>
      <xdr:spPr bwMode="auto">
        <a:xfrm>
          <a:off x="133319520" y="8183880"/>
          <a:ext cx="3947160" cy="9372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566057</xdr:colOff>
      <xdr:row>42</xdr:row>
      <xdr:rowOff>1361</xdr:rowOff>
    </xdr:from>
    <xdr:to>
      <xdr:col>109</xdr:col>
      <xdr:colOff>720090</xdr:colOff>
      <xdr:row>46</xdr:row>
      <xdr:rowOff>146413</xdr:rowOff>
    </xdr:to>
    <xdr:sp macro="" textlink="">
      <xdr:nvSpPr>
        <xdr:cNvPr id="35056" name="Text Box 240" hidden="1"/>
        <xdr:cNvSpPr txBox="1">
          <a:spLocks noChangeArrowheads="1"/>
        </xdr:cNvSpPr>
      </xdr:nvSpPr>
      <xdr:spPr bwMode="auto">
        <a:xfrm>
          <a:off x="134386320" y="8183880"/>
          <a:ext cx="3718560" cy="7543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2229938</xdr:colOff>
      <xdr:row>43</xdr:row>
      <xdr:rowOff>47625</xdr:rowOff>
    </xdr:from>
    <xdr:to>
      <xdr:col>99</xdr:col>
      <xdr:colOff>919299</xdr:colOff>
      <xdr:row>47</xdr:row>
      <xdr:rowOff>108857</xdr:rowOff>
    </xdr:to>
    <xdr:sp macro="" textlink="">
      <xdr:nvSpPr>
        <xdr:cNvPr id="35057" name="Text Box 241" hidden="1"/>
        <xdr:cNvSpPr txBox="1">
          <a:spLocks noChangeArrowheads="1"/>
        </xdr:cNvSpPr>
      </xdr:nvSpPr>
      <xdr:spPr bwMode="auto">
        <a:xfrm>
          <a:off x="124541280" y="8382000"/>
          <a:ext cx="1257300" cy="6781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2067197</xdr:colOff>
      <xdr:row>43</xdr:row>
      <xdr:rowOff>47625</xdr:rowOff>
    </xdr:from>
    <xdr:to>
      <xdr:col>106</xdr:col>
      <xdr:colOff>756557</xdr:colOff>
      <xdr:row>47</xdr:row>
      <xdr:rowOff>108857</xdr:rowOff>
    </xdr:to>
    <xdr:sp macro="" textlink="">
      <xdr:nvSpPr>
        <xdr:cNvPr id="35058" name="Text Box 242" hidden="1"/>
        <xdr:cNvSpPr txBox="1">
          <a:spLocks noChangeArrowheads="1"/>
        </xdr:cNvSpPr>
      </xdr:nvSpPr>
      <xdr:spPr bwMode="auto">
        <a:xfrm>
          <a:off x="133319520" y="8382000"/>
          <a:ext cx="1257300" cy="6781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759279</xdr:colOff>
      <xdr:row>46</xdr:row>
      <xdr:rowOff>62593</xdr:rowOff>
    </xdr:from>
    <xdr:to>
      <xdr:col>101</xdr:col>
      <xdr:colOff>878477</xdr:colOff>
      <xdr:row>50</xdr:row>
      <xdr:rowOff>145869</xdr:rowOff>
    </xdr:to>
    <xdr:sp macro="" textlink="">
      <xdr:nvSpPr>
        <xdr:cNvPr id="35059" name="Text Box 243" hidden="1"/>
        <xdr:cNvSpPr txBox="1">
          <a:spLocks noChangeArrowheads="1"/>
        </xdr:cNvSpPr>
      </xdr:nvSpPr>
      <xdr:spPr bwMode="auto">
        <a:xfrm>
          <a:off x="125638560" y="8854440"/>
          <a:ext cx="281178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566057</xdr:colOff>
      <xdr:row>46</xdr:row>
      <xdr:rowOff>62593</xdr:rowOff>
    </xdr:from>
    <xdr:to>
      <xdr:col>108</xdr:col>
      <xdr:colOff>685257</xdr:colOff>
      <xdr:row>50</xdr:row>
      <xdr:rowOff>145869</xdr:rowOff>
    </xdr:to>
    <xdr:sp macro="" textlink="">
      <xdr:nvSpPr>
        <xdr:cNvPr id="35060" name="Text Box 244" hidden="1"/>
        <xdr:cNvSpPr txBox="1">
          <a:spLocks noChangeArrowheads="1"/>
        </xdr:cNvSpPr>
      </xdr:nvSpPr>
      <xdr:spPr bwMode="auto">
        <a:xfrm>
          <a:off x="134386320" y="8854440"/>
          <a:ext cx="279654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759279</xdr:colOff>
      <xdr:row>52</xdr:row>
      <xdr:rowOff>140154</xdr:rowOff>
    </xdr:from>
    <xdr:to>
      <xdr:col>101</xdr:col>
      <xdr:colOff>809897</xdr:colOff>
      <xdr:row>57</xdr:row>
      <xdr:rowOff>122193</xdr:rowOff>
    </xdr:to>
    <xdr:sp macro="" textlink="">
      <xdr:nvSpPr>
        <xdr:cNvPr id="35061" name="Text Box 245" hidden="1"/>
        <xdr:cNvSpPr txBox="1">
          <a:spLocks noChangeArrowheads="1"/>
        </xdr:cNvSpPr>
      </xdr:nvSpPr>
      <xdr:spPr bwMode="auto">
        <a:xfrm>
          <a:off x="125638560" y="10012680"/>
          <a:ext cx="274320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566057</xdr:colOff>
      <xdr:row>52</xdr:row>
      <xdr:rowOff>140154</xdr:rowOff>
    </xdr:from>
    <xdr:to>
      <xdr:col>108</xdr:col>
      <xdr:colOff>654777</xdr:colOff>
      <xdr:row>57</xdr:row>
      <xdr:rowOff>122193</xdr:rowOff>
    </xdr:to>
    <xdr:sp macro="" textlink="">
      <xdr:nvSpPr>
        <xdr:cNvPr id="35062" name="Text Box 246" hidden="1"/>
        <xdr:cNvSpPr txBox="1">
          <a:spLocks noChangeArrowheads="1"/>
        </xdr:cNvSpPr>
      </xdr:nvSpPr>
      <xdr:spPr bwMode="auto">
        <a:xfrm>
          <a:off x="13438632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2072640</xdr:colOff>
      <xdr:row>0</xdr:row>
      <xdr:rowOff>220980</xdr:rowOff>
    </xdr:from>
    <xdr:to>
      <xdr:col>5</xdr:col>
      <xdr:colOff>769620</xdr:colOff>
      <xdr:row>2</xdr:row>
      <xdr:rowOff>30480</xdr:rowOff>
    </xdr:to>
    <xdr:pic>
      <xdr:nvPicPr>
        <xdr:cNvPr id="36555"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560" y="220980"/>
          <a:ext cx="39624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556260</xdr:colOff>
      <xdr:row>23</xdr:row>
      <xdr:rowOff>76563</xdr:rowOff>
    </xdr:from>
    <xdr:to>
      <xdr:col>8</xdr:col>
      <xdr:colOff>403860</xdr:colOff>
      <xdr:row>25</xdr:row>
      <xdr:rowOff>3992</xdr:rowOff>
    </xdr:to>
    <xdr:sp macro="" textlink="">
      <xdr:nvSpPr>
        <xdr:cNvPr id="35870" name="Text Box 30" hidden="1"/>
        <xdr:cNvSpPr txBox="1">
          <a:spLocks noChangeArrowheads="1"/>
        </xdr:cNvSpPr>
      </xdr:nvSpPr>
      <xdr:spPr bwMode="auto">
        <a:xfrm>
          <a:off x="8229600" y="4831080"/>
          <a:ext cx="2072640" cy="3352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91440</xdr:rowOff>
    </xdr:from>
    <xdr:to>
      <xdr:col>5</xdr:col>
      <xdr:colOff>723900</xdr:colOff>
      <xdr:row>18</xdr:row>
      <xdr:rowOff>701040</xdr:rowOff>
    </xdr:to>
    <xdr:graphicFrame macro="">
      <xdr:nvGraphicFramePr>
        <xdr:cNvPr id="376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60960</xdr:colOff>
      <xdr:row>0</xdr:row>
      <xdr:rowOff>198120</xdr:rowOff>
    </xdr:from>
    <xdr:to>
      <xdr:col>6</xdr:col>
      <xdr:colOff>1028700</xdr:colOff>
      <xdr:row>1</xdr:row>
      <xdr:rowOff>228600</xdr:rowOff>
    </xdr:to>
    <xdr:pic>
      <xdr:nvPicPr>
        <xdr:cNvPr id="37606"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6720" y="198120"/>
          <a:ext cx="46939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160020</xdr:colOff>
      <xdr:row>0</xdr:row>
      <xdr:rowOff>190500</xdr:rowOff>
    </xdr:from>
    <xdr:to>
      <xdr:col>5</xdr:col>
      <xdr:colOff>213360</xdr:colOff>
      <xdr:row>1</xdr:row>
      <xdr:rowOff>259080</xdr:rowOff>
    </xdr:to>
    <xdr:pic>
      <xdr:nvPicPr>
        <xdr:cNvPr id="25330"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8160" y="190500"/>
          <a:ext cx="5120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708660</xdr:colOff>
      <xdr:row>0</xdr:row>
      <xdr:rowOff>152400</xdr:rowOff>
    </xdr:from>
    <xdr:to>
      <xdr:col>6</xdr:col>
      <xdr:colOff>601980</xdr:colOff>
      <xdr:row>1</xdr:row>
      <xdr:rowOff>152400</xdr:rowOff>
    </xdr:to>
    <xdr:pic>
      <xdr:nvPicPr>
        <xdr:cNvPr id="5075"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52400"/>
          <a:ext cx="48082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30480</xdr:colOff>
      <xdr:row>0</xdr:row>
      <xdr:rowOff>99060</xdr:rowOff>
    </xdr:from>
    <xdr:to>
      <xdr:col>6</xdr:col>
      <xdr:colOff>685800</xdr:colOff>
      <xdr:row>3</xdr:row>
      <xdr:rowOff>121920</xdr:rowOff>
    </xdr:to>
    <xdr:pic>
      <xdr:nvPicPr>
        <xdr:cNvPr id="76523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99060"/>
          <a:ext cx="470916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2164080</xdr:colOff>
      <xdr:row>0</xdr:row>
      <xdr:rowOff>198120</xdr:rowOff>
    </xdr:from>
    <xdr:to>
      <xdr:col>6</xdr:col>
      <xdr:colOff>495300</xdr:colOff>
      <xdr:row>2</xdr:row>
      <xdr:rowOff>106680</xdr:rowOff>
    </xdr:to>
    <xdr:pic>
      <xdr:nvPicPr>
        <xdr:cNvPr id="576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198120"/>
          <a:ext cx="47167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106680</xdr:colOff>
      <xdr:row>4</xdr:row>
      <xdr:rowOff>99060</xdr:rowOff>
    </xdr:from>
    <xdr:to>
      <xdr:col>5</xdr:col>
      <xdr:colOff>533400</xdr:colOff>
      <xdr:row>18</xdr:row>
      <xdr:rowOff>1524000</xdr:rowOff>
    </xdr:to>
    <xdr:graphicFrame macro="">
      <xdr:nvGraphicFramePr>
        <xdr:cNvPr id="17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7620</xdr:colOff>
      <xdr:row>0</xdr:row>
      <xdr:rowOff>190500</xdr:rowOff>
    </xdr:from>
    <xdr:to>
      <xdr:col>6</xdr:col>
      <xdr:colOff>982980</xdr:colOff>
      <xdr:row>1</xdr:row>
      <xdr:rowOff>220980</xdr:rowOff>
    </xdr:to>
    <xdr:pic>
      <xdr:nvPicPr>
        <xdr:cNvPr id="1769"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0" y="190500"/>
          <a:ext cx="47015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411480</xdr:colOff>
      <xdr:row>16</xdr:row>
      <xdr:rowOff>30480</xdr:rowOff>
    </xdr:from>
    <xdr:to>
      <xdr:col>8</xdr:col>
      <xdr:colOff>167640</xdr:colOff>
      <xdr:row>38</xdr:row>
      <xdr:rowOff>38100</xdr:rowOff>
    </xdr:to>
    <xdr:graphicFrame macro="">
      <xdr:nvGraphicFramePr>
        <xdr:cNvPr id="628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psm.admin.ch/de/wirkstoffe/1364" TargetMode="External"/><Relationship Id="rId7" Type="http://schemas.openxmlformats.org/officeDocument/2006/relationships/hyperlink" Target="https://www.psm.admin.ch/de/wirkstoffe/199" TargetMode="External"/><Relationship Id="rId2" Type="http://schemas.openxmlformats.org/officeDocument/2006/relationships/hyperlink" Target="https://www.psm.admin.ch/de/wirkstoffe/898" TargetMode="External"/><Relationship Id="rId1" Type="http://schemas.openxmlformats.org/officeDocument/2006/relationships/hyperlink" Target="https://www.psm.admin.ch/de/wirkstoffe/1583" TargetMode="External"/><Relationship Id="rId6" Type="http://schemas.openxmlformats.org/officeDocument/2006/relationships/hyperlink" Target="https://www.psm.admin.ch/de/wirkstoffe/338" TargetMode="External"/><Relationship Id="rId5" Type="http://schemas.openxmlformats.org/officeDocument/2006/relationships/hyperlink" Target="https://www.psm.admin.ch/de/wirkstoffe/1421" TargetMode="External"/><Relationship Id="rId10" Type="http://schemas.openxmlformats.org/officeDocument/2006/relationships/comments" Target="../comments10.xml"/><Relationship Id="rId4" Type="http://schemas.openxmlformats.org/officeDocument/2006/relationships/hyperlink" Target="https://www.psm.admin.ch/de/wirkstoffe/1568" TargetMode="External"/><Relationship Id="rId9"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arianteneingeben"/>
  <dimension ref="A1:T384"/>
  <sheetViews>
    <sheetView tabSelected="1" zoomScale="70" zoomScaleNormal="70" workbookViewId="0">
      <selection activeCell="J176" sqref="J176"/>
    </sheetView>
  </sheetViews>
  <sheetFormatPr baseColWidth="10" defaultColWidth="11.36328125" defaultRowHeight="13" x14ac:dyDescent="0.3"/>
  <cols>
    <col min="1" max="1" width="30.1796875" style="21" customWidth="1"/>
    <col min="2" max="2" width="15.1796875" style="70" customWidth="1"/>
    <col min="3" max="3" width="10.7265625" style="70" bestFit="1" customWidth="1"/>
    <col min="4" max="4" width="15.1796875" style="64" customWidth="1"/>
    <col min="5" max="5" width="5" style="21" customWidth="1"/>
    <col min="6" max="6" width="12.26953125" style="21" customWidth="1"/>
    <col min="7" max="7" width="44.54296875" style="21" customWidth="1"/>
    <col min="8" max="8" width="14.81640625" style="21" bestFit="1" customWidth="1"/>
    <col min="9" max="9" width="10.81640625" style="21" customWidth="1"/>
    <col min="10" max="10" width="14.7265625" style="21" bestFit="1" customWidth="1"/>
    <col min="11" max="11" width="3.7265625" style="21" customWidth="1"/>
    <col min="12" max="16384" width="11.36328125" style="21"/>
  </cols>
  <sheetData>
    <row r="1" spans="1:10" ht="33" customHeight="1" x14ac:dyDescent="0.5">
      <c r="A1" s="947" t="str">
        <f>'Standard Vorgaben'!A1</f>
        <v>Arbokost 2023</v>
      </c>
      <c r="B1" s="691" t="str">
        <f>'Standard Erstellung'!B1</f>
        <v>Tafelkirsche</v>
      </c>
      <c r="C1" s="697" t="s">
        <v>431</v>
      </c>
      <c r="D1" s="692"/>
      <c r="E1" s="692"/>
      <c r="F1" s="692"/>
      <c r="G1" s="693"/>
      <c r="H1" s="1098"/>
      <c r="I1" s="356"/>
      <c r="J1" s="1099"/>
    </row>
    <row r="2" spans="1:10" ht="42" customHeight="1" x14ac:dyDescent="0.4">
      <c r="B2" s="1347" t="s">
        <v>434</v>
      </c>
      <c r="C2" s="1347"/>
      <c r="D2" s="1347"/>
      <c r="E2" s="1347"/>
      <c r="F2" s="697" t="str">
        <f>'Standard Vorgaben'!B10</f>
        <v>ÖLN</v>
      </c>
      <c r="H2" s="1099"/>
      <c r="I2" s="1099"/>
      <c r="J2" s="624"/>
    </row>
    <row r="3" spans="1:10" ht="23.25" customHeight="1" x14ac:dyDescent="0.25">
      <c r="A3" s="695" t="s">
        <v>433</v>
      </c>
      <c r="B3" s="694">
        <f>'Standard Vorgaben'!B22</f>
        <v>4</v>
      </c>
      <c r="C3" s="1348" t="s">
        <v>432</v>
      </c>
      <c r="D3" s="1348"/>
      <c r="E3" s="696"/>
      <c r="F3" s="694">
        <f>'Standard Vorgaben'!B24</f>
        <v>12</v>
      </c>
      <c r="G3" s="916">
        <f>'Standard Erstellung'!E16</f>
        <v>950</v>
      </c>
      <c r="H3" s="1099"/>
      <c r="I3" s="1099"/>
      <c r="J3" s="1099"/>
    </row>
    <row r="4" spans="1:10" ht="15.65" customHeight="1" x14ac:dyDescent="0.25">
      <c r="A4" s="1349" t="s">
        <v>694</v>
      </c>
      <c r="B4" s="1349"/>
      <c r="C4" s="1349"/>
      <c r="D4" s="1349"/>
      <c r="E4" s="1349"/>
      <c r="F4" s="1349"/>
      <c r="G4" s="1349"/>
      <c r="H4" s="1343"/>
      <c r="I4" s="1099"/>
      <c r="J4" s="1099"/>
    </row>
    <row r="5" spans="1:10" ht="15.65" customHeight="1" x14ac:dyDescent="0.25">
      <c r="A5" s="1099" t="s">
        <v>696</v>
      </c>
      <c r="B5" s="1342"/>
      <c r="C5" s="1342"/>
      <c r="D5" s="1342"/>
      <c r="E5" s="1342"/>
      <c r="F5" s="1342"/>
      <c r="G5" s="1342"/>
      <c r="H5" s="1343"/>
      <c r="I5" s="1099"/>
      <c r="J5" s="1099"/>
    </row>
    <row r="6" spans="1:10" ht="12.9" customHeight="1" x14ac:dyDescent="0.25">
      <c r="B6" s="1322"/>
      <c r="C6" s="1322"/>
      <c r="D6" s="1322"/>
      <c r="E6" s="1322"/>
      <c r="F6" s="1322"/>
      <c r="G6" s="1322"/>
      <c r="H6" s="1099"/>
      <c r="I6" s="1099"/>
      <c r="J6" s="1099"/>
    </row>
    <row r="7" spans="1:10" ht="19.5" customHeight="1" thickBot="1" x14ac:dyDescent="0.45">
      <c r="A7" s="700"/>
      <c r="B7" s="701" t="s">
        <v>85</v>
      </c>
      <c r="C7" s="179" t="s">
        <v>152</v>
      </c>
      <c r="D7" s="944" t="s">
        <v>167</v>
      </c>
      <c r="E7" s="4"/>
      <c r="F7" s="948" t="s">
        <v>150</v>
      </c>
      <c r="G7" s="1100"/>
      <c r="H7" s="949"/>
      <c r="I7" s="949"/>
      <c r="J7" s="949"/>
    </row>
    <row r="8" spans="1:10" ht="16.5" thickTop="1" thickBot="1" x14ac:dyDescent="0.4">
      <c r="A8" s="718" t="s">
        <v>633</v>
      </c>
      <c r="B8" s="1101">
        <f>'Standard Vorgaben'!B41</f>
        <v>7.09</v>
      </c>
      <c r="C8" s="719">
        <f t="shared" ref="C8:C16" si="0">IF(OR(B8=0,B8=""),0,(D8/B8)-1)</f>
        <v>0</v>
      </c>
      <c r="D8" s="1102">
        <v>7.09</v>
      </c>
      <c r="E8" s="1099"/>
      <c r="F8" s="1350"/>
      <c r="G8" s="1350"/>
      <c r="H8" s="701" t="s">
        <v>85</v>
      </c>
      <c r="I8" s="179" t="s">
        <v>151</v>
      </c>
      <c r="J8" s="944" t="s">
        <v>167</v>
      </c>
    </row>
    <row r="9" spans="1:10" ht="18" customHeight="1" thickTop="1" x14ac:dyDescent="0.3">
      <c r="A9" s="718" t="s">
        <v>634</v>
      </c>
      <c r="B9" s="1103">
        <f>'Standard Vorgaben'!C41</f>
        <v>5.59</v>
      </c>
      <c r="C9" s="719">
        <f t="shared" si="0"/>
        <v>0</v>
      </c>
      <c r="D9" s="1104">
        <v>5.59</v>
      </c>
      <c r="E9" s="1099"/>
      <c r="F9" s="402" t="s">
        <v>266</v>
      </c>
      <c r="G9" s="403"/>
      <c r="H9" s="941">
        <f>H74</f>
        <v>7.3164153913500298</v>
      </c>
      <c r="I9" s="178">
        <f>IF(OR(H9=0,H9=""),0,(J9/H9)-1)</f>
        <v>5.3290705182007514E-15</v>
      </c>
      <c r="J9" s="950">
        <f>J74</f>
        <v>7.316415391350068</v>
      </c>
    </row>
    <row r="10" spans="1:10" ht="17.5" customHeight="1" x14ac:dyDescent="0.3">
      <c r="A10" s="718" t="s">
        <v>635</v>
      </c>
      <c r="B10" s="1103">
        <f>'Standard Vorgaben'!D41</f>
        <v>4</v>
      </c>
      <c r="C10" s="719">
        <f t="shared" si="0"/>
        <v>0</v>
      </c>
      <c r="D10" s="1104">
        <v>4</v>
      </c>
      <c r="E10" s="1099"/>
      <c r="F10" s="403" t="s">
        <v>301</v>
      </c>
      <c r="G10" s="403"/>
      <c r="H10" s="942">
        <f>H71</f>
        <v>17.532985139785989</v>
      </c>
      <c r="I10" s="178">
        <f>IF(OR(H10=0,H10=""),0,(J10/H10)-1)</f>
        <v>6.6613381477509392E-16</v>
      </c>
      <c r="J10" s="951">
        <f>J71</f>
        <v>17.532985139786</v>
      </c>
    </row>
    <row r="11" spans="1:10" ht="17.5" customHeight="1" x14ac:dyDescent="0.3">
      <c r="A11" s="718" t="s">
        <v>678</v>
      </c>
      <c r="B11" s="1103">
        <f>'Standard Vorgaben'!E41</f>
        <v>0</v>
      </c>
      <c r="C11" s="719">
        <f t="shared" si="0"/>
        <v>0</v>
      </c>
      <c r="D11" s="1104">
        <v>0</v>
      </c>
      <c r="E11" s="1099"/>
      <c r="F11" s="1346"/>
      <c r="G11" s="1346"/>
      <c r="H11" s="942"/>
      <c r="I11" s="178"/>
      <c r="J11" s="951"/>
    </row>
    <row r="12" spans="1:10" ht="21.25" customHeight="1" x14ac:dyDescent="0.3">
      <c r="A12" s="80" t="str">
        <f>A8</f>
        <v xml:space="preserve">                                       28+ mm</v>
      </c>
      <c r="B12" s="1105">
        <f>'Standard Vorgaben'!B80</f>
        <v>0.45</v>
      </c>
      <c r="C12" s="1106">
        <f t="shared" si="0"/>
        <v>0</v>
      </c>
      <c r="D12" s="1107">
        <v>0.45</v>
      </c>
      <c r="E12" s="1099"/>
      <c r="F12" s="402" t="s">
        <v>520</v>
      </c>
      <c r="G12" s="403"/>
      <c r="H12" s="943">
        <f>B55</f>
        <v>8.0739425600406136</v>
      </c>
      <c r="I12" s="178">
        <f>IF(OR(H12=0,H12=""),0,(J12/H12)-1)</f>
        <v>-2.2204460492503131E-16</v>
      </c>
      <c r="J12" s="952">
        <f>D55</f>
        <v>8.0739425600406118</v>
      </c>
    </row>
    <row r="13" spans="1:10" ht="14.5" thickBot="1" x14ac:dyDescent="0.35">
      <c r="A13" s="718" t="str">
        <f>A9</f>
        <v xml:space="preserve">                                      24+ mm</v>
      </c>
      <c r="B13" s="1105">
        <f>'Standard Vorgaben'!C80</f>
        <v>0.48</v>
      </c>
      <c r="C13" s="719">
        <f t="shared" si="0"/>
        <v>0</v>
      </c>
      <c r="D13" s="1107">
        <v>0.48</v>
      </c>
      <c r="E13" s="1099"/>
      <c r="F13" s="403" t="s">
        <v>302</v>
      </c>
      <c r="G13" s="403"/>
      <c r="H13" s="1108">
        <f>B53</f>
        <v>6.6888457566869617</v>
      </c>
      <c r="I13" s="178">
        <f>IF(OR(H13=0,H13=""),0,(J13/H13)-1)</f>
        <v>-1.1102230246251565E-16</v>
      </c>
      <c r="J13" s="1109">
        <f>D53</f>
        <v>6.6888457566869608</v>
      </c>
    </row>
    <row r="14" spans="1:10" thickTop="1" x14ac:dyDescent="0.25">
      <c r="A14" s="718" t="str">
        <f>A10</f>
        <v xml:space="preserve">                                       22+ mm</v>
      </c>
      <c r="B14" s="1110">
        <f>'Standard Vorgaben'!D80</f>
        <v>0</v>
      </c>
      <c r="C14" s="719">
        <f t="shared" si="0"/>
        <v>0</v>
      </c>
      <c r="D14" s="1111">
        <v>0</v>
      </c>
      <c r="E14" s="1099"/>
      <c r="F14" s="54"/>
      <c r="G14" s="54"/>
      <c r="H14" s="937"/>
      <c r="I14" s="937"/>
      <c r="J14" s="937"/>
    </row>
    <row r="15" spans="1:10" ht="12.5" x14ac:dyDescent="0.25">
      <c r="A15" s="718" t="str">
        <f>A11</f>
        <v xml:space="preserve">                                       Abgang &amp; Schwund</v>
      </c>
      <c r="B15" s="1110">
        <f>'Standard Vorgaben'!E80</f>
        <v>7.0000000000000007E-2</v>
      </c>
      <c r="C15" s="719">
        <f t="shared" si="0"/>
        <v>0</v>
      </c>
      <c r="D15" s="1111">
        <v>7.0000000000000007E-2</v>
      </c>
      <c r="E15" s="1099"/>
      <c r="F15" s="1112"/>
      <c r="G15" s="937"/>
      <c r="H15" s="937"/>
      <c r="I15" s="937"/>
      <c r="J15" s="937"/>
    </row>
    <row r="16" spans="1:10" ht="27.75" customHeight="1" x14ac:dyDescent="0.25">
      <c r="A16" s="344" t="s">
        <v>300</v>
      </c>
      <c r="B16" s="940">
        <f>'Standard Vorgaben'!F59</f>
        <v>12999.999999999998</v>
      </c>
      <c r="C16" s="346">
        <f t="shared" si="0"/>
        <v>2.2204460492503131E-16</v>
      </c>
      <c r="D16" s="945">
        <v>13000</v>
      </c>
      <c r="E16" s="1099"/>
      <c r="F16" s="1112"/>
      <c r="G16" s="937"/>
      <c r="H16" s="937"/>
      <c r="I16" s="937"/>
      <c r="J16" s="937"/>
    </row>
    <row r="17" spans="1:17" ht="2.25" customHeight="1" x14ac:dyDescent="0.3">
      <c r="B17" s="1113"/>
      <c r="D17" s="946"/>
    </row>
    <row r="18" spans="1:17" ht="22.5" customHeight="1" x14ac:dyDescent="0.3">
      <c r="A18" s="344" t="s">
        <v>531</v>
      </c>
      <c r="B18" s="1114">
        <f>'Standard Vorgaben'!F80</f>
        <v>12</v>
      </c>
      <c r="C18" s="719">
        <f t="shared" ref="C18:C23" si="1">IF(OR(B18=0,B18=""),0,(D18/B18)-1)</f>
        <v>0</v>
      </c>
      <c r="D18" s="1115">
        <v>12</v>
      </c>
      <c r="E18" s="1099"/>
      <c r="F18" s="1112"/>
      <c r="G18" s="937"/>
      <c r="H18" s="937"/>
      <c r="I18" s="937"/>
      <c r="J18" s="937"/>
      <c r="M18" s="936"/>
    </row>
    <row r="19" spans="1:17" ht="20.25" customHeight="1" x14ac:dyDescent="0.3">
      <c r="A19" s="706" t="s">
        <v>677</v>
      </c>
      <c r="B19" s="1116">
        <f>'Standard Vorgaben'!G35</f>
        <v>0.65</v>
      </c>
      <c r="C19" s="719">
        <f>IF(OR(B19=0,B19=""),0,(D19/B19)-1)</f>
        <v>0</v>
      </c>
      <c r="D19" s="1117">
        <v>0.65</v>
      </c>
      <c r="E19" s="1099"/>
      <c r="F19" s="1112"/>
      <c r="G19" s="937"/>
      <c r="H19" s="937"/>
      <c r="I19" s="937"/>
      <c r="J19" s="937"/>
      <c r="M19" s="1118"/>
      <c r="N19" s="64"/>
      <c r="O19" s="64"/>
      <c r="P19" s="64"/>
      <c r="Q19" s="64"/>
    </row>
    <row r="20" spans="1:17" ht="27.75" customHeight="1" x14ac:dyDescent="0.25">
      <c r="A20" s="344" t="s">
        <v>468</v>
      </c>
      <c r="B20" s="1064">
        <f>'Standard Vorgaben'!C27</f>
        <v>41.4</v>
      </c>
      <c r="C20" s="346">
        <f t="shared" si="1"/>
        <v>0</v>
      </c>
      <c r="D20" s="1065">
        <v>41.4</v>
      </c>
      <c r="E20" s="1099"/>
      <c r="F20" s="1112"/>
      <c r="G20" s="937"/>
      <c r="H20" s="937"/>
      <c r="I20" s="937"/>
      <c r="J20" s="937"/>
    </row>
    <row r="21" spans="1:17" ht="27.75" customHeight="1" x14ac:dyDescent="0.25">
      <c r="A21" s="344" t="s">
        <v>285</v>
      </c>
      <c r="B21" s="1064">
        <f>'Standard Vorgaben'!C28</f>
        <v>24</v>
      </c>
      <c r="C21" s="346">
        <f t="shared" si="1"/>
        <v>0</v>
      </c>
      <c r="D21" s="1065">
        <v>24</v>
      </c>
      <c r="E21" s="1099"/>
      <c r="F21" s="1112"/>
      <c r="G21" s="937"/>
      <c r="H21" s="937"/>
      <c r="I21" s="937"/>
      <c r="J21" s="937"/>
    </row>
    <row r="22" spans="1:17" ht="27.75" customHeight="1" x14ac:dyDescent="0.25">
      <c r="A22" s="344" t="s">
        <v>286</v>
      </c>
      <c r="B22" s="1064">
        <f>'Standard Vorgaben'!C29</f>
        <v>21.5</v>
      </c>
      <c r="C22" s="346">
        <f t="shared" si="1"/>
        <v>0</v>
      </c>
      <c r="D22" s="1065">
        <v>21.5</v>
      </c>
      <c r="E22" s="1099"/>
      <c r="F22" s="1112"/>
      <c r="G22" s="937"/>
      <c r="H22" s="937"/>
      <c r="I22" s="937"/>
      <c r="J22" s="937"/>
    </row>
    <row r="23" spans="1:17" ht="27.75" customHeight="1" x14ac:dyDescent="0.25">
      <c r="A23" s="1119" t="s">
        <v>262</v>
      </c>
      <c r="B23" s="962">
        <f>'Standard Vorgaben'!F29</f>
        <v>0.9</v>
      </c>
      <c r="C23" s="346">
        <f t="shared" si="1"/>
        <v>0</v>
      </c>
      <c r="D23" s="1066">
        <v>0.9</v>
      </c>
      <c r="E23" s="1099"/>
      <c r="F23" s="1112"/>
      <c r="G23" s="937"/>
      <c r="H23" s="937"/>
      <c r="I23" s="937"/>
      <c r="J23" s="937"/>
    </row>
    <row r="24" spans="1:17" ht="10.5" customHeight="1" x14ac:dyDescent="0.3">
      <c r="A24" s="79"/>
      <c r="B24" s="1120"/>
      <c r="C24" s="719"/>
      <c r="D24" s="1121"/>
      <c r="E24" s="1099"/>
      <c r="F24" s="1112"/>
      <c r="G24" s="937"/>
      <c r="H24" s="937"/>
      <c r="I24" s="937"/>
      <c r="J24" s="937"/>
    </row>
    <row r="25" spans="1:17" ht="19.5" customHeight="1" x14ac:dyDescent="0.25">
      <c r="A25" s="344" t="s">
        <v>382</v>
      </c>
      <c r="B25" s="1120">
        <f>'Standard Erstellung'!E16</f>
        <v>950</v>
      </c>
      <c r="C25" s="719">
        <f>IF(OR(B25=0,B25=""),0,(D25/B25)-1)</f>
        <v>0</v>
      </c>
      <c r="D25" s="1121">
        <v>950</v>
      </c>
      <c r="E25" s="1099"/>
      <c r="F25" s="1112"/>
      <c r="G25" s="937"/>
      <c r="H25" s="937"/>
      <c r="I25" s="937"/>
      <c r="J25" s="937"/>
    </row>
    <row r="26" spans="1:17" ht="19.5" customHeight="1" x14ac:dyDescent="0.25">
      <c r="A26" s="344" t="s">
        <v>16</v>
      </c>
      <c r="B26" s="1122">
        <f>'Standard Erstellung'!D20</f>
        <v>18</v>
      </c>
      <c r="C26" s="719">
        <f>IF(OR(B26=0,B26=""),0,(D26/B26)-1)</f>
        <v>0</v>
      </c>
      <c r="D26" s="1123">
        <v>18</v>
      </c>
      <c r="E26" s="1099"/>
      <c r="F26" s="1112"/>
      <c r="G26" s="937"/>
      <c r="H26" s="937"/>
      <c r="I26" s="937"/>
      <c r="J26" s="937"/>
    </row>
    <row r="27" spans="1:17" x14ac:dyDescent="0.25">
      <c r="A27" s="4"/>
      <c r="B27" s="1124"/>
      <c r="C27" s="1125"/>
      <c r="D27" s="1299"/>
      <c r="E27" s="1099"/>
      <c r="F27" s="1112"/>
      <c r="G27" s="937"/>
      <c r="H27" s="937"/>
      <c r="I27" s="937"/>
      <c r="J27" s="937"/>
    </row>
    <row r="28" spans="1:17" x14ac:dyDescent="0.3">
      <c r="A28" s="79" t="s">
        <v>383</v>
      </c>
      <c r="B28" s="1126">
        <f>'Standard Ertragsphase'!F49</f>
        <v>11672.899999999998</v>
      </c>
      <c r="C28" s="719">
        <f>IF(OR(B28=0,B28=""),0,(D28/B28)-1)</f>
        <v>0</v>
      </c>
      <c r="D28" s="1129">
        <v>11672.899999999998</v>
      </c>
      <c r="E28" s="1099"/>
      <c r="F28" s="1112"/>
      <c r="G28" s="937"/>
      <c r="H28" s="937"/>
      <c r="I28" s="937"/>
      <c r="J28" s="937"/>
    </row>
    <row r="29" spans="1:17" ht="9.5" customHeight="1" x14ac:dyDescent="0.25">
      <c r="A29" s="4"/>
      <c r="B29" s="1124"/>
      <c r="C29" s="1127"/>
      <c r="D29" s="1129"/>
      <c r="E29" s="1099"/>
      <c r="F29" s="1112"/>
      <c r="G29" s="937"/>
      <c r="H29" s="937"/>
      <c r="I29" s="937"/>
      <c r="J29" s="937"/>
    </row>
    <row r="30" spans="1:17" x14ac:dyDescent="0.3">
      <c r="A30" s="79" t="s">
        <v>385</v>
      </c>
      <c r="B30" s="1126">
        <f>'Standard Ertragsphase'!F23-'Standard Ertragsphase'!F22</f>
        <v>2400</v>
      </c>
      <c r="C30" s="719">
        <f>IF(OR(B30=0,B30=""),0,(D30/B30)-1)</f>
        <v>0</v>
      </c>
      <c r="D30" s="1129">
        <v>2400</v>
      </c>
      <c r="E30" s="1099"/>
      <c r="F30" s="1112"/>
      <c r="G30" s="937"/>
      <c r="H30" s="937"/>
      <c r="I30" s="937"/>
      <c r="J30" s="937"/>
    </row>
    <row r="31" spans="1:17" ht="8.15" customHeight="1" x14ac:dyDescent="0.25">
      <c r="A31" s="4"/>
      <c r="B31" s="1126"/>
      <c r="C31" s="1128"/>
      <c r="D31" s="1129"/>
      <c r="E31" s="1099"/>
      <c r="F31" s="1112"/>
      <c r="G31" s="937"/>
      <c r="H31" s="937"/>
      <c r="I31" s="937"/>
      <c r="J31" s="937"/>
    </row>
    <row r="32" spans="1:17" x14ac:dyDescent="0.3">
      <c r="A32" s="107" t="s">
        <v>384</v>
      </c>
      <c r="B32" s="1126">
        <f>'Standard Ertragsphase'!F17</f>
        <v>442.5</v>
      </c>
      <c r="C32" s="719">
        <f>IF(OR(B32=0,B32=""),0,(D32/B32)-1)</f>
        <v>0</v>
      </c>
      <c r="D32" s="1129">
        <v>442.5</v>
      </c>
      <c r="E32" s="1099"/>
      <c r="F32" s="1112"/>
      <c r="G32" s="937"/>
      <c r="H32" s="937"/>
      <c r="I32" s="937"/>
      <c r="J32" s="937"/>
    </row>
    <row r="33" spans="1:20" ht="8.15" customHeight="1" x14ac:dyDescent="0.25">
      <c r="A33" s="78"/>
      <c r="B33" s="1124"/>
      <c r="C33" s="719"/>
      <c r="D33" s="1129"/>
      <c r="E33" s="1099"/>
      <c r="F33" s="1112"/>
      <c r="G33" s="937"/>
      <c r="H33" s="937"/>
      <c r="I33" s="937"/>
      <c r="J33" s="937"/>
    </row>
    <row r="34" spans="1:20" x14ac:dyDescent="0.3">
      <c r="A34" s="79" t="s">
        <v>386</v>
      </c>
      <c r="B34" s="1122">
        <f>'Standard Vorgaben'!D151</f>
        <v>1.5</v>
      </c>
      <c r="C34" s="719">
        <f>IF(OR(B34=0,B34=""),0,(D34/B34)-1)</f>
        <v>0</v>
      </c>
      <c r="D34" s="1123">
        <v>1.5</v>
      </c>
      <c r="E34" s="1099"/>
      <c r="F34" s="1099"/>
    </row>
    <row r="35" spans="1:20" ht="12.5" x14ac:dyDescent="0.25">
      <c r="A35" s="78"/>
      <c r="B35" s="1130"/>
      <c r="C35" s="719"/>
      <c r="D35" s="1131"/>
      <c r="E35" s="1099"/>
      <c r="F35" s="1099"/>
      <c r="M35" s="21" t="s">
        <v>540</v>
      </c>
    </row>
    <row r="36" spans="1:20" ht="13.5" thickBot="1" x14ac:dyDescent="0.35">
      <c r="A36" s="79" t="s">
        <v>17</v>
      </c>
      <c r="B36" s="1132">
        <f>'Standard Vorgaben'!C35</f>
        <v>1.4999999999999999E-2</v>
      </c>
      <c r="C36" s="719">
        <f>IF(OR(B36=0,B36=""),0,(D36/B36)-1)</f>
        <v>0</v>
      </c>
      <c r="D36" s="1133">
        <v>1.4999999999999999E-2</v>
      </c>
      <c r="E36" s="1099"/>
      <c r="F36" s="1099"/>
    </row>
    <row r="37" spans="1:20" ht="10.5" customHeight="1" thickTop="1" x14ac:dyDescent="0.25">
      <c r="A37" s="4"/>
      <c r="B37" s="1134"/>
      <c r="C37" s="130"/>
      <c r="D37" s="130"/>
      <c r="E37" s="4"/>
    </row>
    <row r="38" spans="1:20" ht="12.5" x14ac:dyDescent="0.25">
      <c r="A38" s="4"/>
      <c r="B38" s="1134"/>
      <c r="C38" s="130"/>
      <c r="D38" s="130"/>
      <c r="E38" s="4"/>
    </row>
    <row r="39" spans="1:20" ht="12.5" x14ac:dyDescent="0.25">
      <c r="A39" s="4"/>
      <c r="B39" s="1134"/>
      <c r="C39" s="130"/>
      <c r="D39" s="4"/>
      <c r="E39" s="4"/>
    </row>
    <row r="40" spans="1:20" ht="51" customHeight="1" x14ac:dyDescent="0.25">
      <c r="A40" s="1344" t="s">
        <v>419</v>
      </c>
      <c r="B40" s="1344"/>
      <c r="C40" s="1344"/>
      <c r="D40" s="1344"/>
      <c r="E40" s="720"/>
      <c r="F40" s="1344" t="s">
        <v>303</v>
      </c>
      <c r="G40" s="1345"/>
      <c r="H40" s="1345"/>
      <c r="I40" s="1345"/>
      <c r="J40" s="1345"/>
    </row>
    <row r="41" spans="1:20" s="4" customFormat="1" ht="11.25" customHeight="1" x14ac:dyDescent="0.25">
      <c r="A41" s="709"/>
      <c r="B41" s="709"/>
      <c r="C41" s="709"/>
      <c r="D41" s="709"/>
      <c r="E41" s="720"/>
      <c r="F41" s="709"/>
      <c r="G41" s="710"/>
      <c r="H41" s="710"/>
      <c r="I41" s="710"/>
      <c r="J41" s="710"/>
      <c r="K41" s="21"/>
      <c r="L41" s="21"/>
      <c r="M41" s="21"/>
      <c r="N41" s="21"/>
      <c r="O41" s="21"/>
      <c r="P41" s="21"/>
      <c r="Q41" s="21"/>
      <c r="R41" s="21"/>
      <c r="S41" s="21"/>
      <c r="T41" s="21"/>
    </row>
    <row r="42" spans="1:20" ht="21.25" customHeight="1" thickBot="1" x14ac:dyDescent="0.3">
      <c r="A42" s="319"/>
      <c r="B42" s="953" t="s">
        <v>85</v>
      </c>
      <c r="C42" s="320" t="s">
        <v>151</v>
      </c>
      <c r="D42" s="944" t="s">
        <v>148</v>
      </c>
      <c r="E42" s="720"/>
      <c r="F42" s="720"/>
      <c r="G42" s="1135"/>
      <c r="H42" s="701" t="s">
        <v>85</v>
      </c>
      <c r="I42" s="320" t="s">
        <v>151</v>
      </c>
      <c r="J42" s="944" t="s">
        <v>148</v>
      </c>
    </row>
    <row r="43" spans="1:20" ht="14.5" thickTop="1" x14ac:dyDescent="0.25">
      <c r="A43" s="721" t="s">
        <v>438</v>
      </c>
      <c r="B43" s="954">
        <f>'Standard Ertragsphase'!F13</f>
        <v>77458.100000000006</v>
      </c>
      <c r="C43" s="345">
        <f>IF(OR(B43=0,B43=""),0,(D43/B43)-1)</f>
        <v>2.2204460492503131E-16</v>
      </c>
      <c r="D43" s="981">
        <f>'Var Ertragsphase'!F13</f>
        <v>77458.10000000002</v>
      </c>
      <c r="E43" s="720"/>
      <c r="F43" s="720"/>
      <c r="G43" s="724" t="s">
        <v>427</v>
      </c>
      <c r="H43" s="959">
        <f>'Standard Ertragsphase'!F75</f>
        <v>44347.726999999999</v>
      </c>
      <c r="I43" s="345">
        <f>IF(OR(H43=0,H43=""),0,(J43/H43)-1)</f>
        <v>0</v>
      </c>
      <c r="J43" s="988">
        <f>'Var Ertragsphase'!F75</f>
        <v>44347.726999999999</v>
      </c>
    </row>
    <row r="44" spans="1:20" s="4" customFormat="1" ht="11.25" customHeight="1" x14ac:dyDescent="0.25">
      <c r="A44" s="707"/>
      <c r="B44" s="967"/>
      <c r="C44" s="720"/>
      <c r="D44" s="996"/>
      <c r="E44" s="720"/>
      <c r="F44" s="720"/>
      <c r="G44" s="1136"/>
      <c r="H44" s="1137"/>
      <c r="I44" s="1136"/>
      <c r="J44" s="1138"/>
      <c r="K44" s="21"/>
      <c r="L44" s="21"/>
      <c r="M44" s="21"/>
      <c r="N44" s="21"/>
      <c r="O44" s="21"/>
      <c r="P44" s="21"/>
      <c r="Q44" s="21"/>
      <c r="R44" s="21"/>
      <c r="S44" s="21"/>
      <c r="T44" s="21"/>
    </row>
    <row r="45" spans="1:20" s="4" customFormat="1" ht="14" x14ac:dyDescent="0.25">
      <c r="A45" s="706" t="s">
        <v>421</v>
      </c>
      <c r="B45" s="1139">
        <f>'Standard Ertragsphase'!F7</f>
        <v>41476.500000000007</v>
      </c>
      <c r="C45" s="719">
        <f>IF(OR(B45=0,B45=""),0,(D45/B45)-1)</f>
        <v>2.2204460492503131E-16</v>
      </c>
      <c r="D45" s="1140">
        <f>'Var Ertragsphase'!F7</f>
        <v>41476.500000000015</v>
      </c>
      <c r="E45" s="720"/>
      <c r="F45" s="720"/>
      <c r="G45" s="725" t="s">
        <v>304</v>
      </c>
      <c r="H45" s="960">
        <f>'Standard Ertragsphase'!F67</f>
        <v>-9496.8948369304853</v>
      </c>
      <c r="I45" s="726">
        <f>IF(OR(H45=0,H45=""),0,(J45/H45)-1)</f>
        <v>-1.5543122344752192E-15</v>
      </c>
      <c r="J45" s="989">
        <f>'Var Ertragsphase'!F67</f>
        <v>-9496.8948369304708</v>
      </c>
      <c r="K45" s="21"/>
      <c r="L45" s="21"/>
      <c r="M45" s="21"/>
      <c r="N45" s="21"/>
      <c r="O45" s="21"/>
      <c r="P45" s="21"/>
      <c r="Q45" s="21"/>
      <c r="R45" s="21"/>
      <c r="S45" s="21"/>
      <c r="T45" s="21"/>
    </row>
    <row r="46" spans="1:20" x14ac:dyDescent="0.25">
      <c r="A46" s="706" t="s">
        <v>420</v>
      </c>
      <c r="B46" s="1139">
        <f>'Standard Ertragsphase'!F8</f>
        <v>34881.600000000006</v>
      </c>
      <c r="C46" s="719">
        <f>IF(OR(B46=0,B46=""),0,(D46/B46)-1)</f>
        <v>0</v>
      </c>
      <c r="D46" s="1140">
        <f>'Var Ertragsphase'!F8</f>
        <v>34881.600000000006</v>
      </c>
      <c r="E46" s="720"/>
      <c r="F46" s="720"/>
      <c r="G46" s="1135"/>
      <c r="H46" s="967"/>
      <c r="I46" s="324"/>
      <c r="J46" s="996"/>
    </row>
    <row r="47" spans="1:20" ht="25.5" customHeight="1" x14ac:dyDescent="0.25">
      <c r="A47" s="706" t="s">
        <v>422</v>
      </c>
      <c r="B47" s="1139">
        <f>'Standard Ertragsphase'!F9</f>
        <v>0</v>
      </c>
      <c r="C47" s="719">
        <f>IF(OR(B47=0,B47=""),0,(D47/B47)-1)</f>
        <v>0</v>
      </c>
      <c r="D47" s="1140">
        <f>'Var Ertragsphase'!F9</f>
        <v>0</v>
      </c>
      <c r="E47" s="720"/>
      <c r="F47" s="720"/>
      <c r="G47" s="722" t="s">
        <v>541</v>
      </c>
      <c r="H47" s="961">
        <f>'Standard Ertragsphase'!F68</f>
        <v>0.89078379160690746</v>
      </c>
      <c r="I47" s="345">
        <f>IF(OR(H47=0,H47=""),0,(J47/H47)-1)</f>
        <v>2.2204460492503131E-16</v>
      </c>
      <c r="J47" s="990">
        <f>'Var Ertragsphase'!F68</f>
        <v>0.89078379160690768</v>
      </c>
    </row>
    <row r="48" spans="1:20" x14ac:dyDescent="0.25">
      <c r="A48" s="706" t="s">
        <v>325</v>
      </c>
      <c r="B48" s="1139">
        <f>'Standard Ertragsphase'!F10</f>
        <v>0</v>
      </c>
      <c r="C48" s="719">
        <f>IF(OR(B48=0,B48=""),0,(D48/B48)-1)</f>
        <v>0</v>
      </c>
      <c r="D48" s="1140">
        <f>'Var Ertragsphase'!F10</f>
        <v>0</v>
      </c>
      <c r="E48" s="720"/>
      <c r="F48" s="720"/>
      <c r="G48" s="698"/>
      <c r="H48" s="962"/>
      <c r="I48" s="719"/>
      <c r="J48" s="991"/>
    </row>
    <row r="49" spans="1:20" ht="12.5" x14ac:dyDescent="0.25">
      <c r="A49" s="1141" t="s">
        <v>305</v>
      </c>
      <c r="B49" s="1139">
        <f>'Standard Ertragsphase'!F12</f>
        <v>1100</v>
      </c>
      <c r="C49" s="719">
        <f>IF(OR(B49=0,B49=""),0,(D49/B49)-1)</f>
        <v>0</v>
      </c>
      <c r="D49" s="1140">
        <f>'Var Ertragsphase'!F12</f>
        <v>1100</v>
      </c>
      <c r="E49" s="720"/>
      <c r="F49" s="720"/>
      <c r="G49" s="1135"/>
      <c r="H49" s="967"/>
      <c r="I49" s="720"/>
      <c r="J49" s="996"/>
    </row>
    <row r="50" spans="1:20" ht="12.75" customHeight="1" x14ac:dyDescent="0.25">
      <c r="A50" s="322"/>
      <c r="B50" s="1139"/>
      <c r="C50" s="719"/>
      <c r="D50" s="1140"/>
      <c r="E50" s="720"/>
      <c r="F50" s="720"/>
      <c r="G50" s="1135"/>
      <c r="H50" s="967"/>
      <c r="I50" s="720"/>
      <c r="J50" s="996"/>
    </row>
    <row r="51" spans="1:20" ht="15" customHeight="1" x14ac:dyDescent="0.25">
      <c r="A51" s="1135"/>
      <c r="B51" s="955"/>
      <c r="C51" s="719"/>
      <c r="D51" s="982"/>
      <c r="E51" s="720"/>
      <c r="F51" s="720"/>
      <c r="G51" s="1135"/>
      <c r="H51" s="967"/>
      <c r="I51" s="720"/>
      <c r="J51" s="996"/>
    </row>
    <row r="52" spans="1:20" ht="14" x14ac:dyDescent="0.25">
      <c r="A52" s="722" t="s">
        <v>423</v>
      </c>
      <c r="B52" s="956">
        <f>'Standard Ertragsphase'!F66</f>
        <v>86954.994836930491</v>
      </c>
      <c r="C52" s="729">
        <f>IF(OR(B52=0,B52=""),0,(D52/B52)-1)</f>
        <v>0</v>
      </c>
      <c r="D52" s="983">
        <f>'Var Ertragsphase'!F66</f>
        <v>86954.994836930491</v>
      </c>
      <c r="E52" s="720"/>
      <c r="F52" s="720"/>
      <c r="G52" s="1135"/>
      <c r="H52" s="967"/>
      <c r="I52" s="720"/>
      <c r="J52" s="996"/>
    </row>
    <row r="53" spans="1:20" ht="48.75" customHeight="1" x14ac:dyDescent="0.25">
      <c r="A53" s="1142" t="s">
        <v>440</v>
      </c>
      <c r="B53" s="957">
        <f>'Standard Ertragsphase'!F79</f>
        <v>6.6888457566869617</v>
      </c>
      <c r="C53" s="345">
        <f>IF(OR(B53=0,B53=""),0,(D53/B53)-1)</f>
        <v>-1.1102230246251565E-16</v>
      </c>
      <c r="D53" s="984">
        <f>'Var Ertragsphase'!F79</f>
        <v>6.6888457566869608</v>
      </c>
      <c r="E53" s="720"/>
      <c r="F53" s="720"/>
      <c r="G53" s="727" t="s">
        <v>542</v>
      </c>
      <c r="H53" s="963">
        <f>'Standard Ertragsphase'!F78</f>
        <v>-3.1779418647903054E-2</v>
      </c>
      <c r="I53" s="345">
        <f>IF(OR(H53=0,H53=""),0,(J53/H53)-1)</f>
        <v>-2.2204460492503131E-15</v>
      </c>
      <c r="J53" s="992">
        <f>'Var Ertragsphase'!F78</f>
        <v>-3.1779418647902985E-2</v>
      </c>
    </row>
    <row r="54" spans="1:20" x14ac:dyDescent="0.25">
      <c r="A54" s="310"/>
      <c r="B54" s="1124"/>
      <c r="C54" s="719"/>
      <c r="D54" s="985"/>
      <c r="E54" s="720"/>
      <c r="F54" s="720"/>
      <c r="G54" s="1135"/>
      <c r="H54" s="967"/>
      <c r="I54" s="720"/>
      <c r="J54" s="996"/>
    </row>
    <row r="55" spans="1:20" s="4" customFormat="1" ht="24.75" customHeight="1" x14ac:dyDescent="0.25">
      <c r="A55" s="723" t="s">
        <v>465</v>
      </c>
      <c r="B55" s="957">
        <f>'Standard Ertragsphase'!F81</f>
        <v>8.0739425600406136</v>
      </c>
      <c r="C55" s="345">
        <f>IF(OR(B55=0,B55=""),0,(D55/B55)-1)</f>
        <v>-2.2204460492503131E-16</v>
      </c>
      <c r="D55" s="986">
        <f>'Var Ertragsphase'!F81</f>
        <v>8.0739425600406118</v>
      </c>
      <c r="E55" s="720"/>
      <c r="F55" s="720"/>
      <c r="G55" s="1135"/>
      <c r="H55" s="967"/>
      <c r="I55" s="720"/>
      <c r="J55" s="996"/>
      <c r="K55" s="21"/>
      <c r="L55" s="21"/>
      <c r="M55" s="21"/>
      <c r="N55" s="21"/>
      <c r="O55" s="21"/>
      <c r="P55" s="21"/>
      <c r="Q55" s="21"/>
      <c r="R55" s="21"/>
      <c r="S55" s="21"/>
      <c r="T55" s="21"/>
    </row>
    <row r="56" spans="1:20" ht="12.5" x14ac:dyDescent="0.25">
      <c r="A56" s="718" t="s">
        <v>426</v>
      </c>
      <c r="B56" s="958">
        <f>'Standard Ertragsphase'!F84</f>
        <v>0</v>
      </c>
      <c r="C56" s="719">
        <f>IF(OR(B56=0,B56=""),0,(D56/B56)-1)</f>
        <v>0</v>
      </c>
      <c r="D56" s="1143">
        <f>'Var Ertragsphase'!F84</f>
        <v>0</v>
      </c>
      <c r="E56" s="720"/>
      <c r="F56" s="720"/>
      <c r="G56" s="1135"/>
      <c r="H56" s="967"/>
      <c r="I56" s="720"/>
      <c r="J56" s="996"/>
    </row>
    <row r="57" spans="1:20" ht="16.5" customHeight="1" x14ac:dyDescent="0.25">
      <c r="A57" s="703"/>
      <c r="B57" s="1144"/>
      <c r="C57" s="1145"/>
      <c r="D57" s="987"/>
      <c r="E57" s="4"/>
      <c r="F57" s="720"/>
      <c r="G57" s="1135"/>
      <c r="H57" s="967"/>
      <c r="I57" s="720"/>
      <c r="J57" s="996"/>
    </row>
    <row r="58" spans="1:20" ht="14" x14ac:dyDescent="0.25">
      <c r="A58" s="708" t="s">
        <v>424</v>
      </c>
      <c r="B58" s="955">
        <f>'Standard Erstellung'!E83</f>
        <v>83750.049866666683</v>
      </c>
      <c r="C58" s="346">
        <f>IF(OR(B58=0,B58=""),0,(D58/B58)-1)</f>
        <v>0</v>
      </c>
      <c r="D58" s="982">
        <f>'Var Erstellung'!E83</f>
        <v>83750.049866666683</v>
      </c>
      <c r="E58" s="720"/>
      <c r="F58" s="720"/>
      <c r="G58" s="1135"/>
      <c r="H58" s="967"/>
      <c r="I58" s="720"/>
      <c r="J58" s="996"/>
    </row>
    <row r="59" spans="1:20" ht="51.5" x14ac:dyDescent="0.25">
      <c r="A59" s="708" t="s">
        <v>543</v>
      </c>
      <c r="B59" s="955">
        <f>'Standard Ertragsphase'!C29</f>
        <v>178160.17572014211</v>
      </c>
      <c r="C59" s="346">
        <f>IF(OR(B59=0,B59=""),0,(D59/B59)-1)</f>
        <v>2.2204460492503131E-16</v>
      </c>
      <c r="D59" s="982">
        <f>'Var Ertragsphase'!C29</f>
        <v>178160.17572014214</v>
      </c>
      <c r="E59" s="318"/>
      <c r="F59" s="720"/>
      <c r="G59" s="1135"/>
      <c r="H59" s="967"/>
      <c r="I59" s="720"/>
      <c r="J59" s="996"/>
    </row>
    <row r="60" spans="1:20" ht="42" customHeight="1" thickBot="1" x14ac:dyDescent="0.3">
      <c r="A60" s="1146" t="s">
        <v>306</v>
      </c>
      <c r="B60" s="1139">
        <f>'Standard Ertragsphase'!F29</f>
        <v>14846.681310011843</v>
      </c>
      <c r="C60" s="719">
        <f>IF(OR(B60=0,B60=""),0,(D60/B60)-1)</f>
        <v>2.2204460492503131E-16</v>
      </c>
      <c r="D60" s="1140">
        <f>'Var Ertragsphase'!F29</f>
        <v>14846.681310011845</v>
      </c>
      <c r="E60" s="720"/>
      <c r="F60" s="720"/>
      <c r="G60" s="722" t="s">
        <v>544</v>
      </c>
      <c r="H60" s="964">
        <f>'Standard Ertragsphase'!F69</f>
        <v>5349.7864730813581</v>
      </c>
      <c r="I60" s="729">
        <f>IF(OR(H60=0,H60=""),0,(J60/H60)-1)</f>
        <v>3.1086244689504383E-15</v>
      </c>
      <c r="J60" s="993">
        <f>'Var Ertragsphase'!F69</f>
        <v>5349.7864730813744</v>
      </c>
    </row>
    <row r="61" spans="1:20" ht="17.5" customHeight="1" thickTop="1" thickBot="1" x14ac:dyDescent="0.35">
      <c r="A61" s="1146" t="s">
        <v>307</v>
      </c>
      <c r="B61" s="1147">
        <f>'Standard Ertragsphase'!F64</f>
        <v>2755.9605694812785</v>
      </c>
      <c r="C61" s="719">
        <f>IF(OR(B61=0,B61=""),0,(D61/B61)-1)</f>
        <v>2.2204460492503131E-16</v>
      </c>
      <c r="D61" s="1148">
        <f>'Var Ertragsphase'!F64</f>
        <v>2755.960569481279</v>
      </c>
      <c r="E61" s="720"/>
      <c r="H61" s="540"/>
      <c r="I61" s="405"/>
      <c r="J61" s="540"/>
    </row>
    <row r="62" spans="1:20" ht="17.5" customHeight="1" thickTop="1" x14ac:dyDescent="0.25">
      <c r="A62" s="322"/>
      <c r="B62" s="1149"/>
      <c r="C62" s="719"/>
      <c r="D62" s="1149"/>
      <c r="E62" s="720"/>
      <c r="F62" s="720"/>
      <c r="G62" s="1135"/>
      <c r="H62" s="703"/>
      <c r="I62" s="703"/>
      <c r="J62" s="703"/>
    </row>
    <row r="63" spans="1:20" ht="49.75" customHeight="1" x14ac:dyDescent="0.25">
      <c r="A63" s="1344" t="s">
        <v>428</v>
      </c>
      <c r="B63" s="1344"/>
      <c r="C63" s="1344"/>
      <c r="D63" s="1344"/>
      <c r="E63" s="720"/>
      <c r="F63" s="1344" t="s">
        <v>303</v>
      </c>
      <c r="G63" s="1345"/>
      <c r="H63" s="1345"/>
      <c r="I63" s="1345"/>
      <c r="J63" s="1345"/>
    </row>
    <row r="64" spans="1:20" s="4" customFormat="1" ht="10.5" customHeight="1" x14ac:dyDescent="0.25">
      <c r="A64" s="709"/>
      <c r="B64" s="709"/>
      <c r="C64" s="709"/>
      <c r="D64" s="709"/>
      <c r="E64" s="720"/>
      <c r="F64" s="709"/>
      <c r="G64" s="710"/>
      <c r="H64" s="710"/>
      <c r="I64" s="710"/>
      <c r="J64" s="710"/>
      <c r="K64" s="21"/>
      <c r="L64" s="21"/>
      <c r="M64" s="21"/>
      <c r="N64" s="21"/>
      <c r="O64" s="21"/>
      <c r="P64" s="21"/>
      <c r="Q64" s="21"/>
      <c r="R64" s="21"/>
      <c r="S64" s="21"/>
      <c r="T64" s="21"/>
    </row>
    <row r="65" spans="1:20" ht="18" customHeight="1" thickBot="1" x14ac:dyDescent="0.3">
      <c r="A65" s="319"/>
      <c r="B65" s="701" t="s">
        <v>85</v>
      </c>
      <c r="C65" s="702" t="s">
        <v>151</v>
      </c>
      <c r="D65" s="944" t="s">
        <v>148</v>
      </c>
      <c r="E65" s="720"/>
      <c r="F65" s="720"/>
      <c r="G65" s="703"/>
      <c r="H65" s="1150" t="s">
        <v>85</v>
      </c>
      <c r="I65" s="1151" t="s">
        <v>151</v>
      </c>
      <c r="J65" s="1152" t="s">
        <v>148</v>
      </c>
    </row>
    <row r="66" spans="1:20" ht="31.75" customHeight="1" thickTop="1" x14ac:dyDescent="0.25">
      <c r="A66" s="724" t="s">
        <v>545</v>
      </c>
      <c r="B66" s="959">
        <f>'Standard Ertragsphase'!F74</f>
        <v>38676.965732550787</v>
      </c>
      <c r="C66" s="729">
        <f>IF(OR(B66=0,B66=""),0,(D66/B66)-1)</f>
        <v>4.4408920985006262E-16</v>
      </c>
      <c r="D66" s="988">
        <f>'Var Ertragsphase'!F74</f>
        <v>38676.965732550801</v>
      </c>
      <c r="E66" s="4"/>
      <c r="F66" s="720"/>
      <c r="G66" s="722" t="s">
        <v>546</v>
      </c>
      <c r="H66" s="1153">
        <f>'Standard Cashflow'!C42</f>
        <v>-100023.14227749844</v>
      </c>
      <c r="I66" s="728">
        <f>IF(OR(H66=0,H66=""),0,(J66/H66)-1)</f>
        <v>1.2283750366253177E-3</v>
      </c>
      <c r="J66" s="1154">
        <f>'Var Cashflow'!C42</f>
        <v>-100146.00820855694</v>
      </c>
    </row>
    <row r="67" spans="1:20" s="4" customFormat="1" ht="12.75" customHeight="1" x14ac:dyDescent="0.25">
      <c r="A67" s="1155" t="s">
        <v>308</v>
      </c>
      <c r="B67" s="1156">
        <f>'Standard Ertragsphase'!F35</f>
        <v>38781.134267449219</v>
      </c>
      <c r="C67" s="719">
        <f>IF(OR(B67=0,B67=""),0,(D67/B67)-1)</f>
        <v>0</v>
      </c>
      <c r="D67" s="1157">
        <f>'Var Ertragsphase'!F35</f>
        <v>38781.134267449219</v>
      </c>
      <c r="F67" s="720"/>
      <c r="G67" s="1158"/>
      <c r="H67" s="1159"/>
      <c r="I67" s="719"/>
      <c r="J67" s="1160"/>
      <c r="K67" s="21"/>
      <c r="L67" s="21"/>
      <c r="M67" s="21"/>
      <c r="N67" s="21"/>
      <c r="O67" s="21"/>
      <c r="P67" s="21"/>
      <c r="Q67" s="21"/>
      <c r="R67" s="21"/>
      <c r="S67" s="21"/>
      <c r="T67" s="21"/>
    </row>
    <row r="68" spans="1:20" ht="29.25" customHeight="1" x14ac:dyDescent="0.25">
      <c r="A68" s="1155" t="s">
        <v>309</v>
      </c>
      <c r="B68" s="1156">
        <f>'Standard Ertragsphase'!F65</f>
        <v>48173.860569481272</v>
      </c>
      <c r="C68" s="719">
        <f>IF(OR(B68=0,B68=""),0,(D68/B68)-1)</f>
        <v>0</v>
      </c>
      <c r="D68" s="1157">
        <f>'Var Ertragsphase'!F65</f>
        <v>48173.860569481272</v>
      </c>
      <c r="E68" s="720"/>
      <c r="F68" s="720"/>
      <c r="G68" s="1158"/>
      <c r="H68" s="1159"/>
      <c r="I68" s="719"/>
      <c r="J68" s="1160"/>
    </row>
    <row r="69" spans="1:20" ht="29.25" customHeight="1" x14ac:dyDescent="0.25">
      <c r="A69" s="322"/>
      <c r="B69" s="1139"/>
      <c r="C69" s="719"/>
      <c r="D69" s="1140"/>
      <c r="E69" s="720"/>
      <c r="F69" s="720"/>
      <c r="G69" s="1161"/>
      <c r="H69" s="967"/>
      <c r="I69" s="720"/>
      <c r="J69" s="996"/>
    </row>
    <row r="70" spans="1:20" s="4" customFormat="1" ht="25" x14ac:dyDescent="0.3">
      <c r="A70" s="1162" t="s">
        <v>81</v>
      </c>
      <c r="B70" s="1156">
        <f>'Standard Ertragsphase'!F70</f>
        <v>53659.994836930491</v>
      </c>
      <c r="C70" s="719">
        <f t="shared" ref="C70:C75" si="2">IF(OR(B70=0,B70=""),0,(D70/B70)-1)</f>
        <v>0</v>
      </c>
      <c r="D70" s="1157">
        <f>'Var Ertragsphase'!F70</f>
        <v>53659.994836930491</v>
      </c>
      <c r="E70" s="720"/>
      <c r="F70" s="21"/>
      <c r="G70" s="405"/>
      <c r="H70" s="968"/>
      <c r="J70" s="997"/>
      <c r="K70" s="21"/>
      <c r="L70" s="21"/>
      <c r="M70" s="21"/>
      <c r="N70" s="21"/>
      <c r="O70" s="21"/>
      <c r="P70" s="21"/>
      <c r="Q70" s="21"/>
      <c r="R70" s="21"/>
      <c r="S70" s="21"/>
      <c r="T70" s="21"/>
    </row>
    <row r="71" spans="1:20" ht="26.5" x14ac:dyDescent="0.25">
      <c r="A71" s="721" t="s">
        <v>547</v>
      </c>
      <c r="B71" s="965">
        <f>'Standard Ertragsphase'!F71</f>
        <v>23798.105163069515</v>
      </c>
      <c r="C71" s="345">
        <f t="shared" si="2"/>
        <v>6.6613381477509392E-16</v>
      </c>
      <c r="D71" s="994">
        <f>'Var Ertragsphase'!F71</f>
        <v>23798.105163069529</v>
      </c>
      <c r="E71" s="720"/>
      <c r="G71" s="722" t="s">
        <v>314</v>
      </c>
      <c r="H71" s="1163">
        <f>'Standard Ertragsphase'!F72</f>
        <v>17.532985139785989</v>
      </c>
      <c r="I71" s="729">
        <f>IF(OR(H71=0,H71=""),0,(J71/H71)-1)</f>
        <v>6.6613381477509392E-16</v>
      </c>
      <c r="J71" s="1164">
        <f>'Var Ertragsphase'!F72</f>
        <v>17.532985139786</v>
      </c>
    </row>
    <row r="72" spans="1:20" s="4" customFormat="1" ht="14" x14ac:dyDescent="0.25">
      <c r="A72" s="712" t="s">
        <v>220</v>
      </c>
      <c r="B72" s="966">
        <f>'Standard Ertragsphase'!D61</f>
        <v>1357.3333333333333</v>
      </c>
      <c r="C72" s="346">
        <f t="shared" si="2"/>
        <v>0</v>
      </c>
      <c r="D72" s="995">
        <f>'Var Ertragsphase'!D61</f>
        <v>1357.3333333333333</v>
      </c>
      <c r="E72" s="720"/>
      <c r="F72" s="720"/>
      <c r="G72" s="1161"/>
      <c r="H72" s="967"/>
      <c r="I72" s="720"/>
      <c r="J72" s="996"/>
      <c r="K72" s="21"/>
      <c r="L72" s="21"/>
      <c r="M72" s="21"/>
      <c r="N72" s="21"/>
      <c r="O72" s="21"/>
      <c r="P72" s="21"/>
      <c r="Q72" s="21"/>
      <c r="R72" s="21"/>
      <c r="S72" s="21"/>
      <c r="T72" s="21"/>
    </row>
    <row r="73" spans="1:20" ht="32.25" customHeight="1" x14ac:dyDescent="0.25">
      <c r="A73" s="1155" t="s">
        <v>310</v>
      </c>
      <c r="B73" s="1165">
        <f>'Standard Ertragsphase'!B61*'Standard Vorgaben'!C29</f>
        <v>21020.55</v>
      </c>
      <c r="C73" s="719">
        <f t="shared" si="2"/>
        <v>0</v>
      </c>
      <c r="D73" s="1166">
        <f>'Var Ertragsphase'!B61*'Var Vorgaben'!C28</f>
        <v>21020.55</v>
      </c>
      <c r="E73" s="720"/>
      <c r="F73" s="720"/>
      <c r="G73" s="1161"/>
      <c r="H73" s="967"/>
      <c r="I73" s="720"/>
      <c r="J73" s="996"/>
    </row>
    <row r="74" spans="1:20" s="4" customFormat="1" ht="39.75" customHeight="1" x14ac:dyDescent="0.25">
      <c r="A74" s="721" t="s">
        <v>548</v>
      </c>
      <c r="B74" s="965">
        <f>B71-B73</f>
        <v>2777.5551630695154</v>
      </c>
      <c r="C74" s="345">
        <f>IF(OR(B74=0,B74=""),0,(D74/B74)-1)</f>
        <v>5.3290705182007514E-15</v>
      </c>
      <c r="D74" s="994">
        <f>D71-D73</f>
        <v>2777.55516306953</v>
      </c>
      <c r="E74" s="720"/>
      <c r="F74" s="720"/>
      <c r="G74" s="721" t="s">
        <v>549</v>
      </c>
      <c r="H74" s="1163">
        <f>'Standard Ertragsphase'!F73</f>
        <v>7.3164153913500298</v>
      </c>
      <c r="I74" s="729">
        <f>IF(OR(H74=0,H74=""),0,(J74/H74)-1)</f>
        <v>5.3290705182007514E-15</v>
      </c>
      <c r="J74" s="1164">
        <f>'Var Ertragsphase'!F73</f>
        <v>7.316415391350068</v>
      </c>
      <c r="K74" s="21"/>
      <c r="L74" s="21"/>
      <c r="M74" s="21"/>
      <c r="N74" s="21"/>
      <c r="O74" s="21"/>
      <c r="P74" s="21"/>
      <c r="Q74" s="21"/>
      <c r="R74" s="21"/>
      <c r="S74" s="21"/>
      <c r="T74" s="21"/>
    </row>
    <row r="75" spans="1:20" ht="21.25" customHeight="1" x14ac:dyDescent="0.25">
      <c r="A75" s="1167" t="s">
        <v>221</v>
      </c>
      <c r="B75" s="1168">
        <f>'Standard Ertragsphase'!D61-'Standard Ertragsphase'!B61</f>
        <v>379.63333333333321</v>
      </c>
      <c r="C75" s="719">
        <f t="shared" si="2"/>
        <v>0</v>
      </c>
      <c r="D75" s="1169">
        <f>'Var Ertragsphase'!D61-'Var Ertragsphase'!B61</f>
        <v>379.63333333333321</v>
      </c>
      <c r="E75" s="720"/>
      <c r="F75" s="720"/>
      <c r="G75" s="1161"/>
      <c r="H75" s="967"/>
      <c r="I75" s="720"/>
      <c r="J75" s="996"/>
    </row>
    <row r="76" spans="1:20" ht="17.149999999999999" customHeight="1" x14ac:dyDescent="0.25">
      <c r="A76" s="731"/>
      <c r="B76" s="967"/>
      <c r="C76" s="1170"/>
      <c r="D76" s="996"/>
      <c r="E76" s="54"/>
      <c r="F76" s="732"/>
      <c r="G76" s="1171"/>
      <c r="H76" s="967"/>
      <c r="I76" s="732"/>
      <c r="J76" s="996"/>
    </row>
    <row r="77" spans="1:20" ht="26.5" x14ac:dyDescent="0.25">
      <c r="A77" s="1172" t="s">
        <v>262</v>
      </c>
      <c r="B77" s="1173">
        <f>'Standard Vorgaben'!F29</f>
        <v>0.9</v>
      </c>
      <c r="C77" s="719">
        <f>IF(OR(B77=0,B77=""),0,(D77/B77)-1)</f>
        <v>0</v>
      </c>
      <c r="D77" s="1174">
        <f>'Var Vorgaben'!F27</f>
        <v>0.9</v>
      </c>
      <c r="E77" s="54"/>
      <c r="F77" s="732"/>
      <c r="G77" s="724" t="s">
        <v>550</v>
      </c>
      <c r="H77" s="1175">
        <f>'Standard Ertragsphase'!F77</f>
        <v>4.3099214145383113</v>
      </c>
      <c r="I77" s="729">
        <f>IF(OR(H77=0,H77=""),0,(J77/H77)-1)</f>
        <v>2.2204460492503131E-16</v>
      </c>
      <c r="J77" s="1176">
        <f>'Var Ertragsphase'!F77</f>
        <v>4.3099214145383122</v>
      </c>
    </row>
    <row r="78" spans="1:20" ht="24.75" customHeight="1" thickBot="1" x14ac:dyDescent="0.3">
      <c r="A78" s="1177" t="s">
        <v>313</v>
      </c>
      <c r="B78" s="1178">
        <f>'Standard Ertragsphase'!B61</f>
        <v>977.7</v>
      </c>
      <c r="C78" s="719">
        <f>IF(OR(B78=0,B78=""),0,(D78/B78)-1)</f>
        <v>0</v>
      </c>
      <c r="D78" s="1179">
        <f>'Var Ertragsphase'!B61</f>
        <v>977.7</v>
      </c>
      <c r="E78" s="937"/>
      <c r="F78" s="732"/>
      <c r="G78" s="730" t="s">
        <v>316</v>
      </c>
      <c r="H78" s="1180">
        <f>'Standard Ertragsphase'!F76</f>
        <v>57.066380157170933</v>
      </c>
      <c r="I78" s="729">
        <f>IF(OR(H78=0,H78=""),0,(J78/H78)-1)</f>
        <v>2.2204460492503131E-16</v>
      </c>
      <c r="J78" s="1181">
        <f>'Var Ertragsphase'!F76</f>
        <v>57.06638015717094</v>
      </c>
    </row>
    <row r="79" spans="1:20" ht="14.5" thickTop="1" x14ac:dyDescent="0.25">
      <c r="A79" s="1135"/>
      <c r="B79" s="967"/>
      <c r="C79" s="1135"/>
      <c r="D79" s="996"/>
      <c r="E79" s="4"/>
      <c r="F79" s="720"/>
      <c r="G79" s="703"/>
      <c r="H79" s="703"/>
      <c r="I79" s="703"/>
      <c r="J79" s="703"/>
    </row>
    <row r="80" spans="1:20" ht="27" customHeight="1" x14ac:dyDescent="0.3">
      <c r="A80" s="1167" t="s">
        <v>312</v>
      </c>
      <c r="B80" s="1182">
        <f>B81/B72</f>
        <v>0.79813359528487227</v>
      </c>
      <c r="C80" s="719">
        <f>IF(OR(B80=0,B80=""),0,(D80/B80)-1)</f>
        <v>0</v>
      </c>
      <c r="D80" s="1183">
        <f>D81/D72</f>
        <v>0.79813359528487227</v>
      </c>
      <c r="E80" s="4"/>
      <c r="F80" s="4"/>
      <c r="G80" s="540"/>
      <c r="H80" s="540"/>
      <c r="I80" s="540"/>
      <c r="J80" s="540"/>
    </row>
    <row r="81" spans="1:10" ht="14.5" thickBot="1" x14ac:dyDescent="0.35">
      <c r="A81" s="1177" t="s">
        <v>311</v>
      </c>
      <c r="B81" s="1184">
        <f>'Standard Ertragsphase'!D56</f>
        <v>1083.3333333333333</v>
      </c>
      <c r="C81" s="719">
        <f>IF(OR(B81=0,B81=""),0,(D81/B81)-1)</f>
        <v>0</v>
      </c>
      <c r="D81" s="1185">
        <f>'Var Ertragsphase'!D56</f>
        <v>1083.3333333333333</v>
      </c>
      <c r="E81" s="4"/>
      <c r="F81" s="54"/>
      <c r="G81" s="545"/>
      <c r="H81" s="545"/>
      <c r="I81" s="545"/>
      <c r="J81" s="545"/>
    </row>
    <row r="82" spans="1:10" ht="22" thickTop="1" x14ac:dyDescent="0.45">
      <c r="A82" s="975" t="s">
        <v>288</v>
      </c>
      <c r="B82" s="1058"/>
      <c r="C82" s="1058"/>
      <c r="D82" s="1058"/>
      <c r="E82" s="1058"/>
      <c r="F82" s="1186"/>
      <c r="G82" s="1058"/>
      <c r="H82" s="1058"/>
      <c r="I82" s="1058"/>
      <c r="J82" s="1055"/>
    </row>
    <row r="83" spans="1:10" ht="18" x14ac:dyDescent="0.4">
      <c r="A83" s="146"/>
      <c r="B83" s="4"/>
      <c r="C83" s="4"/>
      <c r="D83" s="4"/>
      <c r="E83" s="4"/>
      <c r="F83" s="1187"/>
      <c r="G83" s="4"/>
      <c r="H83" s="4"/>
      <c r="I83" s="4"/>
      <c r="J83" s="933"/>
    </row>
    <row r="84" spans="1:10" ht="18.5" thickBot="1" x14ac:dyDescent="0.45">
      <c r="A84" s="146"/>
      <c r="B84" s="4"/>
      <c r="C84" s="4"/>
      <c r="D84" s="4"/>
      <c r="E84" s="4"/>
      <c r="F84" s="1187"/>
      <c r="G84" s="4"/>
      <c r="H84" s="701" t="s">
        <v>85</v>
      </c>
      <c r="I84" s="705" t="s">
        <v>151</v>
      </c>
      <c r="J84" s="944" t="s">
        <v>148</v>
      </c>
    </row>
    <row r="85" spans="1:10" ht="18.5" thickTop="1" x14ac:dyDescent="0.4">
      <c r="A85" s="146"/>
      <c r="B85" s="4"/>
      <c r="C85" s="4"/>
      <c r="D85" s="4"/>
      <c r="E85" s="4"/>
      <c r="F85" s="1187"/>
      <c r="G85" s="732" t="str">
        <f>'Standard Ertragsphase'!A88</f>
        <v>Arbeitskosten</v>
      </c>
      <c r="H85" s="1188">
        <f>'Standard Ertragsphase'!B88</f>
        <v>33295</v>
      </c>
      <c r="I85" s="1189">
        <f>IF(OR(H85=0,H85=""),0,(J85/H85)-1)</f>
        <v>0</v>
      </c>
      <c r="J85" s="1190">
        <f>'Var Ertragsphase'!B88</f>
        <v>33295</v>
      </c>
    </row>
    <row r="86" spans="1:10" ht="18" x14ac:dyDescent="0.4">
      <c r="A86" s="146"/>
      <c r="B86" s="4"/>
      <c r="C86" s="4"/>
      <c r="D86" s="4"/>
      <c r="E86" s="4"/>
      <c r="F86" s="1187"/>
      <c r="G86" s="720" t="str">
        <f>'Standard Ertragsphase'!A89</f>
        <v>Kapitalkosten</v>
      </c>
      <c r="H86" s="1191">
        <f>'Standard Ertragsphase'!B89</f>
        <v>2755.9605694812785</v>
      </c>
      <c r="I86" s="1189">
        <f>IF(OR(H86=0,H86=""),0,(J86/H86)-1)</f>
        <v>2.2204460492503131E-16</v>
      </c>
      <c r="J86" s="1192">
        <f>'Var Ertragsphase'!B89</f>
        <v>2755.960569481279</v>
      </c>
    </row>
    <row r="87" spans="1:10" ht="18.5" thickBot="1" x14ac:dyDescent="0.45">
      <c r="A87" s="146"/>
      <c r="B87" s="4"/>
      <c r="C87" s="4"/>
      <c r="D87" s="4"/>
      <c r="E87" s="4"/>
      <c r="F87" s="1187"/>
      <c r="G87" s="1193" t="str">
        <f>'Standard Ertragsphase'!A90</f>
        <v>Sachkosten</v>
      </c>
      <c r="H87" s="1191">
        <f>'Standard Ertragsphase'!B90</f>
        <v>50904.034267449213</v>
      </c>
      <c r="I87" s="1194">
        <f>IF(OR(H87=0,H87=""),0,(J87/H87)-1)</f>
        <v>0</v>
      </c>
      <c r="J87" s="1192">
        <f>'Var Ertragsphase'!B90</f>
        <v>50904.034267449213</v>
      </c>
    </row>
    <row r="88" spans="1:10" ht="29.25" customHeight="1" x14ac:dyDescent="0.4">
      <c r="A88" s="146"/>
      <c r="B88" s="4"/>
      <c r="C88" s="4"/>
      <c r="D88" s="4"/>
      <c r="E88" s="4"/>
      <c r="F88" s="1187"/>
      <c r="G88" s="325" t="s">
        <v>439</v>
      </c>
      <c r="H88" s="969"/>
      <c r="I88" s="1189">
        <f>IF(OR(H88=0,H88=""),0,(J88/H88)-1)</f>
        <v>0</v>
      </c>
      <c r="J88" s="998"/>
    </row>
    <row r="89" spans="1:10" ht="18" x14ac:dyDescent="0.4">
      <c r="A89" s="146"/>
      <c r="B89" s="4"/>
      <c r="C89" s="4"/>
      <c r="D89" s="4"/>
      <c r="E89" s="4"/>
      <c r="F89" s="1187"/>
      <c r="G89" s="4"/>
      <c r="H89" s="968"/>
      <c r="I89" s="4"/>
      <c r="J89" s="997"/>
    </row>
    <row r="90" spans="1:10" ht="18" x14ac:dyDescent="0.4">
      <c r="A90" s="146"/>
      <c r="B90" s="4"/>
      <c r="C90" s="4"/>
      <c r="D90" s="4"/>
      <c r="F90" s="1187"/>
      <c r="G90" s="720" t="str">
        <f>G85</f>
        <v>Arbeitskosten</v>
      </c>
      <c r="H90" s="1110">
        <f>'Standard Ertragsphase'!C88</f>
        <v>0.38289922347116678</v>
      </c>
      <c r="I90" s="326"/>
      <c r="J90" s="1195">
        <f>'Var Ertragsphase'!C88</f>
        <v>0.38289922347116678</v>
      </c>
    </row>
    <row r="91" spans="1:10" ht="18" x14ac:dyDescent="0.4">
      <c r="A91" s="146"/>
      <c r="B91" s="4"/>
      <c r="C91" s="4"/>
      <c r="D91" s="4"/>
      <c r="F91" s="1187"/>
      <c r="G91" s="720" t="str">
        <f>G86</f>
        <v>Kapitalkosten</v>
      </c>
      <c r="H91" s="1110">
        <f>'Standard Ertragsphase'!C89</f>
        <v>3.1694103077685422E-2</v>
      </c>
      <c r="I91" s="326"/>
      <c r="J91" s="1195">
        <f>'Var Ertragsphase'!C89</f>
        <v>3.1694103077685429E-2</v>
      </c>
    </row>
    <row r="92" spans="1:10" ht="18.5" thickBot="1" x14ac:dyDescent="0.45">
      <c r="A92" s="146"/>
      <c r="B92" s="4"/>
      <c r="C92" s="4"/>
      <c r="D92" s="4"/>
      <c r="F92" s="1187"/>
      <c r="G92" s="720" t="str">
        <f>G87</f>
        <v>Sachkosten</v>
      </c>
      <c r="H92" s="1196">
        <f>'Standard Ertragsphase'!C90</f>
        <v>0.58540667345114783</v>
      </c>
      <c r="I92" s="326"/>
      <c r="J92" s="1197">
        <f>'Var Ertragsphase'!C90</f>
        <v>0.58540667345114783</v>
      </c>
    </row>
    <row r="93" spans="1:10" ht="21.75" customHeight="1" thickTop="1" x14ac:dyDescent="0.4">
      <c r="A93" s="146"/>
      <c r="B93" s="4"/>
      <c r="C93" s="4"/>
      <c r="D93" s="4"/>
      <c r="F93" s="1187"/>
      <c r="G93" s="4"/>
      <c r="H93" s="4"/>
      <c r="I93" s="4"/>
      <c r="J93" s="933"/>
    </row>
    <row r="94" spans="1:10" ht="21.25" customHeight="1" x14ac:dyDescent="0.45">
      <c r="A94" s="975" t="s">
        <v>425</v>
      </c>
      <c r="B94" s="1055"/>
      <c r="C94" s="1055"/>
      <c r="D94" s="979"/>
      <c r="E94" s="1058"/>
      <c r="F94" s="1058"/>
      <c r="G94" s="1058"/>
      <c r="H94" s="1058"/>
      <c r="I94" s="1058"/>
      <c r="J94" s="1058"/>
    </row>
    <row r="97" spans="7:10" ht="14.5" thickBot="1" x14ac:dyDescent="0.35">
      <c r="G97" s="4"/>
      <c r="H97" s="701" t="s">
        <v>85</v>
      </c>
      <c r="I97" s="705" t="s">
        <v>151</v>
      </c>
      <c r="J97" s="944" t="s">
        <v>148</v>
      </c>
    </row>
    <row r="98" spans="7:10" ht="13.5" thickTop="1" x14ac:dyDescent="0.3">
      <c r="G98" s="720" t="str">
        <f>'Standard Ertragsphase'!A95</f>
        <v>für Boden</v>
      </c>
      <c r="H98" s="1188">
        <f>'Standard Ertragsphase'!B95</f>
        <v>660</v>
      </c>
      <c r="I98" s="1189">
        <f>IF(OR(H98=0,H98=""),0,(J98/H98)-1)</f>
        <v>0</v>
      </c>
      <c r="J98" s="1190">
        <f>'Var Ertragsphase'!B95</f>
        <v>660</v>
      </c>
    </row>
    <row r="99" spans="7:10" ht="13.5" thickBot="1" x14ac:dyDescent="0.35">
      <c r="G99" s="1193" t="str">
        <f>'Standard Ertragsphase'!A96</f>
        <v xml:space="preserve">für Investition Kirschenanlage </v>
      </c>
      <c r="H99" s="1191">
        <f>'Standard Ertragsphase'!B96</f>
        <v>2095.9605694812785</v>
      </c>
      <c r="I99" s="1194">
        <f>IF(OR(H99=0,H99=""),0,(J99/H99)-1)</f>
        <v>2.2204460492503131E-16</v>
      </c>
      <c r="J99" s="1192">
        <f>'Var Ertragsphase'!B96</f>
        <v>2095.960569481279</v>
      </c>
    </row>
    <row r="100" spans="7:10" ht="15.5" x14ac:dyDescent="0.3">
      <c r="G100" s="327" t="str">
        <f>'Standard Ertragsphase'!A97</f>
        <v>Kapitalkosten</v>
      </c>
      <c r="H100" s="969">
        <f>SUM(H98:H99)</f>
        <v>2755.9605694812785</v>
      </c>
      <c r="I100" s="1189">
        <f>IF(OR(H100=0,H100=""),0,(J100/H100)-1)</f>
        <v>2.2204460492503131E-16</v>
      </c>
      <c r="J100" s="998">
        <f>SUM(J98:J99)</f>
        <v>2755.960569481279</v>
      </c>
    </row>
    <row r="101" spans="7:10" x14ac:dyDescent="0.3">
      <c r="H101" s="1198"/>
      <c r="I101" s="326"/>
      <c r="J101" s="1199"/>
    </row>
    <row r="102" spans="7:10" x14ac:dyDescent="0.3">
      <c r="G102" s="1135" t="str">
        <f>G98</f>
        <v>für Boden</v>
      </c>
      <c r="H102" s="1200">
        <f>'Standard Ertragsphase'!C95</f>
        <v>0.23948092991919107</v>
      </c>
      <c r="I102" s="326"/>
      <c r="J102" s="1201">
        <f>'Var Ertragsphase'!C95</f>
        <v>0.23948092991919104</v>
      </c>
    </row>
    <row r="103" spans="7:10" ht="13.5" thickBot="1" x14ac:dyDescent="0.35">
      <c r="G103" s="1135" t="str">
        <f>G99</f>
        <v xml:space="preserve">für Investition Kirschenanlage </v>
      </c>
      <c r="H103" s="1202">
        <f>'Standard Ertragsphase'!C96</f>
        <v>0.76051907008080888</v>
      </c>
      <c r="I103" s="326"/>
      <c r="J103" s="1203">
        <f>'Var Ertragsphase'!C96</f>
        <v>0.76051907008080899</v>
      </c>
    </row>
    <row r="104" spans="7:10" ht="13.5" thickTop="1" x14ac:dyDescent="0.3"/>
    <row r="111" spans="7:10" ht="14.5" thickBot="1" x14ac:dyDescent="0.35">
      <c r="G111" s="4"/>
      <c r="H111" s="701" t="s">
        <v>85</v>
      </c>
      <c r="I111" s="705" t="s">
        <v>151</v>
      </c>
      <c r="J111" s="944" t="s">
        <v>148</v>
      </c>
    </row>
    <row r="112" spans="7:10" ht="13.5" thickTop="1" x14ac:dyDescent="0.3">
      <c r="G112" s="720" t="str">
        <f>'Standard Ertragsphase'!A115</f>
        <v>Ernte (inkl. Sortieren ohne kalibrieren)</v>
      </c>
      <c r="H112" s="1188">
        <f>'Standard Ertragsphase'!B115</f>
        <v>24505</v>
      </c>
      <c r="I112" s="1189">
        <f>IF(OR(H112=0,H112=""),0,(J112/H112)-1)</f>
        <v>0</v>
      </c>
      <c r="J112" s="1190">
        <f>'Var Ertragsphase'!B115</f>
        <v>24505</v>
      </c>
    </row>
    <row r="113" spans="7:10" x14ac:dyDescent="0.3">
      <c r="G113" s="720" t="str">
        <f>'Standard Ertragsphase'!A116</f>
        <v>Baumerziehung (Sommer + Winter)</v>
      </c>
      <c r="H113" s="1191">
        <f>'Standard Ertragsphase'!B116</f>
        <v>3270.0000000000005</v>
      </c>
      <c r="I113" s="1189">
        <f>IF(OR(H113=0,H113=""),0,(J113/H113)-1)</f>
        <v>0</v>
      </c>
      <c r="J113" s="1192">
        <f>'Var Ertragsphase'!B116</f>
        <v>3270.0000000000005</v>
      </c>
    </row>
    <row r="114" spans="7:10" ht="13.5" thickBot="1" x14ac:dyDescent="0.35">
      <c r="G114" s="1193" t="str">
        <f>'Standard Ertragsphase'!A117</f>
        <v>übrige Arbeiten (aus Posten &lt; 10%)</v>
      </c>
      <c r="H114" s="1191">
        <f>'Standard Ertragsphase'!B117</f>
        <v>5519.9999999999991</v>
      </c>
      <c r="I114" s="1194">
        <f>IF(OR(H114=0,H114=""),0,(J114/H114)-1)</f>
        <v>0</v>
      </c>
      <c r="J114" s="1192">
        <f>'Var Ertragsphase'!B117</f>
        <v>5519.9999999999991</v>
      </c>
    </row>
    <row r="115" spans="7:10" ht="15.5" x14ac:dyDescent="0.3">
      <c r="G115" s="713" t="str">
        <f>'Standard Ertragsphase'!A118</f>
        <v>Arbeitskosten</v>
      </c>
      <c r="H115" s="969">
        <f>SUM(H112:H114)</f>
        <v>33295</v>
      </c>
      <c r="I115" s="1189">
        <f>IF(OR(H115=0,H115=""),0,(J115/H115)-1)</f>
        <v>0</v>
      </c>
      <c r="J115" s="998">
        <f>SUM(J112:J114)</f>
        <v>33295</v>
      </c>
    </row>
    <row r="116" spans="7:10" ht="15.5" x14ac:dyDescent="0.35">
      <c r="G116" s="328"/>
      <c r="H116" s="969"/>
      <c r="I116" s="1189"/>
      <c r="J116" s="998"/>
    </row>
    <row r="117" spans="7:10" x14ac:dyDescent="0.3">
      <c r="G117" s="1135" t="str">
        <f>G112</f>
        <v>Ernte (inkl. Sortieren ohne kalibrieren)</v>
      </c>
      <c r="H117" s="1200">
        <f>'Standard Ertragsphase'!C115</f>
        <v>0.73599639585523347</v>
      </c>
      <c r="I117" s="326"/>
      <c r="J117" s="1201">
        <f>'Var Ertragsphase'!C115</f>
        <v>0.73599639585523347</v>
      </c>
    </row>
    <row r="118" spans="7:10" x14ac:dyDescent="0.3">
      <c r="G118" s="1135" t="str">
        <f>G113</f>
        <v>Baumerziehung (Sommer + Winter)</v>
      </c>
      <c r="H118" s="1200">
        <f>'Standard Ertragsphase'!C116</f>
        <v>9.8212944886619621E-2</v>
      </c>
      <c r="I118" s="326"/>
      <c r="J118" s="1201">
        <f>'Var Ertragsphase'!C116</f>
        <v>9.8212944886619621E-2</v>
      </c>
    </row>
    <row r="119" spans="7:10" ht="13.5" thickBot="1" x14ac:dyDescent="0.35">
      <c r="G119" s="1135" t="str">
        <f>G114</f>
        <v>übrige Arbeiten (aus Posten &lt; 10%)</v>
      </c>
      <c r="H119" s="1202">
        <f>'Standard Ertragsphase'!C117</f>
        <v>0.16579065925814684</v>
      </c>
      <c r="I119" s="326"/>
      <c r="J119" s="1203">
        <f>'Var Ertragsphase'!C117</f>
        <v>0.16579065925814684</v>
      </c>
    </row>
    <row r="120" spans="7:10" ht="13.5" thickTop="1" x14ac:dyDescent="0.3"/>
    <row r="125" spans="7:10" ht="14.5" thickBot="1" x14ac:dyDescent="0.35">
      <c r="G125" s="4"/>
      <c r="H125" s="701" t="s">
        <v>85</v>
      </c>
      <c r="I125" s="705" t="s">
        <v>151</v>
      </c>
      <c r="J125" s="944" t="s">
        <v>148</v>
      </c>
    </row>
    <row r="126" spans="7:10" ht="13.5" thickTop="1" x14ac:dyDescent="0.3">
      <c r="G126" s="720"/>
      <c r="H126" s="1188"/>
      <c r="I126" s="1189"/>
      <c r="J126" s="1190"/>
    </row>
    <row r="127" spans="7:10" x14ac:dyDescent="0.3">
      <c r="G127" s="1204" t="str">
        <f>'Standard Ertragsphase'!A122</f>
        <v>Abschreibung Kirschenanlage (inkl. Regendach mit 1x Folie, Ernteschutznetz 1x, Bewässerungsanlage und Zaun)</v>
      </c>
      <c r="H127" s="1191">
        <f>'Standard Ertragsphase'!B122</f>
        <v>19407.042310011842</v>
      </c>
      <c r="I127" s="1189">
        <f>IF(OR(H127=0,H127=""),0,(J127/H127)-1)</f>
        <v>2.2204460492503131E-16</v>
      </c>
      <c r="J127" s="1192">
        <f>'Var Ertragsphase'!B122</f>
        <v>19407.042310011846</v>
      </c>
    </row>
    <row r="128" spans="7:10" x14ac:dyDescent="0.3">
      <c r="G128" s="720" t="str">
        <f>'Standard Ertragsphase'!A123</f>
        <v>Maschinen und Geräte</v>
      </c>
      <c r="H128" s="1191">
        <f>'Standard Ertragsphase'!B123</f>
        <v>11672.899999999998</v>
      </c>
      <c r="I128" s="1189">
        <f>IF(OR(H128=0,H128=""),0,(J128/H128)-1)</f>
        <v>0</v>
      </c>
      <c r="J128" s="1192">
        <f>'Var Ertragsphase'!B123</f>
        <v>11672.899999999998</v>
      </c>
    </row>
    <row r="129" spans="7:10" ht="13.5" thickBot="1" x14ac:dyDescent="0.35">
      <c r="G129" s="1193" t="str">
        <f>'Standard Ertragsphase'!A124</f>
        <v>übrige Kosten (aus Posten mit &lt; 10%)</v>
      </c>
      <c r="H129" s="1191">
        <f>'Standard Ertragsphase'!B124</f>
        <v>19824.091957437373</v>
      </c>
      <c r="I129" s="1194">
        <f>IF(OR(H129=0,H129=""),0,(J129/H129)-1)</f>
        <v>-2.2204460492503131E-16</v>
      </c>
      <c r="J129" s="1192">
        <f>'Var Ertragsphase'!B124</f>
        <v>19824.091957437369</v>
      </c>
    </row>
    <row r="130" spans="7:10" ht="15.5" x14ac:dyDescent="0.3">
      <c r="G130" s="699" t="str">
        <f>'Standard Ertragsphase'!A125</f>
        <v>Sachkosten</v>
      </c>
      <c r="H130" s="969">
        <f>SUM(H127:H129)</f>
        <v>50904.034267449213</v>
      </c>
      <c r="I130" s="1189">
        <f>IF(OR(H130=0,H130=""),0,(J130/H130)-1)</f>
        <v>0</v>
      </c>
      <c r="J130" s="998">
        <f>SUM(J127:J129)</f>
        <v>50904.034267449213</v>
      </c>
    </row>
    <row r="131" spans="7:10" x14ac:dyDescent="0.3">
      <c r="H131" s="1198"/>
      <c r="J131" s="1199"/>
    </row>
    <row r="132" spans="7:10" x14ac:dyDescent="0.3">
      <c r="G132" s="1135"/>
      <c r="H132" s="1200"/>
      <c r="I132" s="326"/>
      <c r="J132" s="1201"/>
    </row>
    <row r="133" spans="7:10" x14ac:dyDescent="0.3">
      <c r="G133" s="1135" t="str">
        <f>G127</f>
        <v>Abschreibung Kirschenanlage (inkl. Regendach mit 1x Folie, Ernteschutznetz 1x, Bewässerungsanlage und Zaun)</v>
      </c>
      <c r="H133" s="1200">
        <f>'Standard Ertragsphase'!C122</f>
        <v>0.38124762780190397</v>
      </c>
      <c r="I133" s="326"/>
      <c r="J133" s="1201">
        <f>'Var Ertragsphase'!C122</f>
        <v>0.38124762780190402</v>
      </c>
    </row>
    <row r="134" spans="7:10" x14ac:dyDescent="0.3">
      <c r="G134" s="1135" t="str">
        <f>G128</f>
        <v>Maschinen und Geräte</v>
      </c>
      <c r="H134" s="1200">
        <f>'Standard Ertragsphase'!C123</f>
        <v>0.22931188397899299</v>
      </c>
      <c r="I134" s="326"/>
      <c r="J134" s="1201">
        <f>'Var Ertragsphase'!C123</f>
        <v>0.22931188397899299</v>
      </c>
    </row>
    <row r="135" spans="7:10" ht="13.5" thickBot="1" x14ac:dyDescent="0.35">
      <c r="G135" s="1135" t="str">
        <f>G129</f>
        <v>übrige Kosten (aus Posten mit &lt; 10%)</v>
      </c>
      <c r="H135" s="1202">
        <f>'Standard Ertragsphase'!C124</f>
        <v>0.38944048821910304</v>
      </c>
      <c r="I135" s="326"/>
      <c r="J135" s="1203">
        <f>'Var Ertragsphase'!C124</f>
        <v>0.38944048821910299</v>
      </c>
    </row>
    <row r="136" spans="7:10" ht="13.5" thickTop="1" x14ac:dyDescent="0.3"/>
    <row r="147" spans="1:10" ht="21.5" x14ac:dyDescent="0.45">
      <c r="A147" s="975" t="s">
        <v>297</v>
      </c>
      <c r="B147" s="1055"/>
      <c r="C147" s="1055"/>
      <c r="D147" s="979"/>
      <c r="E147" s="1058"/>
      <c r="F147" s="1058"/>
      <c r="G147" s="1058"/>
      <c r="H147" s="1058"/>
      <c r="I147" s="1058"/>
      <c r="J147" s="1058"/>
    </row>
    <row r="153" spans="1:10" ht="14.5" thickBot="1" x14ac:dyDescent="0.35">
      <c r="H153" s="701" t="s">
        <v>85</v>
      </c>
      <c r="I153" s="705" t="s">
        <v>151</v>
      </c>
      <c r="J153" s="944" t="s">
        <v>148</v>
      </c>
    </row>
    <row r="154" spans="1:10" ht="13.5" thickTop="1" x14ac:dyDescent="0.3">
      <c r="G154" s="21" t="str">
        <f>'Standard Ertragsphase'!A129</f>
        <v>Total Direktkosten</v>
      </c>
      <c r="H154" s="1188">
        <f>'Standard Ertragsphase'!B129</f>
        <v>38781.134267449219</v>
      </c>
      <c r="I154" s="1189">
        <f>IF(OR(H154=0,H154=""),0,(J154/H154)-1)</f>
        <v>0</v>
      </c>
      <c r="J154" s="1190">
        <f>'Var Ertragsphase'!B129</f>
        <v>38781.134267449219</v>
      </c>
    </row>
    <row r="155" spans="1:10" ht="13.5" thickBot="1" x14ac:dyDescent="0.35">
      <c r="G155" s="1205" t="str">
        <f>'Standard Ertragsphase'!A130</f>
        <v>Total Strukturkosten</v>
      </c>
      <c r="H155" s="1191">
        <f>'Standard Ertragsphase'!B130</f>
        <v>48173.860569481272</v>
      </c>
      <c r="I155" s="1194">
        <f>IF(OR(H155=0,H155=""),0,(J155/H155)-1)</f>
        <v>0</v>
      </c>
      <c r="J155" s="1192">
        <f>'Var Ertragsphase'!B130</f>
        <v>48173.860569481272</v>
      </c>
    </row>
    <row r="156" spans="1:10" ht="15.5" x14ac:dyDescent="0.35">
      <c r="G156" s="391" t="str">
        <f>'Standard Ertragsphase'!A131</f>
        <v>Produktionskosten pro ha</v>
      </c>
      <c r="H156" s="969">
        <f>SUM(H154:H155)</f>
        <v>86954.994836930491</v>
      </c>
      <c r="I156" s="1189">
        <f>IF(OR(H156=0,H156=""),0,(J156/H156)-1)</f>
        <v>0</v>
      </c>
      <c r="J156" s="998">
        <f>SUM(J154:J155)</f>
        <v>86954.994836930491</v>
      </c>
    </row>
    <row r="157" spans="1:10" x14ac:dyDescent="0.3">
      <c r="H157" s="1198"/>
      <c r="I157" s="4"/>
      <c r="J157" s="1199"/>
    </row>
    <row r="158" spans="1:10" x14ac:dyDescent="0.3">
      <c r="G158" s="937" t="str">
        <f>G154</f>
        <v>Total Direktkosten</v>
      </c>
      <c r="H158" s="1200">
        <f>'Standard Ertragsphase'!C129</f>
        <v>0.44599087539682719</v>
      </c>
      <c r="J158" s="1201">
        <f>'Var Ertragsphase'!C129</f>
        <v>0.44599087539682719</v>
      </c>
    </row>
    <row r="159" spans="1:10" ht="13.5" thickBot="1" x14ac:dyDescent="0.35">
      <c r="G159" s="937" t="str">
        <f>G155</f>
        <v>Total Strukturkosten</v>
      </c>
      <c r="H159" s="1202">
        <f>'Standard Ertragsphase'!C130</f>
        <v>0.55400912460317275</v>
      </c>
      <c r="J159" s="1203">
        <f>'Var Ertragsphase'!C130</f>
        <v>0.55400912460317275</v>
      </c>
    </row>
    <row r="160" spans="1:10" ht="13.5" thickTop="1" x14ac:dyDescent="0.3"/>
    <row r="171" spans="1:10" ht="21.5" x14ac:dyDescent="0.45">
      <c r="A171" s="975" t="s">
        <v>318</v>
      </c>
      <c r="B171" s="1055"/>
      <c r="C171" s="1055"/>
      <c r="D171" s="979"/>
      <c r="E171" s="1058"/>
      <c r="F171" s="1058"/>
      <c r="G171" s="1058"/>
      <c r="H171" s="1058"/>
      <c r="I171" s="1058"/>
      <c r="J171" s="1058"/>
    </row>
    <row r="175" spans="1:10" ht="14.5" thickBot="1" x14ac:dyDescent="0.35">
      <c r="H175" s="701" t="s">
        <v>85</v>
      </c>
      <c r="I175" s="705" t="s">
        <v>151</v>
      </c>
      <c r="J175" s="944" t="s">
        <v>148</v>
      </c>
    </row>
    <row r="176" spans="1:10" ht="15.75" customHeight="1" thickTop="1" x14ac:dyDescent="0.3">
      <c r="G176" s="1206" t="str">
        <f>'Standard Ertragsphase'!A148</f>
        <v>Total Pflanzenschutz</v>
      </c>
      <c r="H176" s="1207">
        <f>'Standard Ertragsphase'!B155</f>
        <v>5353.3</v>
      </c>
      <c r="I176" s="1208">
        <f>IF(OR(H176=0,H176=""),0,(J176/H176)-1)</f>
        <v>0</v>
      </c>
      <c r="J176" s="1209">
        <f>'Var Ertragsphase'!B148</f>
        <v>5353.3</v>
      </c>
    </row>
    <row r="177" spans="7:10" ht="15.75" customHeight="1" thickBot="1" x14ac:dyDescent="0.35">
      <c r="G177" s="1210" t="str">
        <f>'Standard Ertragsphase'!A149</f>
        <v>übrige Produktionskosten</v>
      </c>
      <c r="H177" s="1211">
        <f>'Standard Ertragsphase'!B149</f>
        <v>81601.694836930488</v>
      </c>
      <c r="I177" s="1212">
        <f>IF(OR(H177=0,H177=""),0,(J177/H177)-1)</f>
        <v>0</v>
      </c>
      <c r="J177" s="1213">
        <f>'Var Ertragsphase'!B149</f>
        <v>81601.694836930488</v>
      </c>
    </row>
    <row r="178" spans="7:10" ht="15.75" customHeight="1" x14ac:dyDescent="0.3">
      <c r="G178" s="325" t="s">
        <v>429</v>
      </c>
      <c r="H178" s="970">
        <f>SUM(H176:H177)</f>
        <v>86954.994836930491</v>
      </c>
      <c r="I178" s="1208">
        <f>IF(OR(H178=0,H178=""),0,(J178/H178)-1)</f>
        <v>0</v>
      </c>
      <c r="J178" s="999">
        <f>SUM(J176:J177)</f>
        <v>86954.994836930491</v>
      </c>
    </row>
    <row r="179" spans="7:10" x14ac:dyDescent="0.3">
      <c r="G179" s="1135"/>
      <c r="H179" s="1214"/>
      <c r="I179" s="1135"/>
      <c r="J179" s="1215"/>
    </row>
    <row r="180" spans="7:10" x14ac:dyDescent="0.3">
      <c r="G180" s="1206" t="str">
        <f>G176</f>
        <v>Total Pflanzenschutz</v>
      </c>
      <c r="H180" s="1216">
        <f>'Standard Ertragsphase'!C148</f>
        <v>6.1564031025925725E-2</v>
      </c>
      <c r="I180" s="329"/>
      <c r="J180" s="1217">
        <f>'Var Ertragsphase'!C148</f>
        <v>6.1564031025925725E-2</v>
      </c>
    </row>
    <row r="181" spans="7:10" ht="13.5" thickBot="1" x14ac:dyDescent="0.35">
      <c r="G181" s="1206" t="str">
        <f>G177</f>
        <v>übrige Produktionskosten</v>
      </c>
      <c r="H181" s="1218">
        <f>'Standard Ertragsphase'!C149</f>
        <v>0.93843596897407422</v>
      </c>
      <c r="I181" s="329"/>
      <c r="J181" s="1219">
        <f>'Var Ertragsphase'!C149</f>
        <v>0.93843596897407422</v>
      </c>
    </row>
    <row r="182" spans="7:10" ht="13.5" thickTop="1" x14ac:dyDescent="0.3">
      <c r="G182" s="1135"/>
      <c r="H182" s="1135"/>
      <c r="I182" s="1135"/>
      <c r="J182" s="1135"/>
    </row>
    <row r="195" spans="1:10" ht="14.5" thickBot="1" x14ac:dyDescent="0.35">
      <c r="H195" s="701" t="s">
        <v>85</v>
      </c>
      <c r="I195" s="705" t="s">
        <v>151</v>
      </c>
      <c r="J195" s="944" t="s">
        <v>148</v>
      </c>
    </row>
    <row r="196" spans="1:10" ht="13.5" thickTop="1" x14ac:dyDescent="0.3">
      <c r="G196" s="937" t="str">
        <f>'Standard Ertragsphase'!A152</f>
        <v>Material</v>
      </c>
      <c r="H196" s="1220">
        <f>'Standard Ertragsphase'!B152</f>
        <v>2500</v>
      </c>
      <c r="I196" s="1208">
        <f>IF(OR(H196=0,H196=""),0,(J196/H196)-1)</f>
        <v>0</v>
      </c>
      <c r="J196" s="1232">
        <f>'Var Ertragsphase'!B152</f>
        <v>2500</v>
      </c>
    </row>
    <row r="197" spans="1:10" x14ac:dyDescent="0.3">
      <c r="B197" s="1221"/>
      <c r="E197" s="1135"/>
      <c r="G197" s="937" t="str">
        <f>'Standard Ertragsphase'!A153</f>
        <v>Maschinen</v>
      </c>
      <c r="H197" s="1222">
        <f>'Standard Ertragsphase'!B153</f>
        <v>1578</v>
      </c>
      <c r="I197" s="1208">
        <f>IF(OR(H197=0,H197=""),0,(J197/H197)-1)</f>
        <v>0</v>
      </c>
      <c r="J197" s="1233">
        <f>'Var Ertragsphase'!B153</f>
        <v>1578</v>
      </c>
    </row>
    <row r="198" spans="1:10" ht="13.5" thickBot="1" x14ac:dyDescent="0.35">
      <c r="B198" s="1221"/>
      <c r="G198" s="1205" t="str">
        <f>'Standard Ertragsphase'!A154</f>
        <v>Arbeit</v>
      </c>
      <c r="H198" s="1222">
        <f>'Standard Ertragsphase'!B154</f>
        <v>1275.3000000000002</v>
      </c>
      <c r="I198" s="1212">
        <f>IF(OR(H198=0,H198=""),0,(J198/H198)-1)</f>
        <v>0</v>
      </c>
      <c r="J198" s="1233">
        <f>'Var Ertragsphase'!B154</f>
        <v>1275.3000000000002</v>
      </c>
    </row>
    <row r="199" spans="1:10" ht="31" x14ac:dyDescent="0.3">
      <c r="B199" s="1221"/>
      <c r="G199" s="734" t="str">
        <f>'Standard Ertragsphase'!A155</f>
        <v>Pflanzenschutz (Material, Maschinen, Arbeit)</v>
      </c>
      <c r="H199" s="971">
        <f>SUM(H196:H198)</f>
        <v>5353.3</v>
      </c>
      <c r="I199" s="1208">
        <f>IF(OR(H199=0,H199=""),0,(J199/H199)-1)</f>
        <v>0</v>
      </c>
      <c r="J199" s="1000">
        <f>SUM(J196:J198)</f>
        <v>5353.3</v>
      </c>
    </row>
    <row r="200" spans="1:10" x14ac:dyDescent="0.3">
      <c r="B200" s="1221"/>
      <c r="H200" s="1198"/>
      <c r="J200" s="1199"/>
    </row>
    <row r="201" spans="1:10" x14ac:dyDescent="0.25">
      <c r="A201" s="1135"/>
      <c r="B201" s="1223"/>
      <c r="C201" s="1224"/>
      <c r="D201" s="310"/>
      <c r="F201" s="1135"/>
      <c r="G201" s="1206" t="str">
        <f>G196</f>
        <v>Material</v>
      </c>
      <c r="H201" s="1216">
        <f>'Standard Ertragsphase'!C152</f>
        <v>0.46700166252591857</v>
      </c>
      <c r="I201" s="329"/>
      <c r="J201" s="1201">
        <f>'Var Ertragsphase'!C152</f>
        <v>0.46700166252591857</v>
      </c>
    </row>
    <row r="202" spans="1:10" x14ac:dyDescent="0.3">
      <c r="B202" s="1221"/>
      <c r="G202" s="1206" t="str">
        <f>G197</f>
        <v>Maschinen</v>
      </c>
      <c r="H202" s="1216">
        <f>'Standard Ertragsphase'!C153</f>
        <v>0.2947714493863598</v>
      </c>
      <c r="I202" s="329"/>
      <c r="J202" s="1201">
        <f>'Var Ertragsphase'!C153</f>
        <v>0.2947714493863598</v>
      </c>
    </row>
    <row r="203" spans="1:10" x14ac:dyDescent="0.3">
      <c r="B203" s="1221"/>
      <c r="G203" s="1206" t="str">
        <f>G198</f>
        <v>Arbeit</v>
      </c>
      <c r="H203" s="1216">
        <f>'Standard Ertragsphase'!C154</f>
        <v>0.23822688808772161</v>
      </c>
      <c r="I203" s="329"/>
      <c r="J203" s="1201">
        <f>'Var Ertragsphase'!C154</f>
        <v>0.23822688808772161</v>
      </c>
    </row>
    <row r="204" spans="1:10" x14ac:dyDescent="0.3">
      <c r="B204" s="1221"/>
      <c r="H204" s="1198"/>
      <c r="J204" s="1199"/>
    </row>
    <row r="205" spans="1:10" x14ac:dyDescent="0.3">
      <c r="B205" s="1221"/>
      <c r="G205" s="1246" t="s">
        <v>319</v>
      </c>
      <c r="H205" s="1247"/>
      <c r="I205" s="1248"/>
      <c r="J205" s="1249"/>
    </row>
    <row r="206" spans="1:10" x14ac:dyDescent="0.3">
      <c r="B206" s="1221"/>
      <c r="G206" s="1225" t="s">
        <v>533</v>
      </c>
      <c r="H206" s="1226">
        <f>'Standard Ertragsphase'!C38</f>
        <v>16</v>
      </c>
      <c r="I206" s="937"/>
      <c r="J206" s="1239">
        <f>'Var Ertragsphase'!C38</f>
        <v>16</v>
      </c>
    </row>
    <row r="207" spans="1:10" x14ac:dyDescent="0.3">
      <c r="B207" s="1221"/>
      <c r="G207" s="1225" t="s">
        <v>537</v>
      </c>
      <c r="H207" s="1226">
        <f>'Standard Ertragsphase'!C39</f>
        <v>3</v>
      </c>
      <c r="I207" s="937"/>
      <c r="J207" s="1239">
        <f>'Var Ertragsphase'!C39</f>
        <v>3</v>
      </c>
    </row>
    <row r="208" spans="1:10" x14ac:dyDescent="0.3">
      <c r="B208" s="1221"/>
      <c r="G208" s="1227"/>
      <c r="H208" s="1198"/>
      <c r="I208" s="937"/>
      <c r="J208" s="1199"/>
    </row>
    <row r="209" spans="1:10" x14ac:dyDescent="0.3">
      <c r="B209" s="1221"/>
      <c r="G209" s="733" t="s">
        <v>320</v>
      </c>
      <c r="H209" s="1198"/>
      <c r="I209" s="937"/>
      <c r="J209" s="1199"/>
    </row>
    <row r="210" spans="1:10" x14ac:dyDescent="0.3">
      <c r="B210" s="1221"/>
      <c r="G210" s="1225" t="s">
        <v>321</v>
      </c>
      <c r="H210" s="1228">
        <f>'Standard Ertragsphase'!C18+'Standard Ertragsphase'!C19+'Standard Ertragsphase'!C20</f>
        <v>0</v>
      </c>
      <c r="I210" s="937"/>
      <c r="J210" s="1240">
        <f>'Var Ertragsphase'!C18+'Var Ertragsphase'!C19+'Var Ertragsphase'!C20</f>
        <v>0</v>
      </c>
    </row>
    <row r="211" spans="1:10" x14ac:dyDescent="0.3">
      <c r="B211" s="1221"/>
      <c r="G211" s="1225" t="s">
        <v>322</v>
      </c>
      <c r="H211" s="1113" t="e">
        <f>'Standard Ertragsphase'!C23+'Standard Ertragsphase'!#REF!+'Standard Ertragsphase'!#REF!</f>
        <v>#REF!</v>
      </c>
      <c r="I211" s="156"/>
      <c r="J211" s="1241" t="e">
        <f>'Var Ertragsphase'!C23+'Var Ertragsphase'!#REF!+'Var Ertragsphase'!#REF!</f>
        <v>#REF!</v>
      </c>
    </row>
    <row r="212" spans="1:10" x14ac:dyDescent="0.3">
      <c r="B212" s="1221"/>
      <c r="G212" s="1225" t="s">
        <v>197</v>
      </c>
      <c r="H212" s="1229">
        <v>0</v>
      </c>
      <c r="I212" s="937"/>
      <c r="J212" s="1242">
        <v>0</v>
      </c>
    </row>
    <row r="213" spans="1:10" x14ac:dyDescent="0.3">
      <c r="B213" s="1221"/>
      <c r="G213" s="1225" t="s">
        <v>323</v>
      </c>
      <c r="H213" s="1113" t="e">
        <f>'Standard Ertragsphase'!#REF!+'Standard Ertragsphase'!#REF!</f>
        <v>#REF!</v>
      </c>
      <c r="I213" s="937"/>
      <c r="J213" s="1241" t="e">
        <f>'Var Ertragsphase'!#REF!+'Var Ertragsphase'!#REF!</f>
        <v>#REF!</v>
      </c>
    </row>
    <row r="214" spans="1:10" x14ac:dyDescent="0.3">
      <c r="B214" s="1221"/>
      <c r="G214" s="1225" t="s">
        <v>324</v>
      </c>
      <c r="H214" s="1113" t="e">
        <f>'Standard Ertragsphase'!#REF!</f>
        <v>#REF!</v>
      </c>
      <c r="I214" s="937"/>
      <c r="J214" s="1243" t="e">
        <f>'Var Ertragsphase'!#REF!</f>
        <v>#REF!</v>
      </c>
    </row>
    <row r="215" spans="1:10" x14ac:dyDescent="0.3">
      <c r="B215" s="1221"/>
      <c r="G215" s="1227"/>
      <c r="H215" s="972" t="e">
        <f>SUM(H210:H214)</f>
        <v>#REF!</v>
      </c>
      <c r="I215" s="937"/>
      <c r="J215" s="1244" t="e">
        <f>SUM(J210:J214)</f>
        <v>#REF!</v>
      </c>
    </row>
    <row r="216" spans="1:10" ht="20.25" customHeight="1" thickBot="1" x14ac:dyDescent="0.35">
      <c r="B216" s="1221"/>
      <c r="G216" s="1230" t="s">
        <v>199</v>
      </c>
      <c r="H216" s="1231" t="e">
        <f>'Standard Ertragsphase'!#REF!</f>
        <v>#REF!</v>
      </c>
      <c r="I216" s="1205"/>
      <c r="J216" s="1245" t="e">
        <f>'Var Ertragsphase'!#REF!</f>
        <v>#REF!</v>
      </c>
    </row>
    <row r="217" spans="1:10" ht="21.5" x14ac:dyDescent="0.45">
      <c r="A217" s="975" t="s">
        <v>317</v>
      </c>
      <c r="B217" s="1055"/>
      <c r="C217" s="1055"/>
      <c r="D217" s="979"/>
      <c r="E217" s="1058"/>
      <c r="F217" s="1058"/>
      <c r="G217" s="1058"/>
      <c r="H217" s="1058"/>
      <c r="I217" s="1058"/>
      <c r="J217" s="1058"/>
    </row>
    <row r="218" spans="1:10" x14ac:dyDescent="0.3">
      <c r="B218" s="1221"/>
    </row>
    <row r="219" spans="1:10" x14ac:dyDescent="0.3">
      <c r="B219" s="1221"/>
    </row>
    <row r="220" spans="1:10" x14ac:dyDescent="0.3">
      <c r="B220" s="1221"/>
    </row>
    <row r="221" spans="1:10" x14ac:dyDescent="0.3">
      <c r="B221" s="1221"/>
    </row>
    <row r="222" spans="1:10" ht="14.5" thickBot="1" x14ac:dyDescent="0.35">
      <c r="B222" s="1221"/>
      <c r="H222" s="701" t="s">
        <v>85</v>
      </c>
      <c r="I222" s="705" t="s">
        <v>151</v>
      </c>
      <c r="J222" s="944" t="s">
        <v>148</v>
      </c>
    </row>
    <row r="223" spans="1:10" ht="13.5" thickTop="1" x14ac:dyDescent="0.3">
      <c r="B223" s="1221"/>
      <c r="G223" s="21" t="str">
        <f>'Standard Ertragsphase'!A166</f>
        <v>Total Ernte</v>
      </c>
      <c r="H223" s="1220">
        <f>'Standard Ertragsphase'!B166</f>
        <v>31655</v>
      </c>
      <c r="I223" s="1208">
        <f>IF(OR(H223=0,H223=""),0,(J223/H223)-1)</f>
        <v>0</v>
      </c>
      <c r="J223" s="1232">
        <f>'Var Ertragsphase'!B166</f>
        <v>31655</v>
      </c>
    </row>
    <row r="224" spans="1:10" ht="13.5" thickBot="1" x14ac:dyDescent="0.35">
      <c r="B224" s="1221"/>
      <c r="G224" s="1205" t="str">
        <f>'Standard Ertragsphase'!A167</f>
        <v>übrige Produktionskosten</v>
      </c>
      <c r="H224" s="1222">
        <f>'Standard Ertragsphase'!B167</f>
        <v>55299.994836930491</v>
      </c>
      <c r="I224" s="1212">
        <f>IF(OR(H224=0,H224=""),0,(J224/H224)-1)</f>
        <v>0</v>
      </c>
      <c r="J224" s="1233">
        <f>'Var Ertragsphase'!B167</f>
        <v>55299.994836930491</v>
      </c>
    </row>
    <row r="225" spans="2:10" ht="15.5" x14ac:dyDescent="0.3">
      <c r="B225" s="1221"/>
      <c r="G225" s="325" t="s">
        <v>328</v>
      </c>
      <c r="H225" s="973">
        <f>SUM(H223:H224)</f>
        <v>86954.994836930491</v>
      </c>
      <c r="I225" s="1208">
        <f>IF(OR(H225=0,H225=""),0,(J225/H225)-1)</f>
        <v>0</v>
      </c>
      <c r="J225" s="1001">
        <f>SUM(J223:J224)</f>
        <v>86954.994836930491</v>
      </c>
    </row>
    <row r="226" spans="2:10" x14ac:dyDescent="0.3">
      <c r="B226" s="1221"/>
      <c r="H226" s="1198"/>
      <c r="J226" s="1199"/>
    </row>
    <row r="227" spans="2:10" x14ac:dyDescent="0.3">
      <c r="B227" s="1221"/>
      <c r="G227" s="1206"/>
      <c r="H227" s="1216"/>
      <c r="I227" s="329"/>
      <c r="J227" s="1201"/>
    </row>
    <row r="228" spans="2:10" x14ac:dyDescent="0.3">
      <c r="B228" s="1221"/>
      <c r="G228" s="1206" t="str">
        <f>G223</f>
        <v>Total Ernte</v>
      </c>
      <c r="H228" s="1216">
        <f>'Standard Ertragsphase'!C166</f>
        <v>0.36403889229553338</v>
      </c>
      <c r="I228" s="329"/>
      <c r="J228" s="1201">
        <f>'Var Ertragsphase'!C166</f>
        <v>0.36403889229553338</v>
      </c>
    </row>
    <row r="229" spans="2:10" ht="13.5" thickBot="1" x14ac:dyDescent="0.35">
      <c r="B229" s="1221"/>
      <c r="G229" s="1206" t="str">
        <f>G224</f>
        <v>übrige Produktionskosten</v>
      </c>
      <c r="H229" s="1218">
        <f>'Standard Ertragsphase'!C167</f>
        <v>0.63596110770446668</v>
      </c>
      <c r="I229" s="329"/>
      <c r="J229" s="1203">
        <f>'Var Ertragsphase'!C167</f>
        <v>0.63596110770446668</v>
      </c>
    </row>
    <row r="230" spans="2:10" ht="13.5" thickTop="1" x14ac:dyDescent="0.3">
      <c r="B230" s="1221"/>
    </row>
    <row r="231" spans="2:10" x14ac:dyDescent="0.3">
      <c r="B231" s="1221"/>
    </row>
    <row r="232" spans="2:10" x14ac:dyDescent="0.3">
      <c r="B232" s="1221"/>
    </row>
    <row r="233" spans="2:10" x14ac:dyDescent="0.3">
      <c r="B233" s="1221"/>
    </row>
    <row r="234" spans="2:10" x14ac:dyDescent="0.3">
      <c r="B234" s="1221"/>
    </row>
    <row r="235" spans="2:10" x14ac:dyDescent="0.3">
      <c r="B235" s="1221"/>
    </row>
    <row r="236" spans="2:10" x14ac:dyDescent="0.3">
      <c r="B236" s="1221"/>
    </row>
    <row r="237" spans="2:10" x14ac:dyDescent="0.3">
      <c r="B237" s="1221"/>
    </row>
    <row r="238" spans="2:10" x14ac:dyDescent="0.3">
      <c r="B238" s="1221"/>
    </row>
    <row r="239" spans="2:10" x14ac:dyDescent="0.3">
      <c r="B239" s="1221"/>
    </row>
    <row r="240" spans="2:10" x14ac:dyDescent="0.3">
      <c r="B240" s="1221"/>
    </row>
    <row r="241" spans="1:10" x14ac:dyDescent="0.3">
      <c r="B241" s="1221"/>
    </row>
    <row r="242" spans="1:10" x14ac:dyDescent="0.3">
      <c r="B242" s="1221"/>
    </row>
    <row r="243" spans="1:10" x14ac:dyDescent="0.3">
      <c r="B243" s="1221"/>
    </row>
    <row r="244" spans="1:10" x14ac:dyDescent="0.3">
      <c r="B244" s="1221"/>
    </row>
    <row r="245" spans="1:10" x14ac:dyDescent="0.3">
      <c r="B245" s="1221"/>
    </row>
    <row r="246" spans="1:10" x14ac:dyDescent="0.3">
      <c r="B246" s="1221"/>
    </row>
    <row r="247" spans="1:10" x14ac:dyDescent="0.3">
      <c r="B247" s="1221"/>
    </row>
    <row r="248" spans="1:10" x14ac:dyDescent="0.3">
      <c r="B248" s="1221"/>
      <c r="E248" s="1135"/>
    </row>
    <row r="249" spans="1:10" ht="14.5" thickBot="1" x14ac:dyDescent="0.35">
      <c r="B249" s="1221"/>
      <c r="H249" s="701" t="s">
        <v>85</v>
      </c>
      <c r="I249" s="705" t="s">
        <v>151</v>
      </c>
      <c r="J249" s="944" t="s">
        <v>148</v>
      </c>
    </row>
    <row r="250" spans="1:10" ht="13.5" thickTop="1" x14ac:dyDescent="0.3">
      <c r="B250" s="1221"/>
      <c r="G250" s="21" t="str">
        <f>'Standard Ertragsphase'!A170</f>
        <v>Maschinen</v>
      </c>
      <c r="H250" s="1234">
        <f>'Standard Ertragsphase'!B170</f>
        <v>7149.9999999999991</v>
      </c>
      <c r="I250" s="1208">
        <f>IF(OR(H250=0,H250=""),0,(J250/H250)-1)</f>
        <v>0</v>
      </c>
      <c r="J250" s="1232">
        <f>'Var Ertragsphase'!B170</f>
        <v>7149.9999999999991</v>
      </c>
    </row>
    <row r="251" spans="1:10" ht="13.5" thickBot="1" x14ac:dyDescent="0.35">
      <c r="B251" s="1221"/>
      <c r="G251" s="1205" t="str">
        <f>'Standard Ertragsphase'!A171</f>
        <v>Arbeit</v>
      </c>
      <c r="H251" s="1235">
        <f>'Standard Ertragsphase'!B171</f>
        <v>24505</v>
      </c>
      <c r="I251" s="1212">
        <f>IF(OR(H251=0,H251=""),0,(J251/H251)-1)</f>
        <v>0</v>
      </c>
      <c r="J251" s="1233">
        <f>'Var Ertragsphase'!B171</f>
        <v>24505</v>
      </c>
    </row>
    <row r="252" spans="1:10" ht="15.5" x14ac:dyDescent="0.25">
      <c r="A252" s="1135"/>
      <c r="B252" s="1223"/>
      <c r="C252" s="1224"/>
      <c r="D252" s="310"/>
      <c r="F252" s="1135"/>
      <c r="G252" s="735" t="str">
        <f>'Standard Ertragsphase'!A172</f>
        <v>Total Ernte</v>
      </c>
      <c r="H252" s="974">
        <f>SUM(H250:H251)</f>
        <v>31655</v>
      </c>
      <c r="I252" s="1208">
        <f>IF(OR(H252=0,H252=""),0,(J252/H252)-1)</f>
        <v>0</v>
      </c>
      <c r="J252" s="1000">
        <f>SUM(J250:J251)</f>
        <v>31655</v>
      </c>
    </row>
    <row r="253" spans="1:10" x14ac:dyDescent="0.3">
      <c r="B253" s="1221"/>
      <c r="H253" s="1236"/>
      <c r="I253" s="1208"/>
      <c r="J253" s="1199"/>
    </row>
    <row r="254" spans="1:10" x14ac:dyDescent="0.3">
      <c r="B254" s="1221"/>
      <c r="H254" s="1236"/>
      <c r="I254" s="1208"/>
      <c r="J254" s="1199"/>
    </row>
    <row r="255" spans="1:10" x14ac:dyDescent="0.3">
      <c r="B255" s="1221"/>
      <c r="G255" s="21" t="str">
        <f>G250</f>
        <v>Maschinen</v>
      </c>
      <c r="H255" s="1237">
        <f>'Standard Ertragsphase'!C170</f>
        <v>0.22587268993839832</v>
      </c>
      <c r="I255" s="329"/>
      <c r="J255" s="1201">
        <f>'Var Ertragsphase'!C170</f>
        <v>0.22587268993839832</v>
      </c>
    </row>
    <row r="256" spans="1:10" ht="13.5" thickBot="1" x14ac:dyDescent="0.35">
      <c r="B256" s="1221"/>
      <c r="G256" s="21" t="str">
        <f>G251</f>
        <v>Arbeit</v>
      </c>
      <c r="H256" s="1238">
        <f>'Standard Ertragsphase'!C171</f>
        <v>0.77412731006160163</v>
      </c>
      <c r="I256" s="329"/>
      <c r="J256" s="1203">
        <f>'Var Ertragsphase'!C171</f>
        <v>0.77412731006160163</v>
      </c>
    </row>
    <row r="257" spans="1:12" ht="13.5" thickTop="1" x14ac:dyDescent="0.3">
      <c r="B257" s="1221"/>
    </row>
    <row r="258" spans="1:12" x14ac:dyDescent="0.3">
      <c r="B258" s="1221"/>
    </row>
    <row r="259" spans="1:12" x14ac:dyDescent="0.3">
      <c r="B259" s="1221"/>
    </row>
    <row r="260" spans="1:12" x14ac:dyDescent="0.3">
      <c r="B260" s="1221"/>
    </row>
    <row r="261" spans="1:12" x14ac:dyDescent="0.3">
      <c r="B261" s="1221"/>
    </row>
    <row r="262" spans="1:12" x14ac:dyDescent="0.3">
      <c r="B262" s="1221"/>
    </row>
    <row r="263" spans="1:12" x14ac:dyDescent="0.3">
      <c r="B263" s="1221"/>
    </row>
    <row r="264" spans="1:12" x14ac:dyDescent="0.3">
      <c r="B264" s="1221"/>
    </row>
    <row r="265" spans="1:12" ht="21.5" x14ac:dyDescent="0.45">
      <c r="A265" s="975" t="s">
        <v>315</v>
      </c>
      <c r="B265" s="1058"/>
      <c r="C265" s="1058"/>
      <c r="D265" s="1058"/>
      <c r="E265" s="1058"/>
      <c r="F265" s="1186"/>
      <c r="G265" s="1058"/>
      <c r="H265" s="1058"/>
      <c r="I265" s="1058"/>
      <c r="J265" s="1055"/>
      <c r="K265" s="1058"/>
      <c r="L265" s="1058"/>
    </row>
    <row r="314" spans="2:4" ht="12.5" x14ac:dyDescent="0.25">
      <c r="B314" s="21"/>
      <c r="C314" s="21"/>
      <c r="D314" s="21"/>
    </row>
    <row r="315" spans="2:4" ht="12.5" x14ac:dyDescent="0.25">
      <c r="B315" s="21"/>
      <c r="C315" s="21"/>
      <c r="D315" s="21"/>
    </row>
    <row r="316" spans="2:4" ht="12.5" x14ac:dyDescent="0.25">
      <c r="B316" s="21"/>
      <c r="C316" s="21"/>
      <c r="D316" s="21"/>
    </row>
    <row r="317" spans="2:4" ht="12.5" x14ac:dyDescent="0.25">
      <c r="B317" s="21"/>
      <c r="C317" s="21"/>
      <c r="D317" s="21"/>
    </row>
    <row r="318" spans="2:4" ht="12.5" x14ac:dyDescent="0.25">
      <c r="B318" s="21"/>
      <c r="C318" s="21"/>
      <c r="D318" s="21"/>
    </row>
    <row r="319" spans="2:4" ht="12.5" x14ac:dyDescent="0.25">
      <c r="B319" s="21"/>
      <c r="C319" s="21"/>
      <c r="D319" s="21"/>
    </row>
    <row r="320" spans="2:4" ht="12.5" x14ac:dyDescent="0.25">
      <c r="B320" s="21"/>
      <c r="C320" s="21"/>
      <c r="D320" s="21"/>
    </row>
    <row r="321" spans="2:4" ht="12.5" x14ac:dyDescent="0.25">
      <c r="B321" s="21"/>
      <c r="C321" s="21"/>
      <c r="D321" s="21"/>
    </row>
    <row r="322" spans="2:4" ht="12.5" x14ac:dyDescent="0.25">
      <c r="B322" s="21"/>
      <c r="C322" s="21"/>
      <c r="D322" s="21"/>
    </row>
    <row r="323" spans="2:4" ht="12.5" x14ac:dyDescent="0.25">
      <c r="B323" s="21"/>
      <c r="C323" s="21"/>
      <c r="D323" s="21"/>
    </row>
    <row r="324" spans="2:4" ht="12.5" x14ac:dyDescent="0.25">
      <c r="B324" s="21"/>
      <c r="C324" s="21"/>
      <c r="D324" s="21"/>
    </row>
    <row r="325" spans="2:4" ht="12.5" x14ac:dyDescent="0.25">
      <c r="B325" s="21"/>
      <c r="C325" s="21"/>
      <c r="D325" s="21"/>
    </row>
    <row r="326" spans="2:4" ht="12.5" x14ac:dyDescent="0.25">
      <c r="B326" s="21"/>
      <c r="C326" s="21"/>
      <c r="D326" s="21"/>
    </row>
    <row r="327" spans="2:4" ht="12.5" x14ac:dyDescent="0.25">
      <c r="B327" s="21"/>
      <c r="C327" s="21"/>
      <c r="D327" s="21"/>
    </row>
    <row r="328" spans="2:4" ht="12.5" x14ac:dyDescent="0.25">
      <c r="B328" s="21"/>
      <c r="C328" s="21"/>
      <c r="D328" s="21"/>
    </row>
    <row r="329" spans="2:4" ht="12.5" x14ac:dyDescent="0.25">
      <c r="B329" s="21"/>
      <c r="C329" s="21"/>
      <c r="D329" s="21"/>
    </row>
    <row r="330" spans="2:4" ht="12.5" x14ac:dyDescent="0.25">
      <c r="B330" s="21"/>
      <c r="C330" s="21"/>
      <c r="D330" s="21"/>
    </row>
    <row r="331" spans="2:4" ht="12.5" x14ac:dyDescent="0.25">
      <c r="B331" s="21"/>
      <c r="C331" s="21"/>
      <c r="D331" s="21"/>
    </row>
    <row r="332" spans="2:4" ht="12.5" x14ac:dyDescent="0.25">
      <c r="B332" s="21"/>
      <c r="C332" s="21"/>
      <c r="D332" s="21"/>
    </row>
    <row r="333" spans="2:4" ht="12.5" x14ac:dyDescent="0.25">
      <c r="B333" s="21"/>
      <c r="C333" s="21"/>
      <c r="D333" s="21"/>
    </row>
    <row r="334" spans="2:4" ht="12.5" x14ac:dyDescent="0.25">
      <c r="B334" s="21"/>
      <c r="C334" s="21"/>
      <c r="D334" s="21"/>
    </row>
    <row r="335" spans="2:4" ht="12.5" x14ac:dyDescent="0.25">
      <c r="B335" s="21"/>
      <c r="C335" s="21"/>
      <c r="D335" s="21"/>
    </row>
    <row r="336" spans="2:4" ht="12.5" x14ac:dyDescent="0.25">
      <c r="B336" s="21"/>
      <c r="C336" s="21"/>
      <c r="D336" s="21"/>
    </row>
    <row r="337" spans="2:4" ht="12.5" x14ac:dyDescent="0.25">
      <c r="B337" s="21"/>
      <c r="C337" s="21"/>
      <c r="D337" s="21"/>
    </row>
    <row r="338" spans="2:4" ht="12.5" x14ac:dyDescent="0.25">
      <c r="B338" s="21"/>
      <c r="C338" s="21"/>
      <c r="D338" s="21"/>
    </row>
    <row r="339" spans="2:4" ht="12.5" x14ac:dyDescent="0.25">
      <c r="B339" s="21"/>
      <c r="C339" s="21"/>
      <c r="D339" s="21"/>
    </row>
    <row r="340" spans="2:4" ht="12.5" x14ac:dyDescent="0.25">
      <c r="B340" s="21"/>
      <c r="C340" s="21"/>
      <c r="D340" s="21"/>
    </row>
    <row r="341" spans="2:4" ht="12.5" x14ac:dyDescent="0.25">
      <c r="B341" s="21"/>
      <c r="C341" s="21"/>
      <c r="D341" s="21"/>
    </row>
    <row r="342" spans="2:4" ht="12.5" x14ac:dyDescent="0.25">
      <c r="B342" s="21"/>
      <c r="C342" s="21"/>
      <c r="D342" s="21"/>
    </row>
    <row r="343" spans="2:4" ht="12.5" x14ac:dyDescent="0.25">
      <c r="B343" s="21"/>
      <c r="C343" s="21"/>
      <c r="D343" s="21"/>
    </row>
    <row r="344" spans="2:4" ht="12.5" x14ac:dyDescent="0.25">
      <c r="B344" s="21"/>
      <c r="C344" s="21"/>
      <c r="D344" s="21"/>
    </row>
    <row r="345" spans="2:4" ht="12.5" x14ac:dyDescent="0.25">
      <c r="B345" s="21"/>
      <c r="C345" s="21"/>
      <c r="D345" s="21"/>
    </row>
    <row r="346" spans="2:4" ht="12.5" x14ac:dyDescent="0.25">
      <c r="B346" s="21"/>
      <c r="C346" s="21"/>
      <c r="D346" s="21"/>
    </row>
    <row r="347" spans="2:4" ht="12.5" x14ac:dyDescent="0.25">
      <c r="B347" s="21"/>
      <c r="C347" s="21"/>
      <c r="D347" s="21"/>
    </row>
    <row r="348" spans="2:4" ht="12.5" x14ac:dyDescent="0.25">
      <c r="B348" s="21"/>
      <c r="C348" s="21"/>
      <c r="D348" s="21"/>
    </row>
    <row r="349" spans="2:4" ht="12.5" x14ac:dyDescent="0.25">
      <c r="B349" s="21"/>
      <c r="C349" s="21"/>
      <c r="D349" s="21"/>
    </row>
    <row r="350" spans="2:4" ht="12.5" x14ac:dyDescent="0.25">
      <c r="B350" s="21"/>
      <c r="C350" s="21"/>
      <c r="D350" s="21"/>
    </row>
    <row r="351" spans="2:4" ht="12.5" x14ac:dyDescent="0.25">
      <c r="B351" s="21"/>
      <c r="C351" s="21"/>
      <c r="D351" s="21"/>
    </row>
    <row r="352" spans="2:4" ht="12.5" x14ac:dyDescent="0.25">
      <c r="B352" s="21"/>
      <c r="C352" s="21"/>
      <c r="D352" s="21"/>
    </row>
    <row r="353" spans="2:4" ht="12.5" x14ac:dyDescent="0.25">
      <c r="B353" s="21"/>
      <c r="C353" s="21"/>
      <c r="D353" s="21"/>
    </row>
    <row r="354" spans="2:4" ht="12.5" x14ac:dyDescent="0.25">
      <c r="B354" s="21"/>
      <c r="C354" s="21"/>
      <c r="D354" s="21"/>
    </row>
    <row r="355" spans="2:4" ht="12.5" x14ac:dyDescent="0.25">
      <c r="B355" s="21"/>
      <c r="C355" s="21"/>
      <c r="D355" s="21"/>
    </row>
    <row r="356" spans="2:4" ht="12.5" x14ac:dyDescent="0.25">
      <c r="B356" s="21"/>
      <c r="C356" s="21"/>
      <c r="D356" s="21"/>
    </row>
    <row r="357" spans="2:4" ht="12.5" x14ac:dyDescent="0.25">
      <c r="B357" s="21"/>
      <c r="C357" s="21"/>
      <c r="D357" s="21"/>
    </row>
    <row r="358" spans="2:4" ht="12.5" x14ac:dyDescent="0.25">
      <c r="B358" s="21"/>
      <c r="C358" s="21"/>
      <c r="D358" s="21"/>
    </row>
    <row r="359" spans="2:4" ht="12.5" x14ac:dyDescent="0.25">
      <c r="B359" s="21"/>
      <c r="C359" s="21"/>
      <c r="D359" s="21"/>
    </row>
    <row r="360" spans="2:4" ht="12.5" x14ac:dyDescent="0.25">
      <c r="B360" s="21"/>
      <c r="C360" s="21"/>
      <c r="D360" s="21"/>
    </row>
    <row r="361" spans="2:4" ht="12.5" x14ac:dyDescent="0.25">
      <c r="B361" s="21"/>
      <c r="C361" s="21"/>
      <c r="D361" s="21"/>
    </row>
    <row r="362" spans="2:4" ht="12.5" x14ac:dyDescent="0.25">
      <c r="B362" s="21"/>
      <c r="C362" s="21"/>
      <c r="D362" s="21"/>
    </row>
    <row r="363" spans="2:4" ht="12.5" x14ac:dyDescent="0.25">
      <c r="B363" s="21"/>
      <c r="C363" s="21"/>
      <c r="D363" s="21"/>
    </row>
    <row r="364" spans="2:4" ht="12.5" x14ac:dyDescent="0.25">
      <c r="B364" s="21"/>
      <c r="C364" s="21"/>
      <c r="D364" s="21"/>
    </row>
    <row r="365" spans="2:4" ht="12.5" x14ac:dyDescent="0.25">
      <c r="B365" s="21"/>
      <c r="C365" s="21"/>
      <c r="D365" s="21"/>
    </row>
    <row r="366" spans="2:4" ht="12.5" x14ac:dyDescent="0.25">
      <c r="B366" s="21"/>
      <c r="C366" s="21"/>
      <c r="D366" s="21"/>
    </row>
    <row r="367" spans="2:4" ht="12.5" x14ac:dyDescent="0.25">
      <c r="B367" s="21"/>
      <c r="C367" s="21"/>
      <c r="D367" s="21"/>
    </row>
    <row r="368" spans="2:4" ht="12.5" x14ac:dyDescent="0.25">
      <c r="B368" s="21"/>
      <c r="C368" s="21"/>
      <c r="D368" s="21"/>
    </row>
    <row r="369" spans="2:4" ht="12.5" x14ac:dyDescent="0.25">
      <c r="B369" s="21"/>
      <c r="C369" s="21"/>
      <c r="D369" s="21"/>
    </row>
    <row r="370" spans="2:4" ht="12.5" x14ac:dyDescent="0.25">
      <c r="B370" s="21"/>
      <c r="C370" s="21"/>
      <c r="D370" s="21"/>
    </row>
    <row r="371" spans="2:4" ht="12.5" x14ac:dyDescent="0.25">
      <c r="B371" s="21"/>
      <c r="C371" s="21"/>
      <c r="D371" s="21"/>
    </row>
    <row r="372" spans="2:4" ht="12.5" x14ac:dyDescent="0.25">
      <c r="B372" s="21"/>
      <c r="C372" s="21"/>
      <c r="D372" s="21"/>
    </row>
    <row r="373" spans="2:4" ht="12.5" x14ac:dyDescent="0.25">
      <c r="B373" s="21"/>
      <c r="C373" s="21"/>
      <c r="D373" s="21"/>
    </row>
    <row r="374" spans="2:4" ht="12.5" x14ac:dyDescent="0.25">
      <c r="B374" s="21"/>
      <c r="C374" s="21"/>
      <c r="D374" s="21"/>
    </row>
    <row r="375" spans="2:4" ht="12.5" x14ac:dyDescent="0.25">
      <c r="B375" s="21"/>
      <c r="C375" s="21"/>
      <c r="D375" s="21"/>
    </row>
    <row r="376" spans="2:4" ht="12.5" x14ac:dyDescent="0.25">
      <c r="B376" s="21"/>
      <c r="C376" s="21"/>
      <c r="D376" s="21"/>
    </row>
    <row r="377" spans="2:4" ht="12.5" x14ac:dyDescent="0.25">
      <c r="B377" s="21"/>
      <c r="C377" s="21"/>
      <c r="D377" s="21"/>
    </row>
    <row r="378" spans="2:4" ht="12.5" x14ac:dyDescent="0.25">
      <c r="B378" s="21"/>
      <c r="C378" s="21"/>
      <c r="D378" s="21"/>
    </row>
    <row r="379" spans="2:4" ht="12.5" x14ac:dyDescent="0.25">
      <c r="B379" s="21"/>
      <c r="C379" s="21"/>
      <c r="D379" s="21"/>
    </row>
    <row r="380" spans="2:4" ht="12.5" x14ac:dyDescent="0.25">
      <c r="B380" s="21"/>
      <c r="C380" s="21"/>
      <c r="D380" s="21"/>
    </row>
    <row r="381" spans="2:4" ht="12.5" x14ac:dyDescent="0.25">
      <c r="B381" s="21"/>
      <c r="C381" s="21"/>
      <c r="D381" s="21"/>
    </row>
    <row r="382" spans="2:4" ht="12.5" x14ac:dyDescent="0.25">
      <c r="B382" s="21"/>
      <c r="C382" s="21"/>
      <c r="D382" s="21"/>
    </row>
    <row r="383" spans="2:4" ht="12.5" x14ac:dyDescent="0.25">
      <c r="B383" s="21"/>
      <c r="C383" s="21"/>
      <c r="D383" s="21"/>
    </row>
    <row r="384" spans="2:4" ht="12.5" x14ac:dyDescent="0.25">
      <c r="B384" s="21"/>
      <c r="C384" s="21"/>
      <c r="D384" s="21"/>
    </row>
  </sheetData>
  <mergeCells count="9">
    <mergeCell ref="A63:D63"/>
    <mergeCell ref="F63:J63"/>
    <mergeCell ref="F40:J40"/>
    <mergeCell ref="F11:G11"/>
    <mergeCell ref="B2:E2"/>
    <mergeCell ref="C3:D3"/>
    <mergeCell ref="A40:D40"/>
    <mergeCell ref="A4:G4"/>
    <mergeCell ref="F8:G8"/>
  </mergeCells>
  <phoneticPr fontId="25" type="noConversion"/>
  <pageMargins left="0.39370078740157483" right="0.39370078740157483" top="0.59055118110236227" bottom="0.78740157480314965" header="0.51181102362204722" footer="0.51181102362204722"/>
  <pageSetup paperSize="9" scale="76" orientation="landscape" r:id="rId1"/>
  <headerFooter alignWithMargins="0">
    <oddFooter>&amp;L&amp;6&amp;F&amp;C&amp;6&amp;A   &amp;R&amp;6 Kontakt: matthias.zuercher@faw.admin.ch</oddFooter>
  </headerFooter>
  <rowBreaks count="6" manualBreakCount="6">
    <brk id="62" max="16383" man="1"/>
    <brk id="81" max="16383" man="1"/>
    <brk id="122" max="16383" man="1"/>
    <brk id="170" max="16383" man="1"/>
    <brk id="216" max="16383" man="1"/>
    <brk id="26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orgaben1">
    <tabColor rgb="FFFF66CC"/>
  </sheetPr>
  <dimension ref="A1:AO159"/>
  <sheetViews>
    <sheetView zoomScale="70" zoomScaleNormal="70" workbookViewId="0">
      <selection activeCell="C94" sqref="C94"/>
    </sheetView>
  </sheetViews>
  <sheetFormatPr baseColWidth="10" defaultColWidth="11.36328125" defaultRowHeight="12.5" x14ac:dyDescent="0.25"/>
  <cols>
    <col min="1" max="1" width="31.7265625" customWidth="1"/>
    <col min="2" max="2" width="25.26953125" customWidth="1"/>
    <col min="3" max="3" width="19.81640625" style="137" customWidth="1"/>
    <col min="4" max="4" width="22.36328125" style="12" bestFit="1" customWidth="1"/>
    <col min="5" max="5" width="28" style="12" bestFit="1" customWidth="1"/>
    <col min="6" max="6" width="22.36328125" style="12" bestFit="1" customWidth="1"/>
    <col min="7" max="7" width="25.54296875" bestFit="1" customWidth="1"/>
    <col min="8" max="8" width="81.36328125" bestFit="1" customWidth="1"/>
    <col min="9" max="9" width="23.36328125" bestFit="1" customWidth="1"/>
    <col min="10" max="10" width="3" customWidth="1"/>
    <col min="11" max="11" width="11.36328125" customWidth="1"/>
    <col min="12" max="12" width="14.26953125" customWidth="1"/>
  </cols>
  <sheetData>
    <row r="1" spans="1:10" ht="44.5" customHeight="1" x14ac:dyDescent="0.5">
      <c r="A1" s="1067" t="str">
        <f>Eingabeseite!A1</f>
        <v>Arbokost 2023</v>
      </c>
      <c r="B1" s="354" t="str">
        <f>B7</f>
        <v>Tafelkirsche</v>
      </c>
      <c r="C1" s="363"/>
      <c r="D1" s="359"/>
      <c r="E1" s="621"/>
      <c r="F1" s="356"/>
      <c r="G1" s="622"/>
      <c r="H1" s="351"/>
    </row>
    <row r="2" spans="1:10" s="1" customFormat="1" ht="27" customHeight="1" x14ac:dyDescent="0.5">
      <c r="A2" s="1068" t="str">
        <f>'Var Erstellung'!A2</f>
        <v>Variante  1ha</v>
      </c>
      <c r="B2" s="621">
        <f>B10</f>
        <v>950</v>
      </c>
      <c r="C2" s="351"/>
      <c r="D2" s="351"/>
      <c r="E2" s="351"/>
      <c r="F2" s="623"/>
      <c r="G2" s="624"/>
      <c r="H2" s="351"/>
    </row>
    <row r="3" spans="1:10" s="1" customFormat="1" ht="54" customHeight="1" x14ac:dyDescent="0.25">
      <c r="A3" s="352" t="s">
        <v>272</v>
      </c>
      <c r="B3" s="1351" t="s">
        <v>298</v>
      </c>
      <c r="C3" s="1351"/>
      <c r="D3" s="1351"/>
      <c r="E3" s="1351"/>
      <c r="F3" s="1351"/>
      <c r="G3" s="1351"/>
      <c r="H3" s="351"/>
    </row>
    <row r="4" spans="1:10" s="1" customFormat="1" ht="33.75" customHeight="1" x14ac:dyDescent="0.5">
      <c r="A4" s="1352" t="s">
        <v>455</v>
      </c>
      <c r="B4" s="1353"/>
      <c r="C4" s="1354" t="s">
        <v>554</v>
      </c>
      <c r="D4" s="1355"/>
      <c r="E4" s="1355"/>
      <c r="F4" s="1355"/>
      <c r="G4" s="1355"/>
      <c r="H4" s="1356"/>
    </row>
    <row r="5" spans="1:10" ht="13.5" customHeight="1" x14ac:dyDescent="0.3">
      <c r="H5" s="1063" t="s">
        <v>141</v>
      </c>
    </row>
    <row r="6" spans="1:10" ht="25" x14ac:dyDescent="0.5">
      <c r="A6" s="1067" t="s">
        <v>162</v>
      </c>
      <c r="B6" s="1069"/>
      <c r="C6" s="1070"/>
      <c r="D6" s="1071"/>
      <c r="E6" s="1072"/>
      <c r="F6" s="1071"/>
      <c r="G6" s="1073"/>
      <c r="H6" s="1074"/>
    </row>
    <row r="7" spans="1:10" s="1" customFormat="1" ht="14" x14ac:dyDescent="0.3">
      <c r="A7" s="406" t="s">
        <v>163</v>
      </c>
      <c r="B7" s="1002" t="s">
        <v>185</v>
      </c>
      <c r="C7" s="532"/>
      <c r="D7" s="403"/>
      <c r="E7" s="403"/>
      <c r="F7" s="403"/>
      <c r="G7" s="403"/>
      <c r="H7"/>
      <c r="I7"/>
      <c r="J7"/>
    </row>
    <row r="8" spans="1:10" s="1" customFormat="1" ht="14" x14ac:dyDescent="0.3">
      <c r="A8" s="406" t="s">
        <v>279</v>
      </c>
      <c r="B8" s="1002" t="s">
        <v>391</v>
      </c>
      <c r="C8" s="405"/>
      <c r="D8" s="403"/>
      <c r="E8" s="403"/>
      <c r="F8" s="403"/>
      <c r="G8" s="403"/>
      <c r="H8"/>
      <c r="I8"/>
      <c r="J8"/>
    </row>
    <row r="9" spans="1:10" s="1" customFormat="1" ht="14" x14ac:dyDescent="0.3">
      <c r="A9" s="406" t="s">
        <v>164</v>
      </c>
      <c r="B9" s="1002" t="s">
        <v>471</v>
      </c>
      <c r="C9" s="403"/>
      <c r="D9" s="403"/>
      <c r="E9" s="403"/>
      <c r="F9" s="403"/>
      <c r="G9" s="405"/>
      <c r="H9"/>
      <c r="I9"/>
      <c r="J9"/>
    </row>
    <row r="10" spans="1:10" s="1" customFormat="1" ht="14" x14ac:dyDescent="0.3">
      <c r="A10" s="406" t="s">
        <v>14</v>
      </c>
      <c r="B10" s="741">
        <f>'Var Erstellung'!F16</f>
        <v>950</v>
      </c>
      <c r="C10" s="403"/>
      <c r="D10" s="533"/>
      <c r="E10" s="534"/>
      <c r="F10" s="534"/>
      <c r="G10" s="405"/>
    </row>
    <row r="11" spans="1:10" s="1" customFormat="1" ht="14" x14ac:dyDescent="0.3">
      <c r="A11" s="406" t="s">
        <v>165</v>
      </c>
      <c r="B11" s="1002" t="s">
        <v>7</v>
      </c>
      <c r="C11" s="535"/>
      <c r="D11" s="533"/>
      <c r="E11" s="534"/>
      <c r="F11" s="534"/>
      <c r="G11"/>
      <c r="H11"/>
    </row>
    <row r="12" spans="1:10" s="1" customFormat="1" ht="14" x14ac:dyDescent="0.3">
      <c r="A12" s="406" t="s">
        <v>390</v>
      </c>
      <c r="B12" s="1002" t="s">
        <v>457</v>
      </c>
      <c r="C12" s="1004"/>
      <c r="D12" s="1005"/>
      <c r="E12" s="1006"/>
      <c r="F12" s="534"/>
      <c r="H12" s="403"/>
    </row>
    <row r="13" spans="1:10" s="1" customFormat="1" ht="14" x14ac:dyDescent="0.3">
      <c r="A13" s="406" t="s">
        <v>70</v>
      </c>
      <c r="B13" s="1002" t="s">
        <v>101</v>
      </c>
      <c r="C13" s="535"/>
      <c r="D13" s="533"/>
      <c r="E13" s="534"/>
      <c r="F13" s="643"/>
      <c r="G13" s="643"/>
    </row>
    <row r="14" spans="1:10" ht="14" x14ac:dyDescent="0.3">
      <c r="A14" s="406" t="s">
        <v>270</v>
      </c>
      <c r="B14" s="1003" t="s">
        <v>244</v>
      </c>
      <c r="C14" s="1007" t="s">
        <v>413</v>
      </c>
      <c r="D14" s="1008">
        <v>7</v>
      </c>
      <c r="E14" s="537"/>
      <c r="F14" s="548"/>
      <c r="G14" s="540"/>
    </row>
    <row r="15" spans="1:10" ht="14" x14ac:dyDescent="0.3">
      <c r="A15" s="406" t="s">
        <v>186</v>
      </c>
      <c r="B15" s="1003" t="s">
        <v>102</v>
      </c>
      <c r="C15" s="540"/>
      <c r="D15" s="540"/>
      <c r="E15" s="403"/>
      <c r="F15" s="548"/>
      <c r="G15" s="540"/>
    </row>
    <row r="16" spans="1:10" ht="14" x14ac:dyDescent="0.3">
      <c r="A16" s="406" t="s">
        <v>456</v>
      </c>
      <c r="B16" s="1003" t="s">
        <v>244</v>
      </c>
      <c r="C16" s="1007" t="s">
        <v>413</v>
      </c>
      <c r="D16" s="1008" t="s">
        <v>458</v>
      </c>
      <c r="E16" s="403"/>
      <c r="F16" s="548"/>
      <c r="G16" s="540"/>
    </row>
    <row r="17" spans="1:14" ht="14" x14ac:dyDescent="0.3">
      <c r="A17" s="406" t="s">
        <v>180</v>
      </c>
      <c r="B17" s="1003" t="s">
        <v>102</v>
      </c>
      <c r="C17" s="541"/>
      <c r="D17" s="402"/>
      <c r="E17" s="403"/>
      <c r="F17" s="403"/>
      <c r="G17" s="403"/>
    </row>
    <row r="18" spans="1:14" ht="33.75" customHeight="1" x14ac:dyDescent="0.3">
      <c r="A18" s="1357" t="s">
        <v>526</v>
      </c>
      <c r="B18" s="1358"/>
      <c r="C18" s="541"/>
      <c r="D18" s="402"/>
      <c r="E18" s="403"/>
      <c r="F18" s="542"/>
      <c r="G18" s="403"/>
    </row>
    <row r="19" spans="1:14" ht="14" x14ac:dyDescent="0.3">
      <c r="A19" s="612" t="s">
        <v>284</v>
      </c>
      <c r="B19" s="1310" t="s">
        <v>668</v>
      </c>
      <c r="C19" s="1310" t="s">
        <v>671</v>
      </c>
      <c r="D19" s="1310" t="s">
        <v>669</v>
      </c>
      <c r="E19" s="1310" t="s">
        <v>670</v>
      </c>
      <c r="F19" s="542"/>
      <c r="G19" s="403"/>
    </row>
    <row r="20" spans="1:14" ht="15" customHeight="1" x14ac:dyDescent="0.3">
      <c r="A20" s="406"/>
      <c r="B20" s="644"/>
      <c r="C20" s="543"/>
      <c r="D20" s="534"/>
      <c r="E20" s="403"/>
      <c r="F20" s="544"/>
      <c r="G20" s="403"/>
    </row>
    <row r="21" spans="1:14" ht="14" x14ac:dyDescent="0.3">
      <c r="A21" s="407" t="s">
        <v>89</v>
      </c>
      <c r="B21" s="1009">
        <v>4</v>
      </c>
      <c r="C21" s="545"/>
      <c r="D21" s="402"/>
      <c r="E21" s="403"/>
      <c r="F21" s="537"/>
      <c r="G21" s="403"/>
    </row>
    <row r="22" spans="1:14" s="1" customFormat="1" ht="14.5" thickBot="1" x14ac:dyDescent="0.35">
      <c r="A22" s="403" t="s">
        <v>99</v>
      </c>
      <c r="B22" s="1010">
        <v>16</v>
      </c>
      <c r="C22" s="403"/>
      <c r="D22" s="405"/>
      <c r="E22" s="405"/>
      <c r="F22" s="405"/>
      <c r="G22" s="405"/>
    </row>
    <row r="23" spans="1:14" s="1" customFormat="1" ht="14" x14ac:dyDescent="0.3">
      <c r="A23" s="408" t="s">
        <v>10</v>
      </c>
      <c r="B23" s="571">
        <f>B22-B21</f>
        <v>12</v>
      </c>
      <c r="C23" s="403"/>
      <c r="D23" s="543"/>
      <c r="E23" s="543"/>
      <c r="F23" s="543"/>
      <c r="G23" s="405"/>
    </row>
    <row r="24" spans="1:14" s="1" customFormat="1" ht="14" x14ac:dyDescent="0.3">
      <c r="A24" s="405"/>
      <c r="B24" s="405"/>
      <c r="C24" s="403"/>
      <c r="D24" s="543"/>
      <c r="E24" s="543"/>
      <c r="F24" s="543"/>
      <c r="G24" s="405"/>
    </row>
    <row r="25" spans="1:14" s="1" customFormat="1" ht="14" x14ac:dyDescent="0.3">
      <c r="A25" s="406" t="s">
        <v>15</v>
      </c>
      <c r="B25" s="405" t="s">
        <v>16</v>
      </c>
      <c r="C25" s="865">
        <f>Eingabeseite!D26</f>
        <v>18</v>
      </c>
      <c r="D25" s="405" t="s">
        <v>462</v>
      </c>
      <c r="E25" s="405"/>
      <c r="F25" s="405"/>
      <c r="G25" s="405"/>
    </row>
    <row r="26" spans="1:14" s="1" customFormat="1" ht="15" customHeight="1" x14ac:dyDescent="0.4">
      <c r="A26" s="406" t="s">
        <v>110</v>
      </c>
      <c r="B26" s="540" t="s">
        <v>467</v>
      </c>
      <c r="C26" s="867">
        <f>Eingabeseite!D20</f>
        <v>41.4</v>
      </c>
      <c r="D26" s="405"/>
      <c r="E26" s="540"/>
      <c r="F26" s="540"/>
      <c r="G26" s="405"/>
      <c r="M26" s="198"/>
    </row>
    <row r="27" spans="1:14" s="1" customFormat="1" ht="14" x14ac:dyDescent="0.3">
      <c r="A27" s="405"/>
      <c r="B27" s="540" t="s">
        <v>149</v>
      </c>
      <c r="C27" s="867">
        <f>Eingabeseite!D21</f>
        <v>24</v>
      </c>
      <c r="D27" s="1362" t="s">
        <v>416</v>
      </c>
      <c r="E27" s="1363"/>
      <c r="F27" s="866">
        <f>Eingabeseite!D23</f>
        <v>0.9</v>
      </c>
      <c r="G27" s="547"/>
      <c r="N27" s="19"/>
    </row>
    <row r="28" spans="1:14" s="1" customFormat="1" ht="14.5" thickBot="1" x14ac:dyDescent="0.35">
      <c r="A28" s="405"/>
      <c r="B28" s="405" t="s">
        <v>160</v>
      </c>
      <c r="C28" s="868">
        <f>Eingabeseite!D22</f>
        <v>21.5</v>
      </c>
      <c r="F28" s="866"/>
      <c r="G28" s="405"/>
      <c r="N28" s="19"/>
    </row>
    <row r="29" spans="1:14" s="1" customFormat="1" ht="14" x14ac:dyDescent="0.3">
      <c r="A29" s="405"/>
      <c r="B29" s="540" t="s">
        <v>469</v>
      </c>
      <c r="C29" s="546">
        <f>(F27*C28)+(((1-F27)/2)*C27)+ (((1-F27)/2)*C26)</f>
        <v>22.62</v>
      </c>
      <c r="D29" s="548"/>
      <c r="E29" s="543"/>
      <c r="F29" s="543"/>
      <c r="G29" s="405"/>
      <c r="N29" s="19"/>
    </row>
    <row r="30" spans="1:14" s="1" customFormat="1" ht="14" x14ac:dyDescent="0.3">
      <c r="A30" s="405"/>
      <c r="B30" s="540" t="s">
        <v>470</v>
      </c>
      <c r="C30" s="546">
        <f>AVERAGE(C26:C27)</f>
        <v>32.700000000000003</v>
      </c>
      <c r="D30" s="548"/>
      <c r="E30" s="543"/>
      <c r="F30" s="543"/>
      <c r="G30" s="405"/>
      <c r="N30" s="19"/>
    </row>
    <row r="31" spans="1:14" s="1" customFormat="1" ht="14" x14ac:dyDescent="0.3">
      <c r="A31" s="405"/>
      <c r="B31" s="540" t="s">
        <v>530</v>
      </c>
      <c r="C31" s="541">
        <f>AVERAGE(C27:C28)</f>
        <v>22.75</v>
      </c>
      <c r="D31" s="548"/>
      <c r="E31" s="543"/>
      <c r="F31" s="543"/>
      <c r="G31" s="405"/>
      <c r="N31" s="19"/>
    </row>
    <row r="32" spans="1:14" s="1" customFormat="1" ht="14" x14ac:dyDescent="0.3">
      <c r="A32" s="402" t="s">
        <v>395</v>
      </c>
      <c r="B32" s="405"/>
      <c r="C32" s="1011">
        <v>6000</v>
      </c>
      <c r="D32" s="405"/>
      <c r="E32" s="406" t="s">
        <v>528</v>
      </c>
      <c r="F32" s="405" t="s">
        <v>215</v>
      </c>
      <c r="G32" s="1270">
        <v>700</v>
      </c>
      <c r="H32" s="870"/>
      <c r="M32" s="25"/>
      <c r="N32" s="19"/>
    </row>
    <row r="33" spans="1:41" s="1" customFormat="1" ht="14" x14ac:dyDescent="0.3">
      <c r="A33" s="402" t="s">
        <v>396</v>
      </c>
      <c r="B33" s="405"/>
      <c r="C33" s="1012">
        <v>1100</v>
      </c>
      <c r="D33" s="405"/>
      <c r="E33" s="405"/>
      <c r="F33" s="405" t="s">
        <v>188</v>
      </c>
      <c r="G33" s="1015">
        <v>2.57</v>
      </c>
      <c r="M33"/>
      <c r="N33" s="19"/>
    </row>
    <row r="34" spans="1:41" s="1" customFormat="1" ht="14" x14ac:dyDescent="0.3">
      <c r="A34" s="402" t="s">
        <v>17</v>
      </c>
      <c r="B34" s="405"/>
      <c r="C34" s="869">
        <f>Eingabeseite!$D$36</f>
        <v>1.4999999999999999E-2</v>
      </c>
      <c r="D34" s="405"/>
      <c r="E34" s="405"/>
      <c r="F34" s="405" t="s">
        <v>551</v>
      </c>
      <c r="G34" s="1250">
        <f>Eingabeseite!D19</f>
        <v>0.65</v>
      </c>
      <c r="N34" s="19"/>
    </row>
    <row r="35" spans="1:41" ht="14" x14ac:dyDescent="0.3">
      <c r="A35" s="405" t="s">
        <v>222</v>
      </c>
      <c r="B35" s="540"/>
      <c r="C35" s="1013">
        <v>0.6</v>
      </c>
      <c r="D35" s="548"/>
      <c r="E35" s="548"/>
      <c r="F35" s="548"/>
      <c r="G35" s="540"/>
    </row>
    <row r="36" spans="1:41" ht="14" x14ac:dyDescent="0.3">
      <c r="A36" s="406" t="s">
        <v>204</v>
      </c>
      <c r="B36" s="540"/>
      <c r="C36" s="1014">
        <v>660</v>
      </c>
      <c r="D36" s="548"/>
      <c r="E36" s="548"/>
      <c r="F36" s="548"/>
      <c r="G36" s="540"/>
    </row>
    <row r="37" spans="1:41" ht="14" x14ac:dyDescent="0.3">
      <c r="A37" s="549"/>
      <c r="B37" s="540"/>
      <c r="C37" s="550"/>
      <c r="D37" s="548"/>
      <c r="E37" s="548"/>
      <c r="F37" s="548"/>
      <c r="G37" s="540"/>
    </row>
    <row r="38" spans="1:41" ht="24.75" customHeight="1" x14ac:dyDescent="0.5">
      <c r="A38" s="1075" t="s">
        <v>466</v>
      </c>
      <c r="B38" s="1076"/>
      <c r="C38" s="1077"/>
      <c r="D38" s="1078"/>
      <c r="E38" s="1079"/>
      <c r="F38" s="1080"/>
      <c r="G38" s="1081"/>
      <c r="H38" s="1081"/>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s="64" customFormat="1" ht="13" x14ac:dyDescent="0.3">
      <c r="A39" s="316" t="s">
        <v>44</v>
      </c>
      <c r="B39" s="113" t="str">
        <f>B19</f>
        <v>28+ mm</v>
      </c>
      <c r="C39" s="113" t="str">
        <f>C19</f>
        <v>24+ mm</v>
      </c>
      <c r="D39" s="113" t="str">
        <f>D19</f>
        <v xml:space="preserve"> 22+ mm</v>
      </c>
      <c r="E39" s="113" t="str">
        <f>E19</f>
        <v xml:space="preserve"> Abgang</v>
      </c>
      <c r="F39" s="113" t="s">
        <v>45</v>
      </c>
      <c r="G39" s="113" t="s">
        <v>46</v>
      </c>
      <c r="H39" s="212" t="s">
        <v>44</v>
      </c>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row>
    <row r="40" spans="1:41" ht="13" x14ac:dyDescent="0.3">
      <c r="A40" s="269">
        <v>1</v>
      </c>
      <c r="B40" s="63">
        <f>Eingabeseite!D8</f>
        <v>7.09</v>
      </c>
      <c r="C40" s="63">
        <f>Eingabeseite!D9</f>
        <v>5.59</v>
      </c>
      <c r="D40" s="63">
        <f>Eingabeseite!D10</f>
        <v>4</v>
      </c>
      <c r="E40" s="63">
        <f>Eingabeseite!D11</f>
        <v>0</v>
      </c>
      <c r="F40" s="189">
        <f>('Standard Vorgaben'!F41)*(1+Eingabeseite!C16)</f>
        <v>0</v>
      </c>
      <c r="G40" s="1341">
        <f>F40/$B$10</f>
        <v>0</v>
      </c>
      <c r="H40" s="161">
        <v>1</v>
      </c>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ht="13" x14ac:dyDescent="0.3">
      <c r="A41" s="269">
        <v>2</v>
      </c>
      <c r="B41" s="63">
        <f>B40</f>
        <v>7.09</v>
      </c>
      <c r="C41" s="63">
        <f>C40</f>
        <v>5.59</v>
      </c>
      <c r="D41" s="63">
        <f>D40</f>
        <v>4</v>
      </c>
      <c r="E41" s="63">
        <f>$E$40</f>
        <v>0</v>
      </c>
      <c r="F41" s="189">
        <f>('Standard Vorgaben'!F42)*(1+Eingabeseite!C16)</f>
        <v>0</v>
      </c>
      <c r="G41" s="1341">
        <f t="shared" ref="G41:G55" si="0">F41/$B$10</f>
        <v>0</v>
      </c>
      <c r="H41" s="161">
        <v>2</v>
      </c>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ht="13" x14ac:dyDescent="0.3">
      <c r="A42" s="269">
        <v>3</v>
      </c>
      <c r="B42" s="63">
        <f>B40</f>
        <v>7.09</v>
      </c>
      <c r="C42" s="63">
        <f>C40</f>
        <v>5.59</v>
      </c>
      <c r="D42" s="63">
        <f>D40</f>
        <v>4</v>
      </c>
      <c r="E42" s="63">
        <f t="shared" ref="E42:E55" si="1">$E$40</f>
        <v>0</v>
      </c>
      <c r="F42" s="189">
        <f>('Standard Vorgaben'!F43)*(1+Eingabeseite!C16)</f>
        <v>1029.1595197255576</v>
      </c>
      <c r="G42" s="1341">
        <f t="shared" si="0"/>
        <v>1.083325810237429</v>
      </c>
      <c r="H42" s="161">
        <v>3</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ht="13" x14ac:dyDescent="0.3">
      <c r="A43" s="269">
        <v>4</v>
      </c>
      <c r="B43" s="63">
        <f>B40</f>
        <v>7.09</v>
      </c>
      <c r="C43" s="63">
        <f>C40</f>
        <v>5.59</v>
      </c>
      <c r="D43" s="63">
        <f>D40</f>
        <v>4</v>
      </c>
      <c r="E43" s="63">
        <f t="shared" si="1"/>
        <v>0</v>
      </c>
      <c r="F43" s="189">
        <f>('Standard Vorgaben'!F44)*(1+Eingabeseite!C16)</f>
        <v>4116.6380789022305</v>
      </c>
      <c r="G43" s="1341">
        <f>F43/$B$10</f>
        <v>4.3333032409497161</v>
      </c>
      <c r="H43" s="161">
        <v>4</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ht="13" x14ac:dyDescent="0.3">
      <c r="A44" s="64">
        <v>5</v>
      </c>
      <c r="B44" s="63">
        <f>B40</f>
        <v>7.09</v>
      </c>
      <c r="C44" s="63">
        <f>C40</f>
        <v>5.59</v>
      </c>
      <c r="D44" s="63">
        <f>D40</f>
        <v>4</v>
      </c>
      <c r="E44" s="63">
        <f t="shared" si="1"/>
        <v>0</v>
      </c>
      <c r="F44" s="189">
        <f>('Standard Vorgaben'!F45)*(1+Eingabeseite!C16)</f>
        <v>9241.8524871355057</v>
      </c>
      <c r="G44" s="1341">
        <f t="shared" si="0"/>
        <v>9.7282657759321118</v>
      </c>
      <c r="H44" s="161">
        <v>5</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ht="13" x14ac:dyDescent="0.3">
      <c r="A45" s="64">
        <v>6</v>
      </c>
      <c r="B45" s="63">
        <f>B40</f>
        <v>7.09</v>
      </c>
      <c r="C45" s="63">
        <f>C40</f>
        <v>5.59</v>
      </c>
      <c r="D45" s="63">
        <f>D40</f>
        <v>4</v>
      </c>
      <c r="E45" s="63">
        <f t="shared" si="1"/>
        <v>0</v>
      </c>
      <c r="F45" s="189">
        <f>('Standard Vorgaben'!F46)*(1+Eingabeseite!C16)</f>
        <v>11938.250428816467</v>
      </c>
      <c r="G45" s="1341">
        <f t="shared" si="0"/>
        <v>12.566579398754175</v>
      </c>
      <c r="H45" s="161">
        <v>6</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ht="13" x14ac:dyDescent="0.3">
      <c r="A46" s="64">
        <v>7</v>
      </c>
      <c r="B46" s="63">
        <f>B40</f>
        <v>7.09</v>
      </c>
      <c r="C46" s="63">
        <f>C40</f>
        <v>5.59</v>
      </c>
      <c r="D46" s="63">
        <f>D40</f>
        <v>4</v>
      </c>
      <c r="E46" s="63">
        <f t="shared" si="1"/>
        <v>0</v>
      </c>
      <c r="F46" s="189">
        <f>('Standard Vorgaben'!F47)*(1+Eingabeseite!C16)</f>
        <v>14408.233276157805</v>
      </c>
      <c r="G46" s="1341">
        <f t="shared" si="0"/>
        <v>15.166561343324005</v>
      </c>
      <c r="H46" s="161">
        <v>7</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ht="13" x14ac:dyDescent="0.3">
      <c r="A47" s="64">
        <v>8</v>
      </c>
      <c r="B47" s="63">
        <f>B40</f>
        <v>7.09</v>
      </c>
      <c r="C47" s="63">
        <f>C40</f>
        <v>5.59</v>
      </c>
      <c r="D47" s="63">
        <f>D40</f>
        <v>4</v>
      </c>
      <c r="E47" s="63">
        <f t="shared" si="1"/>
        <v>0</v>
      </c>
      <c r="F47" s="189">
        <f>('Standard Vorgaben'!F48)*(1+Eingabeseite!C16)</f>
        <v>14408.233276157805</v>
      </c>
      <c r="G47" s="1341">
        <f t="shared" si="0"/>
        <v>15.166561343324005</v>
      </c>
      <c r="H47" s="161">
        <v>8</v>
      </c>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ht="13" x14ac:dyDescent="0.3">
      <c r="A48" s="64">
        <v>9</v>
      </c>
      <c r="B48" s="63">
        <f>B40</f>
        <v>7.09</v>
      </c>
      <c r="C48" s="63">
        <f>C40</f>
        <v>5.59</v>
      </c>
      <c r="D48" s="63">
        <f>D40</f>
        <v>4</v>
      </c>
      <c r="E48" s="63">
        <f t="shared" si="1"/>
        <v>0</v>
      </c>
      <c r="F48" s="189">
        <f>('Standard Vorgaben'!F49)*(1+Eingabeseite!C16)</f>
        <v>14408.233276157805</v>
      </c>
      <c r="G48" s="1341">
        <f t="shared" si="0"/>
        <v>15.166561343324005</v>
      </c>
      <c r="H48" s="161">
        <v>9</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ht="13" x14ac:dyDescent="0.3">
      <c r="A49" s="64">
        <v>10</v>
      </c>
      <c r="B49" s="63">
        <f>B40</f>
        <v>7.09</v>
      </c>
      <c r="C49" s="63">
        <f>C40</f>
        <v>5.59</v>
      </c>
      <c r="D49" s="63">
        <f>D40</f>
        <v>4</v>
      </c>
      <c r="E49" s="63">
        <f t="shared" si="1"/>
        <v>0</v>
      </c>
      <c r="F49" s="189">
        <f>('Standard Vorgaben'!F50)*(1+Eingabeseite!C16)</f>
        <v>14408.233276157805</v>
      </c>
      <c r="G49" s="1341">
        <f t="shared" si="0"/>
        <v>15.166561343324005</v>
      </c>
      <c r="H49" s="161">
        <v>10</v>
      </c>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ht="13" x14ac:dyDescent="0.3">
      <c r="A50" s="64">
        <v>11</v>
      </c>
      <c r="B50" s="63">
        <f>B40</f>
        <v>7.09</v>
      </c>
      <c r="C50" s="63">
        <f>C40</f>
        <v>5.59</v>
      </c>
      <c r="D50" s="63">
        <f>D40</f>
        <v>4</v>
      </c>
      <c r="E50" s="63">
        <f t="shared" si="1"/>
        <v>0</v>
      </c>
      <c r="F50" s="189">
        <f>('Standard Vorgaben'!F51)*(1+Eingabeseite!C16)</f>
        <v>13379.073756432248</v>
      </c>
      <c r="G50" s="1341">
        <f t="shared" si="0"/>
        <v>14.083235533086578</v>
      </c>
      <c r="H50" s="161">
        <v>11</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ht="13" x14ac:dyDescent="0.3">
      <c r="A51" s="64">
        <v>12</v>
      </c>
      <c r="B51" s="63">
        <f>B40</f>
        <v>7.09</v>
      </c>
      <c r="C51" s="63">
        <f>C40</f>
        <v>5.59</v>
      </c>
      <c r="D51" s="63">
        <f>D40</f>
        <v>4</v>
      </c>
      <c r="E51" s="63">
        <f t="shared" si="1"/>
        <v>0</v>
      </c>
      <c r="F51" s="189">
        <f>('Standard Vorgaben'!F52)*(1+Eingabeseite!C16)</f>
        <v>13379.073756432248</v>
      </c>
      <c r="G51" s="1341">
        <f t="shared" si="0"/>
        <v>14.083235533086578</v>
      </c>
      <c r="H51" s="161">
        <v>12</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ht="13" x14ac:dyDescent="0.3">
      <c r="A52" s="64">
        <v>13</v>
      </c>
      <c r="B52" s="63">
        <f>B40</f>
        <v>7.09</v>
      </c>
      <c r="C52" s="63">
        <f>C40</f>
        <v>5.59</v>
      </c>
      <c r="D52" s="63">
        <f>D40</f>
        <v>4</v>
      </c>
      <c r="E52" s="63">
        <f t="shared" si="1"/>
        <v>0</v>
      </c>
      <c r="F52" s="189">
        <f>('Standard Vorgaben'!F53)*(1+Eingabeseite!C16)</f>
        <v>13379.073756432248</v>
      </c>
      <c r="G52" s="1341">
        <f>F52/$B$10</f>
        <v>14.083235533086578</v>
      </c>
      <c r="H52" s="161">
        <v>13</v>
      </c>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ht="13" x14ac:dyDescent="0.3">
      <c r="A53" s="64">
        <v>14</v>
      </c>
      <c r="B53" s="63">
        <f>B40</f>
        <v>7.09</v>
      </c>
      <c r="C53" s="63">
        <f>C40</f>
        <v>5.59</v>
      </c>
      <c r="D53" s="63">
        <f>D40</f>
        <v>4</v>
      </c>
      <c r="E53" s="63">
        <f t="shared" si="1"/>
        <v>0</v>
      </c>
      <c r="F53" s="189">
        <f>('Standard Vorgaben'!F54)*(1+Eingabeseite!C16)</f>
        <v>13379.073756432248</v>
      </c>
      <c r="G53" s="1341">
        <f t="shared" si="0"/>
        <v>14.083235533086578</v>
      </c>
      <c r="H53" s="161">
        <v>14</v>
      </c>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ht="13" x14ac:dyDescent="0.3">
      <c r="A54" s="64">
        <v>15</v>
      </c>
      <c r="B54" s="63">
        <f>B40</f>
        <v>7.09</v>
      </c>
      <c r="C54" s="63">
        <f>C40</f>
        <v>5.59</v>
      </c>
      <c r="D54" s="63">
        <f>D40</f>
        <v>4</v>
      </c>
      <c r="E54" s="63">
        <f t="shared" si="1"/>
        <v>0</v>
      </c>
      <c r="F54" s="189">
        <f>('Standard Vorgaben'!F55)*(1+Eingabeseite!C16)</f>
        <v>12349.914236706692</v>
      </c>
      <c r="G54" s="1341">
        <f t="shared" si="0"/>
        <v>12.99990972284915</v>
      </c>
      <c r="H54" s="161">
        <v>15</v>
      </c>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ht="13" x14ac:dyDescent="0.3">
      <c r="A55" s="64">
        <v>16</v>
      </c>
      <c r="B55" s="63">
        <f>B40</f>
        <v>7.09</v>
      </c>
      <c r="C55" s="63">
        <f>C40</f>
        <v>5.59</v>
      </c>
      <c r="D55" s="63">
        <f>D40</f>
        <v>4</v>
      </c>
      <c r="E55" s="63">
        <f t="shared" si="1"/>
        <v>0</v>
      </c>
      <c r="F55" s="189">
        <f>('Standard Vorgaben'!F56)*(1+Eingabeseite!C16)</f>
        <v>11320.754716981133</v>
      </c>
      <c r="G55" s="1341">
        <f t="shared" si="0"/>
        <v>11.916583912611719</v>
      </c>
      <c r="H55" s="161">
        <v>16</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ht="13" x14ac:dyDescent="0.3">
      <c r="A56" s="71" t="s">
        <v>189</v>
      </c>
      <c r="B56" s="12"/>
      <c r="C56"/>
      <c r="D56"/>
      <c r="F56" s="98">
        <f>SUM(F40:F43)</f>
        <v>5145.7975986277879</v>
      </c>
      <c r="G56" s="715">
        <f>F56/'Var Erstellung'!$B$2</f>
        <v>5.4166290511871455</v>
      </c>
      <c r="H56" s="714"/>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ht="13" x14ac:dyDescent="0.3">
      <c r="A57" s="71" t="s">
        <v>190</v>
      </c>
      <c r="B57" s="645"/>
      <c r="C57" s="1"/>
      <c r="D57" s="1"/>
      <c r="F57" s="98">
        <f>SUM(F40:F55)</f>
        <v>161145.7975986278</v>
      </c>
      <c r="G57" s="715">
        <f>F57/'Var Erstellung'!$B$2</f>
        <v>169.62715536697664</v>
      </c>
      <c r="H57" s="714"/>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ht="13" x14ac:dyDescent="0.3">
      <c r="A58" s="71" t="s">
        <v>191</v>
      </c>
      <c r="B58" s="572">
        <f>AVERAGE(B44:B55)</f>
        <v>7.0900000000000025</v>
      </c>
      <c r="C58" s="572">
        <f>AVERAGE(C44:C55)</f>
        <v>5.5900000000000007</v>
      </c>
      <c r="D58" s="572">
        <f>AVERAGE(D44:D55)</f>
        <v>4</v>
      </c>
      <c r="F58" s="98">
        <f>AVERAGE(F44:F55)</f>
        <v>13000</v>
      </c>
      <c r="G58" s="715">
        <f>F58/'Var Erstellung'!$B$2</f>
        <v>13.684210526315789</v>
      </c>
      <c r="H58" s="714"/>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ht="13" x14ac:dyDescent="0.3">
      <c r="A59" s="71" t="s">
        <v>192</v>
      </c>
      <c r="B59" s="572">
        <f>AVERAGE(B40:B55)</f>
        <v>7.0900000000000025</v>
      </c>
      <c r="C59" s="572">
        <f>AVERAGE(C40:C55)</f>
        <v>5.5900000000000016</v>
      </c>
      <c r="D59" s="572">
        <f>AVERAGE(D40:D55)</f>
        <v>4</v>
      </c>
      <c r="F59" s="98">
        <f>AVERAGE(F40:F55)</f>
        <v>10071.612349914238</v>
      </c>
      <c r="G59" s="715">
        <f>F59/'Var Erstellung'!$B$2</f>
        <v>10.60169721043604</v>
      </c>
      <c r="H59" s="714"/>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1" customFormat="1" ht="13" x14ac:dyDescent="0.3">
      <c r="B60" s="110"/>
      <c r="C60" s="110"/>
      <c r="D60" s="110"/>
      <c r="E60" s="98"/>
      <c r="F60" s="111"/>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row>
    <row r="61" spans="1:41" ht="26.25" customHeight="1" x14ac:dyDescent="0.5">
      <c r="A61" s="1075" t="s">
        <v>187</v>
      </c>
      <c r="B61" s="1076"/>
      <c r="C61" s="1077"/>
      <c r="D61" s="1078"/>
      <c r="E61" s="1079"/>
      <c r="F61" s="1082"/>
      <c r="G61" s="1364"/>
      <c r="H61" s="1365"/>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ht="13" x14ac:dyDescent="0.3">
      <c r="A62" s="316" t="s">
        <v>44</v>
      </c>
      <c r="B62" s="128" t="str">
        <f>B19</f>
        <v>28+ mm</v>
      </c>
      <c r="C62" s="128" t="str">
        <f>C19</f>
        <v>24+ mm</v>
      </c>
      <c r="D62" s="128" t="str">
        <f>D19</f>
        <v xml:space="preserve"> 22+ mm</v>
      </c>
      <c r="E62" s="128" t="str">
        <f>E19</f>
        <v xml:space="preserve"> Abgang</v>
      </c>
      <c r="F62" s="399" t="s">
        <v>47</v>
      </c>
      <c r="G62" s="798" t="s">
        <v>44</v>
      </c>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ht="13" x14ac:dyDescent="0.3">
      <c r="A63" s="278"/>
      <c r="B63" s="113" t="s">
        <v>67</v>
      </c>
      <c r="C63" s="114" t="s">
        <v>67</v>
      </c>
      <c r="D63" s="114" t="s">
        <v>67</v>
      </c>
      <c r="E63" s="114" t="s">
        <v>67</v>
      </c>
      <c r="F63" s="122" t="s">
        <v>75</v>
      </c>
      <c r="G63" s="271"/>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ht="13" x14ac:dyDescent="0.3">
      <c r="A64" s="270">
        <v>1</v>
      </c>
      <c r="B64" s="131">
        <f>Eingabeseite!D12</f>
        <v>0.45</v>
      </c>
      <c r="C64" s="131">
        <f>Eingabeseite!D13</f>
        <v>0.48</v>
      </c>
      <c r="D64" s="131">
        <f>Eingabeseite!D14</f>
        <v>0</v>
      </c>
      <c r="E64" s="131">
        <f>Eingabeseite!D15</f>
        <v>7.0000000000000007E-2</v>
      </c>
      <c r="F64" s="742">
        <f>Eingabeseite!D18</f>
        <v>12</v>
      </c>
      <c r="G64" s="161">
        <v>1</v>
      </c>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ht="13" x14ac:dyDescent="0.3">
      <c r="A65" s="270">
        <v>2</v>
      </c>
      <c r="B65" s="131">
        <f>B64</f>
        <v>0.45</v>
      </c>
      <c r="C65" s="131">
        <f>C64</f>
        <v>0.48</v>
      </c>
      <c r="D65" s="131">
        <f>D64</f>
        <v>0</v>
      </c>
      <c r="E65" s="131">
        <f>$E$64</f>
        <v>7.0000000000000007E-2</v>
      </c>
      <c r="F65" s="742">
        <f>F64</f>
        <v>12</v>
      </c>
      <c r="G65" s="161">
        <v>2</v>
      </c>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ht="13" x14ac:dyDescent="0.3">
      <c r="A66" s="270">
        <v>3</v>
      </c>
      <c r="B66" s="131">
        <f>B64</f>
        <v>0.45</v>
      </c>
      <c r="C66" s="131">
        <f>C64</f>
        <v>0.48</v>
      </c>
      <c r="D66" s="131">
        <f>D64</f>
        <v>0</v>
      </c>
      <c r="E66" s="131">
        <f t="shared" ref="E66:E79" si="2">$E$64</f>
        <v>7.0000000000000007E-2</v>
      </c>
      <c r="F66" s="742">
        <f>F64</f>
        <v>12</v>
      </c>
      <c r="G66" s="161">
        <v>3</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ht="13" x14ac:dyDescent="0.3">
      <c r="A67" s="270">
        <v>4</v>
      </c>
      <c r="B67" s="131">
        <f>B64</f>
        <v>0.45</v>
      </c>
      <c r="C67" s="131">
        <f>C64</f>
        <v>0.48</v>
      </c>
      <c r="D67" s="131">
        <f>D64</f>
        <v>0</v>
      </c>
      <c r="E67" s="131">
        <f t="shared" si="2"/>
        <v>7.0000000000000007E-2</v>
      </c>
      <c r="F67" s="742">
        <f>F64</f>
        <v>12</v>
      </c>
      <c r="G67" s="161">
        <v>4</v>
      </c>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ht="13" x14ac:dyDescent="0.3">
      <c r="A68" s="64">
        <v>5</v>
      </c>
      <c r="B68" s="131">
        <f>B64</f>
        <v>0.45</v>
      </c>
      <c r="C68" s="131">
        <f>C64</f>
        <v>0.48</v>
      </c>
      <c r="D68" s="131">
        <f>D64</f>
        <v>0</v>
      </c>
      <c r="E68" s="131">
        <f t="shared" si="2"/>
        <v>7.0000000000000007E-2</v>
      </c>
      <c r="F68" s="742">
        <f>F64</f>
        <v>12</v>
      </c>
      <c r="G68" s="161">
        <v>5</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ht="13" x14ac:dyDescent="0.3">
      <c r="A69" s="64">
        <v>6</v>
      </c>
      <c r="B69" s="131">
        <f>B64</f>
        <v>0.45</v>
      </c>
      <c r="C69" s="131">
        <f>C64</f>
        <v>0.48</v>
      </c>
      <c r="D69" s="131">
        <f>D64</f>
        <v>0</v>
      </c>
      <c r="E69" s="131">
        <f t="shared" si="2"/>
        <v>7.0000000000000007E-2</v>
      </c>
      <c r="F69" s="742">
        <f>F64</f>
        <v>12</v>
      </c>
      <c r="G69" s="161">
        <v>6</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ht="13" x14ac:dyDescent="0.3">
      <c r="A70" s="64">
        <v>7</v>
      </c>
      <c r="B70" s="131">
        <f>B64</f>
        <v>0.45</v>
      </c>
      <c r="C70" s="131">
        <f>C64</f>
        <v>0.48</v>
      </c>
      <c r="D70" s="131">
        <f>D64</f>
        <v>0</v>
      </c>
      <c r="E70" s="131">
        <f t="shared" si="2"/>
        <v>7.0000000000000007E-2</v>
      </c>
      <c r="F70" s="742">
        <f>F64</f>
        <v>12</v>
      </c>
      <c r="G70" s="161">
        <v>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ht="13" x14ac:dyDescent="0.3">
      <c r="A71" s="64">
        <v>8</v>
      </c>
      <c r="B71" s="131">
        <f>B64</f>
        <v>0.45</v>
      </c>
      <c r="C71" s="131">
        <f>C64</f>
        <v>0.48</v>
      </c>
      <c r="D71" s="131">
        <f>D64</f>
        <v>0</v>
      </c>
      <c r="E71" s="131">
        <f t="shared" si="2"/>
        <v>7.0000000000000007E-2</v>
      </c>
      <c r="F71" s="742">
        <f>F64</f>
        <v>12</v>
      </c>
      <c r="G71" s="161">
        <v>8</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ht="13" x14ac:dyDescent="0.3">
      <c r="A72" s="64">
        <v>9</v>
      </c>
      <c r="B72" s="131">
        <f>B64</f>
        <v>0.45</v>
      </c>
      <c r="C72" s="131">
        <f>C64</f>
        <v>0.48</v>
      </c>
      <c r="D72" s="131">
        <f>D64</f>
        <v>0</v>
      </c>
      <c r="E72" s="131">
        <f t="shared" si="2"/>
        <v>7.0000000000000007E-2</v>
      </c>
      <c r="F72" s="742">
        <f>F64</f>
        <v>12</v>
      </c>
      <c r="G72" s="161">
        <v>9</v>
      </c>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ht="13" x14ac:dyDescent="0.3">
      <c r="A73" s="64">
        <v>10</v>
      </c>
      <c r="B73" s="131">
        <f>B64</f>
        <v>0.45</v>
      </c>
      <c r="C73" s="131">
        <f>C64</f>
        <v>0.48</v>
      </c>
      <c r="D73" s="131">
        <f>D64</f>
        <v>0</v>
      </c>
      <c r="E73" s="131">
        <f t="shared" si="2"/>
        <v>7.0000000000000007E-2</v>
      </c>
      <c r="F73" s="742">
        <f>F64</f>
        <v>12</v>
      </c>
      <c r="G73" s="161">
        <v>10</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ht="13" x14ac:dyDescent="0.3">
      <c r="A74" s="64">
        <v>11</v>
      </c>
      <c r="B74" s="131">
        <f>B64</f>
        <v>0.45</v>
      </c>
      <c r="C74" s="131">
        <f>C64</f>
        <v>0.48</v>
      </c>
      <c r="D74" s="131">
        <f>D64</f>
        <v>0</v>
      </c>
      <c r="E74" s="131">
        <f t="shared" si="2"/>
        <v>7.0000000000000007E-2</v>
      </c>
      <c r="F74" s="742">
        <f>F64</f>
        <v>12</v>
      </c>
      <c r="G74" s="161">
        <v>11</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ht="13" x14ac:dyDescent="0.3">
      <c r="A75" s="64">
        <v>12</v>
      </c>
      <c r="B75" s="131">
        <f>B64</f>
        <v>0.45</v>
      </c>
      <c r="C75" s="131">
        <f>C64</f>
        <v>0.48</v>
      </c>
      <c r="D75" s="131">
        <f>D64</f>
        <v>0</v>
      </c>
      <c r="E75" s="131">
        <f t="shared" si="2"/>
        <v>7.0000000000000007E-2</v>
      </c>
      <c r="F75" s="742">
        <f>F64</f>
        <v>12</v>
      </c>
      <c r="G75" s="161">
        <v>12</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ht="13" x14ac:dyDescent="0.3">
      <c r="A76" s="64">
        <v>13</v>
      </c>
      <c r="B76" s="131">
        <f>B64</f>
        <v>0.45</v>
      </c>
      <c r="C76" s="131">
        <f>C64</f>
        <v>0.48</v>
      </c>
      <c r="D76" s="131">
        <f>D64</f>
        <v>0</v>
      </c>
      <c r="E76" s="131">
        <f t="shared" si="2"/>
        <v>7.0000000000000007E-2</v>
      </c>
      <c r="F76" s="742">
        <f>F64</f>
        <v>12</v>
      </c>
      <c r="G76" s="161">
        <v>13</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ht="13" x14ac:dyDescent="0.3">
      <c r="A77" s="64">
        <v>14</v>
      </c>
      <c r="B77" s="131">
        <f>B64</f>
        <v>0.45</v>
      </c>
      <c r="C77" s="131">
        <f>C64</f>
        <v>0.48</v>
      </c>
      <c r="D77" s="131">
        <f>D64</f>
        <v>0</v>
      </c>
      <c r="E77" s="131">
        <f t="shared" si="2"/>
        <v>7.0000000000000007E-2</v>
      </c>
      <c r="F77" s="742">
        <f>F64</f>
        <v>12</v>
      </c>
      <c r="G77" s="161">
        <v>14</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ht="13" x14ac:dyDescent="0.3">
      <c r="A78" s="64">
        <v>15</v>
      </c>
      <c r="B78" s="131">
        <f>B64</f>
        <v>0.45</v>
      </c>
      <c r="C78" s="131">
        <f>C64</f>
        <v>0.48</v>
      </c>
      <c r="D78" s="131">
        <f>D64</f>
        <v>0</v>
      </c>
      <c r="E78" s="131">
        <f t="shared" si="2"/>
        <v>7.0000000000000007E-2</v>
      </c>
      <c r="F78" s="742">
        <f>F64</f>
        <v>12</v>
      </c>
      <c r="G78" s="161">
        <v>15</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ht="13" x14ac:dyDescent="0.3">
      <c r="A79" s="64">
        <v>16</v>
      </c>
      <c r="B79" s="131">
        <f>B64</f>
        <v>0.45</v>
      </c>
      <c r="C79" s="131">
        <f>C64</f>
        <v>0.48</v>
      </c>
      <c r="D79" s="131">
        <f>D64</f>
        <v>0</v>
      </c>
      <c r="E79" s="131">
        <f t="shared" si="2"/>
        <v>7.0000000000000007E-2</v>
      </c>
      <c r="F79" s="742">
        <f>F64</f>
        <v>12</v>
      </c>
      <c r="G79" s="161">
        <v>16</v>
      </c>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ht="13" x14ac:dyDescent="0.3">
      <c r="A80" s="71" t="s">
        <v>191</v>
      </c>
      <c r="B80" s="129">
        <f>AVERAGE(B68:B79)</f>
        <v>0.45000000000000012</v>
      </c>
      <c r="C80" s="129">
        <f>AVERAGE(C68:C79)</f>
        <v>0.48000000000000015</v>
      </c>
      <c r="D80" s="129">
        <f>AVERAGE(D68:D79)</f>
        <v>0</v>
      </c>
      <c r="E80" s="129">
        <f>AVERAGE(E68:E79)</f>
        <v>7.0000000000000021E-2</v>
      </c>
      <c r="F80" s="573">
        <f>AVERAGE(F68:F79)</f>
        <v>12</v>
      </c>
      <c r="G80" s="9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ht="13" x14ac:dyDescent="0.3">
      <c r="A81" s="71" t="s">
        <v>192</v>
      </c>
      <c r="B81" s="129">
        <f>AVERAGE(B64:B79)</f>
        <v>0.45000000000000012</v>
      </c>
      <c r="C81" s="129">
        <f>AVERAGE(C64:C79)</f>
        <v>0.4800000000000002</v>
      </c>
      <c r="D81" s="129">
        <f>AVERAGE(D64:D79)</f>
        <v>0</v>
      </c>
      <c r="E81" s="129">
        <f>AVERAGE(E64:E79)</f>
        <v>7.0000000000000034E-2</v>
      </c>
      <c r="F81" s="573">
        <f>AVERAGE(F64:F79)</f>
        <v>12</v>
      </c>
      <c r="G81" s="111"/>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s="1" customFormat="1" ht="12.75" customHeight="1" x14ac:dyDescent="0.35">
      <c r="B82" s="110"/>
      <c r="C82" s="110"/>
      <c r="D82" s="110"/>
      <c r="E82" s="98"/>
      <c r="F82" s="111"/>
      <c r="I82" s="125"/>
      <c r="J82" s="25"/>
      <c r="K82" s="205"/>
      <c r="L82" s="165"/>
      <c r="M82" s="25"/>
      <c r="N82" s="25"/>
    </row>
    <row r="83" spans="1:41" s="1" customFormat="1" ht="25" x14ac:dyDescent="0.5">
      <c r="A83" s="1067" t="s">
        <v>389</v>
      </c>
      <c r="B83" s="1083"/>
      <c r="C83" s="1083"/>
      <c r="D83" s="1083"/>
      <c r="E83" s="1084"/>
      <c r="F83" s="1085"/>
      <c r="G83" s="1081"/>
      <c r="H83" s="1081"/>
      <c r="I83" s="125"/>
      <c r="J83" s="25"/>
      <c r="K83" s="205"/>
      <c r="L83" s="165"/>
      <c r="M83" s="25"/>
      <c r="N83" s="25"/>
    </row>
    <row r="84" spans="1:41" s="1" customFormat="1" ht="29.25" customHeight="1" x14ac:dyDescent="0.35">
      <c r="B84" s="224" t="s">
        <v>169</v>
      </c>
      <c r="C84" s="224" t="s">
        <v>170</v>
      </c>
      <c r="D84" s="646" t="s">
        <v>417</v>
      </c>
      <c r="E84" s="225" t="s">
        <v>171</v>
      </c>
      <c r="F84" s="226" t="s">
        <v>173</v>
      </c>
      <c r="G84" s="100" t="s">
        <v>174</v>
      </c>
      <c r="I84" s="125"/>
      <c r="J84" s="25"/>
      <c r="K84" s="205"/>
      <c r="L84" s="165"/>
      <c r="M84" s="25"/>
      <c r="N84" s="25"/>
    </row>
    <row r="85" spans="1:41" s="1" customFormat="1" ht="13.5" customHeight="1" thickBot="1" x14ac:dyDescent="0.4">
      <c r="B85" s="227" t="s">
        <v>172</v>
      </c>
      <c r="C85" s="227" t="s">
        <v>172</v>
      </c>
      <c r="D85" s="227" t="s">
        <v>172</v>
      </c>
      <c r="E85" s="227" t="s">
        <v>172</v>
      </c>
      <c r="F85" s="227" t="s">
        <v>172</v>
      </c>
      <c r="G85" s="227" t="s">
        <v>172</v>
      </c>
      <c r="I85" s="125"/>
      <c r="J85" s="25"/>
      <c r="K85" s="205"/>
      <c r="L85" s="165"/>
      <c r="M85" s="25"/>
      <c r="N85" s="25"/>
    </row>
    <row r="86" spans="1:41" s="1" customFormat="1" ht="12.25" customHeight="1" x14ac:dyDescent="0.35">
      <c r="A86" s="107" t="s">
        <v>105</v>
      </c>
      <c r="B86" s="1047">
        <v>10</v>
      </c>
      <c r="C86" s="1047">
        <v>10</v>
      </c>
      <c r="D86" s="1047">
        <v>100</v>
      </c>
      <c r="E86" s="1047">
        <v>0</v>
      </c>
      <c r="F86" s="1048">
        <v>30</v>
      </c>
      <c r="G86" s="1049">
        <v>20</v>
      </c>
      <c r="I86" s="125"/>
      <c r="J86" s="25"/>
      <c r="K86" s="205"/>
      <c r="L86" s="165"/>
      <c r="M86" s="25"/>
      <c r="N86" s="25"/>
    </row>
    <row r="87" spans="1:41" s="1" customFormat="1" ht="12.75" customHeight="1" x14ac:dyDescent="0.35">
      <c r="A87" s="1" t="s">
        <v>135</v>
      </c>
      <c r="B87" s="1050">
        <v>10</v>
      </c>
      <c r="C87" s="1050">
        <v>10</v>
      </c>
      <c r="D87" s="1050">
        <v>60</v>
      </c>
      <c r="E87" s="1050">
        <v>0</v>
      </c>
      <c r="F87" s="1048">
        <v>10</v>
      </c>
      <c r="G87" s="1049">
        <v>20</v>
      </c>
      <c r="I87" s="125"/>
      <c r="J87" s="25"/>
      <c r="K87" s="205"/>
      <c r="L87" s="165"/>
      <c r="M87" s="25"/>
      <c r="N87" s="25"/>
    </row>
    <row r="88" spans="1:41" s="1" customFormat="1" ht="12.75" customHeight="1" x14ac:dyDescent="0.35">
      <c r="A88" s="1" t="s">
        <v>175</v>
      </c>
      <c r="B88" s="1050">
        <v>10</v>
      </c>
      <c r="C88" s="1050">
        <v>10</v>
      </c>
      <c r="D88" s="1050">
        <v>60</v>
      </c>
      <c r="E88" s="1050">
        <v>0</v>
      </c>
      <c r="F88" s="1048">
        <v>10</v>
      </c>
      <c r="G88" s="1049">
        <v>20</v>
      </c>
      <c r="I88" s="125"/>
      <c r="J88" s="25"/>
      <c r="K88" s="205"/>
      <c r="L88" s="165"/>
      <c r="M88" s="25"/>
      <c r="N88" s="25"/>
    </row>
    <row r="89" spans="1:41" s="1" customFormat="1" ht="12.25" customHeight="1" x14ac:dyDescent="0.35">
      <c r="A89" s="1" t="s">
        <v>242</v>
      </c>
      <c r="B89" s="223" t="s">
        <v>176</v>
      </c>
      <c r="C89" s="223"/>
      <c r="D89" s="223"/>
      <c r="E89" s="223"/>
      <c r="F89" s="111"/>
      <c r="I89" s="125"/>
      <c r="J89" s="25"/>
      <c r="K89" s="205"/>
      <c r="L89" s="165"/>
      <c r="M89" s="25"/>
      <c r="N89" s="25"/>
    </row>
    <row r="90" spans="1:41" s="1" customFormat="1" ht="12.75" customHeight="1" x14ac:dyDescent="0.35">
      <c r="B90" s="223"/>
      <c r="C90" s="223"/>
      <c r="D90" s="223"/>
      <c r="E90" s="223"/>
      <c r="F90" s="111"/>
      <c r="I90" s="125"/>
      <c r="J90" s="25"/>
      <c r="K90" s="205"/>
      <c r="L90" s="165"/>
      <c r="M90" s="25"/>
      <c r="N90" s="25"/>
    </row>
    <row r="91" spans="1:41" s="1" customFormat="1" ht="31.5" customHeight="1" x14ac:dyDescent="0.5">
      <c r="A91" s="1086" t="s">
        <v>463</v>
      </c>
      <c r="B91" s="1087"/>
      <c r="C91" s="1088"/>
      <c r="D91" s="1088"/>
      <c r="E91" s="1089"/>
      <c r="F91" s="1090"/>
      <c r="G91" s="1091"/>
      <c r="H91" s="1091"/>
    </row>
    <row r="92" spans="1:41" ht="12" customHeight="1" x14ac:dyDescent="0.25">
      <c r="K92" s="1"/>
      <c r="M92" s="25"/>
      <c r="N92" s="104"/>
    </row>
    <row r="93" spans="1:41" s="1" customFormat="1" ht="25" x14ac:dyDescent="0.5">
      <c r="A93" s="1092" t="s">
        <v>134</v>
      </c>
      <c r="B93" s="1093"/>
      <c r="C93" s="1094"/>
      <c r="D93" s="1074"/>
      <c r="E93" s="1095"/>
      <c r="F93" s="1096"/>
      <c r="G93" s="1096"/>
      <c r="H93" s="1074"/>
      <c r="M93" s="25"/>
      <c r="N93" s="19"/>
    </row>
    <row r="94" spans="1:41" ht="20.25" customHeight="1" x14ac:dyDescent="0.25">
      <c r="A94" s="1"/>
      <c r="B94" s="374" t="s">
        <v>69</v>
      </c>
      <c r="C94" s="933" t="s">
        <v>636</v>
      </c>
      <c r="D94" s="70" t="s">
        <v>521</v>
      </c>
      <c r="E94" s="374" t="s">
        <v>193</v>
      </c>
      <c r="F94" s="374" t="s">
        <v>194</v>
      </c>
      <c r="I94" s="25"/>
      <c r="J94" s="25"/>
      <c r="K94" s="25"/>
      <c r="L94" s="25"/>
      <c r="M94" s="25"/>
      <c r="N94" s="19"/>
    </row>
    <row r="95" spans="1:41" ht="13" x14ac:dyDescent="0.3">
      <c r="A95" s="397" t="s">
        <v>65</v>
      </c>
      <c r="B95" s="1061">
        <v>0.9</v>
      </c>
      <c r="C95" s="1051">
        <v>1.05</v>
      </c>
      <c r="D95" s="1051">
        <v>0.02</v>
      </c>
      <c r="E95" s="976"/>
      <c r="I95" s="200"/>
      <c r="J95" s="55"/>
      <c r="K95" s="55"/>
      <c r="L95" s="199"/>
      <c r="M95" s="25"/>
    </row>
    <row r="96" spans="1:41" x14ac:dyDescent="0.25">
      <c r="A96" s="224"/>
      <c r="B96" s="1051"/>
      <c r="C96" s="1051"/>
      <c r="D96" s="976"/>
      <c r="I96" s="200"/>
      <c r="J96" s="59"/>
      <c r="K96" s="59"/>
      <c r="L96" s="59"/>
      <c r="M96" s="25"/>
    </row>
    <row r="97" spans="1:13" ht="13" x14ac:dyDescent="0.3">
      <c r="A97" s="398" t="s">
        <v>114</v>
      </c>
      <c r="B97" s="1052">
        <v>150</v>
      </c>
      <c r="C97" s="1052">
        <v>270</v>
      </c>
      <c r="D97" s="1053">
        <v>25000</v>
      </c>
      <c r="F97" s="157"/>
      <c r="I97" s="200"/>
      <c r="J97" s="201"/>
      <c r="K97" s="201"/>
      <c r="L97" s="202"/>
      <c r="M97" s="25"/>
    </row>
    <row r="98" spans="1:13" x14ac:dyDescent="0.25">
      <c r="A98" s="100"/>
      <c r="B98" s="980"/>
      <c r="C98" s="1054"/>
      <c r="D98" s="1055">
        <v>1</v>
      </c>
      <c r="F98" s="157"/>
      <c r="I98" s="25"/>
      <c r="J98" s="25"/>
      <c r="K98" s="25"/>
      <c r="L98" s="25"/>
      <c r="M98" s="25"/>
    </row>
    <row r="99" spans="1:13" ht="13" x14ac:dyDescent="0.3">
      <c r="A99" s="398" t="s">
        <v>135</v>
      </c>
      <c r="B99" s="1052">
        <v>0</v>
      </c>
      <c r="C99" s="1052">
        <v>0</v>
      </c>
      <c r="D99" s="978"/>
      <c r="F99" s="157"/>
      <c r="I99" s="53"/>
      <c r="J99" s="25"/>
      <c r="K99" s="53"/>
      <c r="L99" s="53"/>
      <c r="M99" s="25"/>
    </row>
    <row r="100" spans="1:13" ht="13" x14ac:dyDescent="0.3">
      <c r="A100" s="160" t="s">
        <v>200</v>
      </c>
      <c r="B100" s="978">
        <v>0</v>
      </c>
      <c r="C100" s="978">
        <v>0</v>
      </c>
      <c r="D100" s="978"/>
      <c r="F100" s="157"/>
      <c r="I100" s="53"/>
      <c r="J100" s="25"/>
      <c r="K100" s="53"/>
      <c r="L100" s="53"/>
      <c r="M100" s="25"/>
    </row>
    <row r="101" spans="1:13" ht="13" x14ac:dyDescent="0.3">
      <c r="A101" s="398" t="s">
        <v>136</v>
      </c>
      <c r="B101" s="1052">
        <v>100</v>
      </c>
      <c r="C101" s="1052">
        <v>0</v>
      </c>
      <c r="D101" s="1056"/>
      <c r="F101" s="157"/>
      <c r="I101" s="53"/>
      <c r="J101" s="25"/>
      <c r="K101" s="203"/>
      <c r="L101" s="25"/>
      <c r="M101" s="25"/>
    </row>
    <row r="102" spans="1:13" ht="13" x14ac:dyDescent="0.3">
      <c r="A102" s="160" t="s">
        <v>200</v>
      </c>
      <c r="B102" s="978">
        <v>1</v>
      </c>
      <c r="C102" s="978">
        <v>0</v>
      </c>
      <c r="D102" s="1056"/>
      <c r="F102" s="13"/>
      <c r="I102" s="53"/>
      <c r="J102" s="25"/>
      <c r="K102" s="204"/>
      <c r="L102" s="25"/>
      <c r="M102" s="25"/>
    </row>
    <row r="103" spans="1:13" ht="12.75" customHeight="1" x14ac:dyDescent="0.35">
      <c r="A103" s="398" t="s">
        <v>137</v>
      </c>
      <c r="B103" s="1052">
        <v>200</v>
      </c>
      <c r="C103" s="1052">
        <v>200</v>
      </c>
      <c r="D103" s="1057"/>
      <c r="F103" s="157"/>
      <c r="I103" s="125"/>
      <c r="J103" s="25"/>
      <c r="K103" s="205"/>
      <c r="L103" s="165"/>
      <c r="M103" s="25"/>
    </row>
    <row r="104" spans="1:13" x14ac:dyDescent="0.25">
      <c r="A104" s="160" t="s">
        <v>200</v>
      </c>
      <c r="B104" s="978">
        <v>1</v>
      </c>
      <c r="C104" s="978">
        <v>1</v>
      </c>
      <c r="D104" s="978"/>
      <c r="F104" s="13"/>
    </row>
    <row r="105" spans="1:13" x14ac:dyDescent="0.25">
      <c r="A105" s="398" t="s">
        <v>105</v>
      </c>
      <c r="B105" s="1052">
        <v>200</v>
      </c>
      <c r="C105" s="1052">
        <v>250</v>
      </c>
      <c r="D105" s="1053">
        <v>20000</v>
      </c>
    </row>
    <row r="106" spans="1:13" x14ac:dyDescent="0.25">
      <c r="A106" s="160" t="s">
        <v>200</v>
      </c>
      <c r="B106" s="978">
        <v>1</v>
      </c>
      <c r="C106" s="978">
        <v>1</v>
      </c>
      <c r="D106" s="1055">
        <v>1</v>
      </c>
    </row>
    <row r="108" spans="1:13" s="1" customFormat="1" ht="32.25" customHeight="1" x14ac:dyDescent="0.5">
      <c r="A108" s="1092" t="s">
        <v>138</v>
      </c>
      <c r="B108" s="1093"/>
      <c r="C108" s="1094"/>
      <c r="D108" s="1095"/>
      <c r="E108" s="1095"/>
      <c r="F108" s="1097"/>
      <c r="G108" s="1366"/>
      <c r="H108" s="1356"/>
    </row>
    <row r="109" spans="1:13" s="1" customFormat="1" ht="13.75" customHeight="1" x14ac:dyDescent="0.5">
      <c r="A109" s="1323"/>
      <c r="B109" s="1327"/>
      <c r="C109" s="1328"/>
      <c r="D109" s="1329"/>
      <c r="E109" s="934"/>
      <c r="F109" s="1325"/>
      <c r="G109" s="1325"/>
      <c r="H109" s="375"/>
    </row>
    <row r="110" spans="1:13" s="4" customFormat="1" ht="16.899999999999999" customHeight="1" x14ac:dyDescent="0.4">
      <c r="A110" s="54"/>
      <c r="B110" s="1330" t="s">
        <v>135</v>
      </c>
      <c r="C110" s="1330" t="s">
        <v>136</v>
      </c>
      <c r="D110" s="1330" t="s">
        <v>691</v>
      </c>
      <c r="E110" s="54"/>
      <c r="F110" s="557"/>
      <c r="G110" s="54"/>
      <c r="H110" s="1326"/>
    </row>
    <row r="111" spans="1:13" s="1" customFormat="1" ht="16.899999999999999" customHeight="1" x14ac:dyDescent="0.4">
      <c r="A111" s="157" t="s">
        <v>689</v>
      </c>
      <c r="B111" s="978">
        <v>350</v>
      </c>
      <c r="C111" s="978">
        <v>400</v>
      </c>
      <c r="D111" s="978">
        <v>900</v>
      </c>
      <c r="E111" s="25"/>
      <c r="F111" s="158"/>
      <c r="G111" s="25"/>
      <c r="H111" s="375"/>
    </row>
    <row r="112" spans="1:13" s="1" customFormat="1" ht="16.899999999999999" customHeight="1" x14ac:dyDescent="0.4">
      <c r="A112" s="157" t="s">
        <v>322</v>
      </c>
      <c r="B112" s="978">
        <v>360</v>
      </c>
      <c r="C112" s="978">
        <v>360</v>
      </c>
      <c r="D112" s="978">
        <v>900</v>
      </c>
      <c r="E112" s="25"/>
      <c r="F112" s="158"/>
      <c r="G112" s="25"/>
      <c r="H112" s="375"/>
    </row>
    <row r="113" spans="1:9" s="1" customFormat="1" ht="16.899999999999999" customHeight="1" x14ac:dyDescent="0.4">
      <c r="A113" s="157" t="s">
        <v>323</v>
      </c>
      <c r="B113" s="978">
        <v>0</v>
      </c>
      <c r="C113" s="978">
        <v>0</v>
      </c>
      <c r="D113" s="978">
        <v>500</v>
      </c>
      <c r="E113" s="25"/>
      <c r="F113" s="158"/>
      <c r="G113" s="25"/>
      <c r="H113" s="375"/>
    </row>
    <row r="114" spans="1:9" s="1" customFormat="1" ht="16.899999999999999" customHeight="1" x14ac:dyDescent="0.4">
      <c r="A114" s="157" t="s">
        <v>324</v>
      </c>
      <c r="B114" s="978">
        <v>0</v>
      </c>
      <c r="C114" s="978">
        <v>0</v>
      </c>
      <c r="D114" s="978">
        <v>100</v>
      </c>
      <c r="E114" s="25"/>
      <c r="F114" s="158"/>
      <c r="G114" s="25"/>
      <c r="H114" s="375"/>
    </row>
    <row r="115" spans="1:9" s="1" customFormat="1" ht="16.899999999999999" customHeight="1" x14ac:dyDescent="0.4">
      <c r="A115" s="157" t="s">
        <v>522</v>
      </c>
      <c r="B115" s="978">
        <v>15</v>
      </c>
      <c r="C115" s="978">
        <v>15</v>
      </c>
      <c r="D115" s="978">
        <v>100</v>
      </c>
      <c r="E115" s="25"/>
      <c r="F115" s="158"/>
      <c r="G115" s="25"/>
      <c r="H115" s="375"/>
    </row>
    <row r="116" spans="1:9" s="1" customFormat="1" ht="16.899999999999999" customHeight="1" x14ac:dyDescent="0.4">
      <c r="A116" s="13"/>
      <c r="B116" s="978"/>
      <c r="C116" s="978"/>
      <c r="D116" s="978"/>
      <c r="E116" s="25"/>
      <c r="F116" s="158"/>
      <c r="G116" s="25"/>
      <c r="H116" s="375"/>
    </row>
    <row r="117" spans="1:9" s="1" customFormat="1" ht="16.899999999999999" customHeight="1" x14ac:dyDescent="0.4">
      <c r="A117" s="1331" t="s">
        <v>692</v>
      </c>
      <c r="B117" s="978">
        <v>4</v>
      </c>
      <c r="C117" s="978">
        <v>6</v>
      </c>
      <c r="D117" s="978">
        <v>16</v>
      </c>
      <c r="E117" s="25"/>
      <c r="F117" s="158"/>
      <c r="G117" s="25"/>
      <c r="H117" s="375"/>
    </row>
    <row r="118" spans="1:9" s="1" customFormat="1" ht="16.899999999999999" customHeight="1" x14ac:dyDescent="0.4">
      <c r="A118" s="156" t="s">
        <v>690</v>
      </c>
      <c r="B118" s="978">
        <v>2</v>
      </c>
      <c r="C118" s="978">
        <v>2</v>
      </c>
      <c r="D118" s="978">
        <v>3</v>
      </c>
      <c r="E118" s="25"/>
      <c r="F118" s="158"/>
      <c r="G118" s="25"/>
      <c r="H118" s="375"/>
    </row>
    <row r="119" spans="1:9" s="25" customFormat="1" ht="16.899999999999999" customHeight="1" x14ac:dyDescent="0.4">
      <c r="B119" s="158"/>
      <c r="C119" s="144"/>
      <c r="D119" s="59"/>
      <c r="E119" s="59"/>
      <c r="F119" s="59"/>
    </row>
    <row r="120" spans="1:9" ht="25" x14ac:dyDescent="0.5">
      <c r="A120" s="390"/>
      <c r="B120" s="393" t="s">
        <v>30</v>
      </c>
      <c r="C120" s="394" t="s">
        <v>181</v>
      </c>
      <c r="D120" s="396"/>
      <c r="E120" s="396"/>
      <c r="F120" s="1359"/>
      <c r="G120" s="1361"/>
      <c r="H120" s="1361"/>
    </row>
    <row r="121" spans="1:9" x14ac:dyDescent="0.25">
      <c r="A121" s="100"/>
      <c r="B121" s="230"/>
      <c r="D121" s="13"/>
      <c r="E121" s="13"/>
      <c r="F121" s="13"/>
      <c r="G121" s="19"/>
    </row>
    <row r="122" spans="1:9" x14ac:dyDescent="0.25">
      <c r="A122" s="100"/>
      <c r="B122" s="138" t="s">
        <v>243</v>
      </c>
      <c r="D122" s="13"/>
      <c r="E122" s="13"/>
      <c r="F122" s="13"/>
      <c r="G122" s="19"/>
    </row>
    <row r="123" spans="1:9" x14ac:dyDescent="0.25">
      <c r="A123" s="100"/>
      <c r="B123" s="138" t="s">
        <v>473</v>
      </c>
    </row>
    <row r="124" spans="1:9" x14ac:dyDescent="0.25">
      <c r="A124" s="100"/>
      <c r="B124" s="19"/>
      <c r="C124" s="136"/>
      <c r="D124" s="13"/>
      <c r="E124" s="13"/>
      <c r="F124" s="13"/>
    </row>
    <row r="125" spans="1:9" ht="15.5" x14ac:dyDescent="0.35">
      <c r="A125" s="100"/>
      <c r="B125" s="459" t="s">
        <v>118</v>
      </c>
      <c r="C125" s="144"/>
      <c r="D125" s="13"/>
      <c r="E125" s="13"/>
      <c r="F125" s="13"/>
    </row>
    <row r="126" spans="1:9" ht="18" customHeight="1" x14ac:dyDescent="0.3">
      <c r="A126" s="160" t="s">
        <v>31</v>
      </c>
      <c r="B126" s="107" t="s">
        <v>444</v>
      </c>
      <c r="D126" s="144">
        <f>I141</f>
        <v>41</v>
      </c>
      <c r="E126" s="157"/>
      <c r="G126" s="173"/>
    </row>
    <row r="127" spans="1:9" ht="18" customHeight="1" x14ac:dyDescent="0.3">
      <c r="A127" s="160"/>
      <c r="B127" s="107"/>
      <c r="D127" s="136"/>
      <c r="E127" s="157"/>
      <c r="G127" s="173"/>
    </row>
    <row r="128" spans="1:9" x14ac:dyDescent="0.25">
      <c r="A128" s="160"/>
      <c r="B128" s="1"/>
      <c r="D128" s="136"/>
      <c r="G128" s="180" t="s">
        <v>153</v>
      </c>
      <c r="H128" s="519" t="s">
        <v>154</v>
      </c>
      <c r="I128" s="50" t="s">
        <v>111</v>
      </c>
    </row>
    <row r="129" spans="1:12" ht="13" x14ac:dyDescent="0.3">
      <c r="A129" s="100"/>
      <c r="C129" s="123" t="s">
        <v>142</v>
      </c>
      <c r="D129" s="126" t="s">
        <v>145</v>
      </c>
      <c r="E129" s="50" t="s">
        <v>18</v>
      </c>
      <c r="G129" s="181" t="s">
        <v>155</v>
      </c>
      <c r="H129" s="181" t="s">
        <v>155</v>
      </c>
      <c r="I129" s="181" t="s">
        <v>155</v>
      </c>
    </row>
    <row r="130" spans="1:12" ht="13" x14ac:dyDescent="0.3">
      <c r="A130" s="160" t="s">
        <v>139</v>
      </c>
      <c r="B130" s="21" t="s">
        <v>533</v>
      </c>
      <c r="C130" s="1028">
        <v>1</v>
      </c>
      <c r="D130" s="743">
        <f t="shared" ref="D130:D136" si="3">I130</f>
        <v>37</v>
      </c>
      <c r="E130" s="152" t="s">
        <v>143</v>
      </c>
      <c r="G130" s="1255"/>
      <c r="H130" s="1255">
        <v>11.67</v>
      </c>
      <c r="I130" s="1254">
        <v>37</v>
      </c>
      <c r="J130" s="793"/>
      <c r="K130" s="520"/>
    </row>
    <row r="131" spans="1:12" ht="13" x14ac:dyDescent="0.3">
      <c r="A131" s="100"/>
      <c r="B131" s="1305" t="s">
        <v>637</v>
      </c>
      <c r="C131" s="1028">
        <v>1</v>
      </c>
      <c r="D131" s="743">
        <f t="shared" si="3"/>
        <v>69</v>
      </c>
      <c r="E131" s="152" t="s">
        <v>143</v>
      </c>
      <c r="G131" s="1255"/>
      <c r="H131" s="1255">
        <v>13.22</v>
      </c>
      <c r="I131" s="1254">
        <v>69</v>
      </c>
      <c r="J131" s="794"/>
      <c r="K131" s="520"/>
    </row>
    <row r="132" spans="1:12" ht="13" x14ac:dyDescent="0.3">
      <c r="A132" s="100"/>
      <c r="B132" s="100" t="s">
        <v>116</v>
      </c>
      <c r="C132" s="1028">
        <v>1</v>
      </c>
      <c r="D132" s="116">
        <f t="shared" si="3"/>
        <v>18</v>
      </c>
      <c r="E132" s="152" t="s">
        <v>144</v>
      </c>
      <c r="G132" s="347"/>
      <c r="H132" s="347">
        <v>7.03</v>
      </c>
      <c r="I132" s="1254">
        <v>18</v>
      </c>
      <c r="J132" s="793"/>
      <c r="K132" s="520"/>
    </row>
    <row r="133" spans="1:12" ht="13" x14ac:dyDescent="0.3">
      <c r="A133" s="100"/>
      <c r="B133" s="100" t="s">
        <v>387</v>
      </c>
      <c r="C133" s="1059">
        <v>0.1</v>
      </c>
      <c r="D133" s="744">
        <f t="shared" si="3"/>
        <v>25</v>
      </c>
      <c r="E133" s="12" t="s">
        <v>208</v>
      </c>
      <c r="G133" s="1255"/>
      <c r="H133" s="1255">
        <v>1.53</v>
      </c>
      <c r="I133" s="1254">
        <v>25</v>
      </c>
      <c r="J133" s="793"/>
      <c r="K133" s="520"/>
    </row>
    <row r="134" spans="1:12" ht="13" x14ac:dyDescent="0.3">
      <c r="A134" s="100"/>
      <c r="B134" s="21" t="s">
        <v>441</v>
      </c>
      <c r="C134" s="1028">
        <v>0.5</v>
      </c>
      <c r="D134" s="743">
        <f>I134</f>
        <v>42</v>
      </c>
      <c r="E134" s="977">
        <v>6</v>
      </c>
      <c r="G134" s="1255"/>
      <c r="H134" s="1255">
        <v>14.5</v>
      </c>
      <c r="I134" s="1254">
        <v>42</v>
      </c>
      <c r="J134" s="793"/>
      <c r="K134" s="520"/>
    </row>
    <row r="135" spans="1:12" ht="13" x14ac:dyDescent="0.3">
      <c r="A135" s="100"/>
      <c r="B135" s="87" t="s">
        <v>74</v>
      </c>
      <c r="C135" s="1028">
        <v>3</v>
      </c>
      <c r="D135" s="743">
        <f t="shared" si="3"/>
        <v>68.3</v>
      </c>
      <c r="E135" s="977">
        <v>1</v>
      </c>
      <c r="G135" s="184">
        <v>39.26</v>
      </c>
      <c r="H135" s="184">
        <v>29.05</v>
      </c>
      <c r="I135" s="347">
        <f>ROUND(G135+H135,1)</f>
        <v>68.3</v>
      </c>
      <c r="J135" s="793"/>
      <c r="K135" s="520"/>
    </row>
    <row r="136" spans="1:12" ht="13" x14ac:dyDescent="0.3">
      <c r="A136" s="100"/>
      <c r="B136" s="819" t="s">
        <v>683</v>
      </c>
      <c r="C136" s="140">
        <v>100</v>
      </c>
      <c r="D136" s="743">
        <f t="shared" si="3"/>
        <v>17.5</v>
      </c>
      <c r="E136" s="12" t="s">
        <v>472</v>
      </c>
      <c r="F136" s="71"/>
      <c r="G136" s="347"/>
      <c r="H136" s="347">
        <v>3.98</v>
      </c>
      <c r="I136" s="1254">
        <v>17.5</v>
      </c>
      <c r="J136" s="793"/>
      <c r="K136" s="520"/>
    </row>
    <row r="137" spans="1:12" x14ac:dyDescent="0.25">
      <c r="A137" s="100"/>
      <c r="B137" s="87" t="s">
        <v>201</v>
      </c>
      <c r="C137" s="34"/>
      <c r="D137" s="1060">
        <v>500</v>
      </c>
      <c r="G137" s="182"/>
      <c r="H137" s="182"/>
      <c r="I137" s="182"/>
      <c r="J137" s="794"/>
    </row>
    <row r="138" spans="1:12" x14ac:dyDescent="0.25">
      <c r="A138" s="100"/>
      <c r="C138" s="34"/>
      <c r="D138" s="137"/>
      <c r="G138" s="182"/>
      <c r="H138" s="182"/>
      <c r="I138" s="182"/>
      <c r="J138" s="794"/>
    </row>
    <row r="139" spans="1:12" ht="17.5" customHeight="1" x14ac:dyDescent="0.35">
      <c r="A139" s="100"/>
      <c r="B139" s="459" t="s">
        <v>132</v>
      </c>
      <c r="E139" s="13"/>
      <c r="F139" s="13"/>
      <c r="G139" s="180" t="s">
        <v>153</v>
      </c>
      <c r="H139" s="180" t="s">
        <v>154</v>
      </c>
      <c r="I139" s="50" t="s">
        <v>111</v>
      </c>
      <c r="J139" s="794"/>
    </row>
    <row r="140" spans="1:12" ht="17.5" customHeight="1" x14ac:dyDescent="0.3">
      <c r="A140" s="100"/>
      <c r="B140" s="103"/>
      <c r="C140" s="183" t="s">
        <v>98</v>
      </c>
      <c r="D140" s="139" t="s">
        <v>28</v>
      </c>
      <c r="E140" s="13"/>
      <c r="F140" s="13"/>
      <c r="G140" s="181" t="s">
        <v>28</v>
      </c>
      <c r="H140" s="181" t="s">
        <v>28</v>
      </c>
      <c r="I140" s="181" t="s">
        <v>28</v>
      </c>
      <c r="J140" s="794"/>
    </row>
    <row r="141" spans="1:12" ht="13" x14ac:dyDescent="0.3">
      <c r="A141" s="160" t="s">
        <v>31</v>
      </c>
      <c r="B141" s="87" t="s">
        <v>535</v>
      </c>
      <c r="C141" s="34" t="s">
        <v>5</v>
      </c>
      <c r="D141" s="144">
        <f>I141</f>
        <v>41</v>
      </c>
      <c r="E141" s="13"/>
      <c r="F141" s="13"/>
      <c r="G141" s="1253"/>
      <c r="H141" s="1253"/>
      <c r="I141" s="1254">
        <v>41</v>
      </c>
      <c r="J141" s="793"/>
      <c r="K141" s="520"/>
    </row>
    <row r="142" spans="1:12" ht="13" x14ac:dyDescent="0.3">
      <c r="A142" s="160" t="s">
        <v>139</v>
      </c>
      <c r="B142" s="100" t="s">
        <v>209</v>
      </c>
      <c r="C142" s="1028">
        <v>1.5</v>
      </c>
      <c r="D142" s="144">
        <f>I142</f>
        <v>52</v>
      </c>
      <c r="E142" s="13"/>
      <c r="F142" s="13"/>
      <c r="G142" s="1253"/>
      <c r="H142" s="1253"/>
      <c r="I142" s="1254">
        <v>52</v>
      </c>
      <c r="J142" s="793"/>
      <c r="K142" s="520"/>
      <c r="L142" t="s">
        <v>195</v>
      </c>
    </row>
    <row r="143" spans="1:12" ht="13" x14ac:dyDescent="0.3">
      <c r="A143" s="100"/>
      <c r="B143" s="4" t="s">
        <v>536</v>
      </c>
      <c r="C143" s="1028">
        <v>2</v>
      </c>
      <c r="D143" s="144">
        <f>I143</f>
        <v>62</v>
      </c>
      <c r="E143" s="13"/>
      <c r="F143" s="13"/>
      <c r="G143" s="1253"/>
      <c r="H143" s="1253"/>
      <c r="I143" s="1254">
        <v>62</v>
      </c>
      <c r="J143" s="793"/>
      <c r="K143" s="520"/>
      <c r="L143" t="s">
        <v>195</v>
      </c>
    </row>
    <row r="144" spans="1:12" ht="13" x14ac:dyDescent="0.3">
      <c r="A144" s="100"/>
      <c r="B144" s="100" t="s">
        <v>115</v>
      </c>
      <c r="C144" s="1028">
        <v>1</v>
      </c>
      <c r="D144" s="144">
        <f>I144</f>
        <v>90</v>
      </c>
      <c r="E144" s="13"/>
      <c r="F144" s="13"/>
      <c r="G144" s="1253"/>
      <c r="H144" s="1253"/>
      <c r="I144" s="1254">
        <v>90</v>
      </c>
      <c r="J144" s="793"/>
      <c r="K144" s="520"/>
      <c r="L144" t="s">
        <v>195</v>
      </c>
    </row>
    <row r="145" spans="1:11" ht="13" x14ac:dyDescent="0.3">
      <c r="A145" s="100"/>
      <c r="B145" s="100" t="s">
        <v>117</v>
      </c>
      <c r="C145" s="1062">
        <v>0.1</v>
      </c>
      <c r="D145" s="744">
        <f>I145</f>
        <v>25</v>
      </c>
      <c r="F145" s="152"/>
      <c r="G145" s="1253"/>
      <c r="H145" s="1253"/>
      <c r="I145" s="1254">
        <v>25</v>
      </c>
      <c r="J145" s="793"/>
      <c r="K145" s="520"/>
    </row>
    <row r="146" spans="1:11" x14ac:dyDescent="0.25">
      <c r="A146" s="100"/>
      <c r="B146" s="87" t="s">
        <v>32</v>
      </c>
      <c r="D146" s="1033">
        <v>220</v>
      </c>
      <c r="H146" s="182"/>
      <c r="I146" s="182"/>
    </row>
    <row r="147" spans="1:11" x14ac:dyDescent="0.25">
      <c r="H147" s="182"/>
      <c r="I147" s="182"/>
    </row>
    <row r="148" spans="1:11" ht="25" x14ac:dyDescent="0.5">
      <c r="A148" s="369" t="s">
        <v>24</v>
      </c>
      <c r="B148" s="392"/>
      <c r="C148" s="377"/>
      <c r="D148" s="378"/>
      <c r="E148" s="378"/>
      <c r="F148" s="378"/>
      <c r="G148" s="1359"/>
      <c r="H148" s="1360"/>
    </row>
    <row r="149" spans="1:11" x14ac:dyDescent="0.25">
      <c r="C149" s="268" t="s">
        <v>232</v>
      </c>
      <c r="D149" s="50" t="s">
        <v>233</v>
      </c>
      <c r="E149" s="50" t="s">
        <v>235</v>
      </c>
      <c r="F149" s="50" t="s">
        <v>263</v>
      </c>
      <c r="G149" s="50" t="s">
        <v>264</v>
      </c>
      <c r="H149" s="50" t="s">
        <v>442</v>
      </c>
    </row>
    <row r="150" spans="1:11" ht="18" x14ac:dyDescent="0.4">
      <c r="A150" s="73" t="s">
        <v>180</v>
      </c>
      <c r="B150" t="s">
        <v>234</v>
      </c>
      <c r="C150" s="189">
        <f>(F150*H150)/1000</f>
        <v>498.75</v>
      </c>
      <c r="D150" s="1061">
        <f>Eingabeseite!D34</f>
        <v>1.5</v>
      </c>
      <c r="E150" s="47"/>
      <c r="F150" s="978">
        <v>35</v>
      </c>
      <c r="G150" s="978">
        <v>15</v>
      </c>
      <c r="H150" s="47">
        <f>B10*G150</f>
        <v>14250</v>
      </c>
      <c r="K150" s="520"/>
    </row>
    <row r="151" spans="1:11" x14ac:dyDescent="0.25">
      <c r="B151" t="s">
        <v>230</v>
      </c>
      <c r="E151" s="978">
        <v>50</v>
      </c>
    </row>
    <row r="152" spans="1:11" x14ac:dyDescent="0.25">
      <c r="E152" s="47"/>
    </row>
    <row r="153" spans="1:11" ht="18" customHeight="1" x14ac:dyDescent="0.4">
      <c r="A153" s="73" t="s">
        <v>186</v>
      </c>
      <c r="C153" s="137" t="s">
        <v>237</v>
      </c>
      <c r="E153" s="978">
        <v>400</v>
      </c>
    </row>
    <row r="154" spans="1:11" x14ac:dyDescent="0.25">
      <c r="C154" s="137" t="s">
        <v>48</v>
      </c>
      <c r="E154" s="978">
        <v>0</v>
      </c>
    </row>
    <row r="155" spans="1:11" x14ac:dyDescent="0.25">
      <c r="C155" s="137" t="s">
        <v>49</v>
      </c>
      <c r="E155" s="978">
        <v>0</v>
      </c>
    </row>
    <row r="156" spans="1:11" x14ac:dyDescent="0.25">
      <c r="C156" s="137" t="s">
        <v>50</v>
      </c>
      <c r="E156" s="12" t="s">
        <v>238</v>
      </c>
    </row>
    <row r="158" spans="1:11" ht="25" x14ac:dyDescent="0.5">
      <c r="A158" s="369" t="s">
        <v>680</v>
      </c>
      <c r="B158" s="392"/>
      <c r="C158" s="377"/>
      <c r="D158" s="378"/>
      <c r="E158" s="378"/>
      <c r="F158" s="378"/>
      <c r="G158" s="1359"/>
      <c r="H158" s="1360"/>
    </row>
    <row r="159" spans="1:11" x14ac:dyDescent="0.25">
      <c r="A159" t="s">
        <v>679</v>
      </c>
      <c r="B159">
        <v>5000</v>
      </c>
    </row>
  </sheetData>
  <mergeCells count="10">
    <mergeCell ref="B3:G3"/>
    <mergeCell ref="A4:B4"/>
    <mergeCell ref="C4:H4"/>
    <mergeCell ref="A18:B18"/>
    <mergeCell ref="G158:H158"/>
    <mergeCell ref="F120:H120"/>
    <mergeCell ref="G148:H148"/>
    <mergeCell ref="D27:E27"/>
    <mergeCell ref="G61:H61"/>
    <mergeCell ref="G108:H108"/>
  </mergeCells>
  <phoneticPr fontId="25" type="noConversion"/>
  <dataValidations count="2">
    <dataValidation type="custom" showErrorMessage="1" errorTitle="Falsche Bruttofläche" error="Die Bruttofläche entspricht nicht 10000 m2" sqref="E11:E12 J96">
      <formula1>E10*E11=10000</formula1>
    </dataValidation>
    <dataValidation type="whole" operator="notEqual" showErrorMessage="1" errorTitle="Falsche Länge" error="Es muss eine Länge eingetragen sein" sqref="J95 E10">
      <formula1>0</formula1>
    </dataValidation>
  </dataValidations>
  <printOptions gridLines="1" gridLinesSet="0"/>
  <pageMargins left="0.59055118110236227" right="0.39370078740157483" top="0.59055118110236227" bottom="0.59055118110236227" header="0.51181102362204722" footer="0.51181102362204722"/>
  <pageSetup paperSize="9" scale="47" orientation="portrait" r:id="rId1"/>
  <headerFooter alignWithMargins="0">
    <oddFooter>&amp;L&amp;6&amp;F&amp;C&amp;6&amp;A &amp;R&amp;6Kontakt: matthias.zuercher@faw.admin.ch</oddFooter>
  </headerFooter>
  <rowBreaks count="1" manualBreakCount="1">
    <brk id="9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arErstellung">
    <tabColor rgb="FFFF66CC"/>
  </sheetPr>
  <dimension ref="A1:AO156"/>
  <sheetViews>
    <sheetView zoomScale="75" zoomScaleNormal="75" workbookViewId="0">
      <selection activeCell="D26" sqref="D26"/>
    </sheetView>
  </sheetViews>
  <sheetFormatPr baseColWidth="10" defaultColWidth="11.36328125" defaultRowHeight="12.5" x14ac:dyDescent="0.25"/>
  <cols>
    <col min="1" max="1" width="30.81640625" customWidth="1"/>
    <col min="2" max="2" width="38.26953125" customWidth="1"/>
    <col min="3" max="3" width="20" customWidth="1"/>
    <col min="4" max="4" width="20.26953125" customWidth="1"/>
    <col min="5" max="5" width="17.7265625" customWidth="1"/>
    <col min="6" max="7" width="13.54296875" customWidth="1"/>
    <col min="8" max="8" width="7.81640625" style="19" customWidth="1"/>
    <col min="9" max="9" width="19.26953125" style="19" customWidth="1"/>
    <col min="10" max="10" width="11.36328125" style="19" customWidth="1"/>
    <col min="11" max="11" width="11.7265625" style="19" customWidth="1"/>
    <col min="12" max="12" width="12.7265625" style="19" customWidth="1"/>
    <col min="13" max="41" width="11.36328125" style="19" customWidth="1"/>
  </cols>
  <sheetData>
    <row r="1" spans="1:41" ht="45.75" customHeight="1" x14ac:dyDescent="0.5">
      <c r="A1" s="369" t="str">
        <f>'Var Vorgaben'!A1</f>
        <v>Arbokost 2023</v>
      </c>
      <c r="B1" s="354" t="str">
        <f>'Var Vorgaben'!B7</f>
        <v>Tafelkirsche</v>
      </c>
      <c r="C1" s="351"/>
      <c r="D1" s="359"/>
      <c r="E1" s="351"/>
      <c r="F1" s="356"/>
      <c r="G1" s="351"/>
    </row>
    <row r="2" spans="1:41" ht="24.75" customHeight="1" x14ac:dyDescent="0.4">
      <c r="A2" s="1256" t="s">
        <v>271</v>
      </c>
      <c r="B2" s="621">
        <f>'Var Vorgaben'!B10</f>
        <v>950</v>
      </c>
      <c r="C2" s="351"/>
      <c r="D2" s="351"/>
      <c r="E2" s="351"/>
      <c r="F2" s="351"/>
      <c r="G2" s="624"/>
      <c r="H2" s="205"/>
    </row>
    <row r="3" spans="1:41" ht="24.9" customHeight="1" x14ac:dyDescent="0.35">
      <c r="A3" s="352" t="s">
        <v>272</v>
      </c>
      <c r="B3" s="1351" t="s">
        <v>269</v>
      </c>
      <c r="C3" s="1351"/>
      <c r="D3" s="1351"/>
      <c r="E3" s="1351"/>
      <c r="F3" s="1351"/>
      <c r="G3" s="1351"/>
      <c r="H3" s="205"/>
    </row>
    <row r="4" spans="1:41" s="1" customFormat="1" ht="12.75" customHeight="1" x14ac:dyDescent="0.5">
      <c r="A4" s="125" t="s">
        <v>695</v>
      </c>
      <c r="B4"/>
      <c r="C4" s="1337"/>
      <c r="D4" s="1339">
        <v>0.18</v>
      </c>
      <c r="E4" s="350"/>
      <c r="F4" s="350"/>
      <c r="K4" s="470"/>
      <c r="L4" s="471"/>
      <c r="M4" s="471"/>
      <c r="N4" s="105"/>
      <c r="O4" s="472"/>
      <c r="P4" s="105"/>
      <c r="Q4" s="105"/>
    </row>
    <row r="5" spans="1:41" s="1" customFormat="1" ht="35.5" customHeight="1" x14ac:dyDescent="0.5">
      <c r="A5" s="1257" t="s">
        <v>411</v>
      </c>
      <c r="B5" s="1258"/>
      <c r="C5" s="1259" t="s">
        <v>274</v>
      </c>
      <c r="D5" s="1258"/>
      <c r="E5" s="1260"/>
      <c r="F5" s="1258"/>
      <c r="G5" s="1258"/>
      <c r="H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pans="1:41" s="1" customFormat="1" ht="15.75" customHeight="1" x14ac:dyDescent="0.4">
      <c r="A6" s="158"/>
      <c r="E6" s="472"/>
      <c r="G6" s="1338" t="s">
        <v>141</v>
      </c>
      <c r="H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pans="1:41" ht="27" customHeight="1" thickBot="1" x14ac:dyDescent="0.45">
      <c r="A7" s="473" t="s">
        <v>162</v>
      </c>
      <c r="B7" s="376"/>
      <c r="C7" s="377" t="str">
        <f>'Var Vorgaben'!C14</f>
        <v>Nutzungsdauer:</v>
      </c>
      <c r="D7" s="378"/>
      <c r="E7" s="379"/>
      <c r="F7" s="378"/>
      <c r="G7" s="380"/>
      <c r="I7" s="19" t="s">
        <v>273</v>
      </c>
    </row>
    <row r="8" spans="1:41" s="1" customFormat="1" ht="13.5" thickBot="1" x14ac:dyDescent="0.35">
      <c r="A8" s="107" t="s">
        <v>270</v>
      </c>
      <c r="B8" s="100" t="str">
        <f>'Var Vorgaben'!B14</f>
        <v>Ja, Folie im 3. Stj. und 10. Stj.</v>
      </c>
      <c r="C8" s="745">
        <f>'Var Vorgaben'!D14</f>
        <v>7</v>
      </c>
      <c r="D8" s="288" t="s">
        <v>166</v>
      </c>
      <c r="E8" s="14"/>
      <c r="F8" s="14"/>
      <c r="G8" s="215"/>
      <c r="H8" s="25"/>
      <c r="I8" s="288" t="s">
        <v>166</v>
      </c>
      <c r="J8" s="14"/>
      <c r="K8" s="14"/>
      <c r="L8" s="21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pans="1:41" x14ac:dyDescent="0.25">
      <c r="A9" s="100" t="str">
        <f>'Var Vorgaben'!A15</f>
        <v>Versicherung Regendach</v>
      </c>
      <c r="B9" s="100" t="str">
        <f>'Var Vorgaben'!B15</f>
        <v>Ja</v>
      </c>
      <c r="C9" s="1"/>
      <c r="D9" s="214"/>
      <c r="E9" s="14" t="s">
        <v>0</v>
      </c>
      <c r="F9" s="15" t="s">
        <v>1</v>
      </c>
      <c r="G9" s="215" t="s">
        <v>2</v>
      </c>
      <c r="I9" s="214"/>
      <c r="J9" s="1016" t="s">
        <v>0</v>
      </c>
      <c r="K9" s="1017" t="s">
        <v>1</v>
      </c>
      <c r="L9" s="215" t="s">
        <v>2</v>
      </c>
    </row>
    <row r="10" spans="1:41" ht="13" x14ac:dyDescent="0.3">
      <c r="A10" s="100" t="s">
        <v>100</v>
      </c>
      <c r="B10" s="100" t="str">
        <f>'Var Vorgaben'!B17</f>
        <v>Ja</v>
      </c>
      <c r="C10" s="1"/>
      <c r="D10" s="216" t="s">
        <v>3</v>
      </c>
      <c r="E10" s="55">
        <f>'Standard Erstellung'!E10</f>
        <v>125</v>
      </c>
      <c r="F10" s="55">
        <f>'Standard Erstellung'!F10</f>
        <v>115</v>
      </c>
      <c r="G10" s="774">
        <f>'Standard Erstellung'!G10</f>
        <v>0.10299999999999998</v>
      </c>
      <c r="I10" s="216" t="s">
        <v>3</v>
      </c>
      <c r="J10" s="1018">
        <v>125</v>
      </c>
      <c r="K10" s="1019">
        <v>115</v>
      </c>
      <c r="L10" s="567">
        <f>1-(K12/J12)</f>
        <v>0.10299999999999998</v>
      </c>
    </row>
    <row r="11" spans="1:41" ht="25" x14ac:dyDescent="0.25">
      <c r="A11" s="559" t="s">
        <v>464</v>
      </c>
      <c r="B11" s="1"/>
      <c r="C11" s="1"/>
      <c r="D11" s="216" t="s">
        <v>4</v>
      </c>
      <c r="E11" s="55">
        <f>'Standard Erstellung'!E11</f>
        <v>80</v>
      </c>
      <c r="F11" s="55">
        <f>'Standard Erstellung'!F11</f>
        <v>78</v>
      </c>
      <c r="G11" s="292"/>
      <c r="I11" s="216" t="s">
        <v>4</v>
      </c>
      <c r="J11" s="1020">
        <v>80</v>
      </c>
      <c r="K11" s="1021">
        <v>78</v>
      </c>
      <c r="L11" s="217"/>
    </row>
    <row r="12" spans="1:41" ht="13.5" thickBot="1" x14ac:dyDescent="0.35">
      <c r="A12" s="25" t="s">
        <v>89</v>
      </c>
      <c r="B12" s="746">
        <f>'Var Vorgaben'!$B$21</f>
        <v>4</v>
      </c>
      <c r="D12" s="218" t="s">
        <v>6</v>
      </c>
      <c r="E12" s="558">
        <f>'Standard Erstellung'!E12</f>
        <v>10000</v>
      </c>
      <c r="F12" s="558">
        <f>'Standard Erstellung'!F12</f>
        <v>8970</v>
      </c>
      <c r="G12" s="293"/>
      <c r="I12" s="218" t="s">
        <v>6</v>
      </c>
      <c r="J12" s="647">
        <f>J10*J11</f>
        <v>10000</v>
      </c>
      <c r="K12" s="648">
        <f>K10*K11</f>
        <v>8970</v>
      </c>
      <c r="L12" s="649">
        <f>J12-K12</f>
        <v>1030</v>
      </c>
    </row>
    <row r="13" spans="1:41" ht="13.75" customHeight="1" x14ac:dyDescent="0.3">
      <c r="A13" s="25" t="s">
        <v>99</v>
      </c>
      <c r="B13" s="746">
        <f>'Var Vorgaben'!$B$22</f>
        <v>16</v>
      </c>
      <c r="D13" s="219" t="s">
        <v>8</v>
      </c>
      <c r="E13" s="25"/>
      <c r="F13" s="55">
        <f>'Standard Erstellung'!F13</f>
        <v>4.5</v>
      </c>
      <c r="G13" s="292"/>
      <c r="I13" s="219" t="s">
        <v>8</v>
      </c>
      <c r="J13" s="25"/>
      <c r="K13" s="1022">
        <v>4.5</v>
      </c>
      <c r="L13" s="1023" t="s">
        <v>9</v>
      </c>
    </row>
    <row r="14" spans="1:41" ht="13" x14ac:dyDescent="0.3">
      <c r="A14" s="125" t="s">
        <v>10</v>
      </c>
      <c r="B14" s="747">
        <f>'Var Vorgaben'!$B$23</f>
        <v>12</v>
      </c>
      <c r="D14" s="219" t="s">
        <v>11</v>
      </c>
      <c r="E14" s="25"/>
      <c r="F14" s="55">
        <f>'Standard Erstellung'!F14</f>
        <v>2.1</v>
      </c>
      <c r="G14" s="292"/>
      <c r="I14" s="219" t="s">
        <v>11</v>
      </c>
      <c r="J14" s="25"/>
      <c r="K14" s="1022">
        <v>2.1</v>
      </c>
      <c r="L14" s="1023" t="s">
        <v>9</v>
      </c>
    </row>
    <row r="15" spans="1:41" ht="13" x14ac:dyDescent="0.3">
      <c r="C15" s="25"/>
      <c r="D15" s="219" t="s">
        <v>12</v>
      </c>
      <c r="E15" s="25"/>
      <c r="F15" s="55">
        <f>'Standard Erstellung'!F15</f>
        <v>17</v>
      </c>
      <c r="G15" s="294"/>
      <c r="H15" s="104"/>
      <c r="I15" s="219" t="s">
        <v>12</v>
      </c>
      <c r="J15" s="25"/>
      <c r="K15" s="204">
        <f>ROUND((K11/K13),0)</f>
        <v>17</v>
      </c>
      <c r="L15" s="213"/>
    </row>
    <row r="16" spans="1:41" ht="16" thickBot="1" x14ac:dyDescent="0.4">
      <c r="C16" s="25"/>
      <c r="D16" s="220" t="s">
        <v>161</v>
      </c>
      <c r="E16" s="775"/>
      <c r="F16" s="291">
        <f>Eingabeseite!D25</f>
        <v>950</v>
      </c>
      <c r="G16" s="776"/>
      <c r="I16" s="220" t="s">
        <v>161</v>
      </c>
      <c r="J16" s="291"/>
      <c r="K16" s="568">
        <f>ROUND(((K10/K14)+1),0)*ROUND(K15,0)</f>
        <v>952</v>
      </c>
      <c r="L16" s="289"/>
    </row>
    <row r="17" spans="1:41" ht="12.75" customHeight="1" x14ac:dyDescent="0.35">
      <c r="A17" s="1"/>
      <c r="B17" s="1"/>
      <c r="D17" s="22"/>
      <c r="J17" s="25"/>
      <c r="K17" s="290"/>
      <c r="L17" s="25"/>
    </row>
    <row r="18" spans="1:41" ht="20" x14ac:dyDescent="0.4">
      <c r="A18" s="401" t="s">
        <v>409</v>
      </c>
      <c r="B18" s="465"/>
      <c r="C18" s="465"/>
      <c r="D18" s="465"/>
      <c r="E18" s="465" t="s">
        <v>474</v>
      </c>
      <c r="F18" s="465"/>
      <c r="G18" s="465"/>
    </row>
    <row r="19" spans="1:41" s="18" customFormat="1" ht="13" x14ac:dyDescent="0.3">
      <c r="A19"/>
      <c r="B19" s="3"/>
      <c r="C19" s="24" t="s">
        <v>18</v>
      </c>
      <c r="D19" s="24" t="s">
        <v>19</v>
      </c>
      <c r="E19" s="127" t="s">
        <v>20</v>
      </c>
      <c r="F19" s="128"/>
      <c r="G19" s="24"/>
      <c r="H19" s="23"/>
      <c r="I19" s="102"/>
      <c r="J19" s="102"/>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ht="13" x14ac:dyDescent="0.3">
      <c r="A20" s="3" t="s">
        <v>15</v>
      </c>
      <c r="B20" s="1"/>
      <c r="C20" s="189">
        <f>'Var Vorgaben'!B10</f>
        <v>950</v>
      </c>
      <c r="D20" s="63">
        <f>'Var Vorgaben'!C25</f>
        <v>18</v>
      </c>
      <c r="E20" s="82">
        <f>C20*D20</f>
        <v>17100</v>
      </c>
      <c r="F20" s="246">
        <f>E20/E53</f>
        <v>0.68536760994358581</v>
      </c>
      <c r="G20" s="5"/>
    </row>
    <row r="21" spans="1:41" ht="13" x14ac:dyDescent="0.3">
      <c r="A21" s="3" t="s">
        <v>206</v>
      </c>
      <c r="B21" s="4" t="s">
        <v>538</v>
      </c>
      <c r="C21" s="189">
        <f>'Var Vorgaben'!B10</f>
        <v>950</v>
      </c>
      <c r="D21" s="1024">
        <f>0.83*(1+$D$4)</f>
        <v>0.97939999999999994</v>
      </c>
      <c r="E21" s="82">
        <f>C21*D21</f>
        <v>930.43</v>
      </c>
      <c r="F21" s="130">
        <f>E21/E53</f>
        <v>3.7291613176597106E-2</v>
      </c>
      <c r="G21" s="115"/>
    </row>
    <row r="22" spans="1:41" ht="13" x14ac:dyDescent="0.3">
      <c r="A22" s="1"/>
      <c r="B22" s="1"/>
      <c r="C22" s="6"/>
      <c r="D22" s="32"/>
      <c r="E22" s="207"/>
      <c r="F22" s="129"/>
      <c r="G22" s="1"/>
    </row>
    <row r="23" spans="1:41" ht="13" x14ac:dyDescent="0.3">
      <c r="A23" s="3" t="s">
        <v>24</v>
      </c>
      <c r="B23" s="1" t="s">
        <v>131</v>
      </c>
      <c r="C23" s="750">
        <f>'Var Vorgaben'!C97</f>
        <v>270</v>
      </c>
      <c r="D23" s="63">
        <f>'Var Vorgaben'!C95*(1+Eingabeseite!C32)</f>
        <v>1.05</v>
      </c>
      <c r="E23" s="45">
        <f>C23*D23</f>
        <v>283.5</v>
      </c>
      <c r="F23" s="131">
        <f>E23/E53</f>
        <v>1.1362673533275238E-2</v>
      </c>
      <c r="G23" s="5"/>
    </row>
    <row r="24" spans="1:41" ht="13" x14ac:dyDescent="0.3">
      <c r="A24" s="3"/>
      <c r="B24" s="112" t="s">
        <v>130</v>
      </c>
      <c r="C24" s="750">
        <f>'Var Vorgaben'!B97</f>
        <v>150</v>
      </c>
      <c r="D24" s="63">
        <f>'Var Vorgaben'!B95*(1+Eingabeseite!C32)</f>
        <v>0.9</v>
      </c>
      <c r="E24" s="45">
        <f>C24*D24</f>
        <v>135</v>
      </c>
      <c r="F24" s="131">
        <f>E24/E53</f>
        <v>5.4107969206072561E-3</v>
      </c>
      <c r="G24" s="5"/>
    </row>
    <row r="25" spans="1:41" ht="13" x14ac:dyDescent="0.3">
      <c r="A25" s="3"/>
      <c r="B25" s="21" t="str">
        <f>'Var Vorgaben'!$D$94</f>
        <v>Kompost</v>
      </c>
      <c r="C25" s="189">
        <f>'Var Vorgaben'!$D$97</f>
        <v>25000</v>
      </c>
      <c r="D25" s="32">
        <f>'Var Vorgaben'!$D$95</f>
        <v>0.02</v>
      </c>
      <c r="E25" s="61">
        <f>C25*D25</f>
        <v>500</v>
      </c>
      <c r="F25" s="131">
        <f>E25/E53</f>
        <v>2.0039988594841691E-2</v>
      </c>
      <c r="G25" s="5"/>
    </row>
    <row r="26" spans="1:41" x14ac:dyDescent="0.25">
      <c r="A26" s="1"/>
      <c r="B26" s="1" t="s">
        <v>41</v>
      </c>
      <c r="C26" s="1025">
        <v>40</v>
      </c>
      <c r="D26" s="1024">
        <v>7.2</v>
      </c>
      <c r="E26" s="45">
        <f>C26*D26</f>
        <v>288</v>
      </c>
      <c r="F26" s="131">
        <f>E26/E53</f>
        <v>1.1543033430628813E-2</v>
      </c>
      <c r="G26" s="5"/>
    </row>
    <row r="27" spans="1:41" x14ac:dyDescent="0.25">
      <c r="A27" s="1"/>
      <c r="B27" s="1" t="s">
        <v>25</v>
      </c>
      <c r="C27" s="6"/>
      <c r="D27" s="47"/>
      <c r="E27" s="1024">
        <v>150</v>
      </c>
      <c r="F27" s="131">
        <f>E27/E53</f>
        <v>6.0119965784525067E-3</v>
      </c>
      <c r="G27" s="5"/>
    </row>
    <row r="28" spans="1:41" x14ac:dyDescent="0.25">
      <c r="A28" s="1"/>
      <c r="B28" s="1" t="s">
        <v>207</v>
      </c>
      <c r="C28" s="6"/>
      <c r="D28" s="47"/>
      <c r="E28" s="1026">
        <v>500</v>
      </c>
      <c r="F28" s="131">
        <f>E28/E53</f>
        <v>2.0039988594841691E-2</v>
      </c>
      <c r="G28" s="5"/>
    </row>
    <row r="29" spans="1:41" ht="13" x14ac:dyDescent="0.3">
      <c r="A29" s="1"/>
      <c r="B29" s="1"/>
      <c r="C29" s="1"/>
      <c r="D29" s="63"/>
      <c r="E29" s="82">
        <f>SUM(E23:E28)</f>
        <v>1856.5</v>
      </c>
      <c r="F29" s="246">
        <f>E29/E53</f>
        <v>7.4408477652647201E-2</v>
      </c>
      <c r="G29" s="5"/>
    </row>
    <row r="30" spans="1:41" ht="15.5" x14ac:dyDescent="0.35">
      <c r="A30" s="475" t="s">
        <v>26</v>
      </c>
      <c r="B30" s="460"/>
      <c r="C30" s="503"/>
      <c r="D30" s="504"/>
      <c r="E30" s="505">
        <f>E29+E21+E20</f>
        <v>19886.93</v>
      </c>
      <c r="F30" s="506">
        <f>E30/E53</f>
        <v>0.79706770077283007</v>
      </c>
      <c r="G30" s="507"/>
    </row>
    <row r="31" spans="1:41" ht="13" x14ac:dyDescent="0.3">
      <c r="A31" s="3"/>
      <c r="B31" s="1"/>
      <c r="C31" s="123" t="s">
        <v>98</v>
      </c>
      <c r="D31" s="126" t="s">
        <v>28</v>
      </c>
      <c r="E31" s="124" t="s">
        <v>20</v>
      </c>
      <c r="F31" s="562"/>
      <c r="G31" s="563"/>
    </row>
    <row r="32" spans="1:41" ht="13" x14ac:dyDescent="0.3">
      <c r="A32" s="3" t="s">
        <v>30</v>
      </c>
      <c r="B32" s="1" t="str">
        <f>'Var Vorgaben'!B142</f>
        <v>Spatenmaschine 2m</v>
      </c>
      <c r="C32" s="48">
        <f>'Var Vorgaben'!C142</f>
        <v>1.5</v>
      </c>
      <c r="D32" s="275">
        <f>'Var Vorgaben'!D142*(1+Eingabeseite!C28)</f>
        <v>52</v>
      </c>
      <c r="E32" s="45">
        <f>C32*D32</f>
        <v>78</v>
      </c>
      <c r="F32" s="131">
        <f>E32/E53</f>
        <v>3.1262382207953034E-3</v>
      </c>
      <c r="G32" s="5" t="s">
        <v>210</v>
      </c>
    </row>
    <row r="33" spans="1:7" x14ac:dyDescent="0.25">
      <c r="A33" s="249"/>
      <c r="B33" s="1" t="str">
        <f>'Var Vorgaben'!B143</f>
        <v xml:space="preserve">Bodenfräse mit Stabkrümler 2.1m </v>
      </c>
      <c r="C33" s="48">
        <f>'Var Vorgaben'!C143</f>
        <v>2</v>
      </c>
      <c r="D33" s="275">
        <f>'Var Vorgaben'!D143*(1+Eingabeseite!C28)</f>
        <v>62</v>
      </c>
      <c r="E33" s="45">
        <f>C33*D33</f>
        <v>124</v>
      </c>
      <c r="F33" s="131">
        <f>E33/E53</f>
        <v>4.9699171715207394E-3</v>
      </c>
      <c r="G33" s="5" t="s">
        <v>210</v>
      </c>
    </row>
    <row r="34" spans="1:7" x14ac:dyDescent="0.25">
      <c r="A34" s="1027">
        <v>2</v>
      </c>
      <c r="B34" s="1" t="str">
        <f>'Var Vorgaben'!B132</f>
        <v>Düngerstreuer Einkasten 2.5 m</v>
      </c>
      <c r="C34" s="48">
        <f>'Var Vorgaben'!C144*A34</f>
        <v>2</v>
      </c>
      <c r="D34" s="275">
        <f>'Var Vorgaben'!D132*(1+Eingabeseite!C28)</f>
        <v>18</v>
      </c>
      <c r="E34" s="45">
        <f>C34*D34</f>
        <v>36</v>
      </c>
      <c r="F34" s="131">
        <f>E34/E53</f>
        <v>1.4428791788286017E-3</v>
      </c>
      <c r="G34" s="5"/>
    </row>
    <row r="35" spans="1:7" x14ac:dyDescent="0.25">
      <c r="A35" s="1"/>
      <c r="B35" s="1" t="str">
        <f>'Var Vorgaben'!B144</f>
        <v>Sämaschine 3 m</v>
      </c>
      <c r="C35" s="48">
        <f>'Var Vorgaben'!C144</f>
        <v>1</v>
      </c>
      <c r="D35" s="275">
        <f>'Var Vorgaben'!D144*(1+Eingabeseite!C28)</f>
        <v>90</v>
      </c>
      <c r="E35" s="45">
        <f>C35*D35</f>
        <v>90</v>
      </c>
      <c r="F35" s="131">
        <f>E35/E53</f>
        <v>3.607197947071504E-3</v>
      </c>
      <c r="G35" s="5"/>
    </row>
    <row r="36" spans="1:7" ht="13" thickBot="1" x14ac:dyDescent="0.3">
      <c r="A36" s="1"/>
      <c r="B36" s="1" t="str">
        <f>'Var Vorgaben'!B145</f>
        <v>Pneuwagen 2achsig, 3 t</v>
      </c>
      <c r="C36" s="752">
        <f>(C47+C48)*'Var Vorgaben'!C145</f>
        <v>8.5</v>
      </c>
      <c r="D36" s="275">
        <f>'Var Vorgaben'!D145*(1+Eingabeseite!C28)</f>
        <v>25</v>
      </c>
      <c r="E36" s="208">
        <f>C36*D36</f>
        <v>212.5</v>
      </c>
      <c r="F36" s="131">
        <f>E36/E53</f>
        <v>8.5169951528077173E-3</v>
      </c>
      <c r="G36" s="5"/>
    </row>
    <row r="37" spans="1:7" ht="13" x14ac:dyDescent="0.3">
      <c r="A37" s="1"/>
      <c r="B37" s="1"/>
      <c r="C37" s="751">
        <f>SUM(C32:C36)</f>
        <v>15</v>
      </c>
      <c r="D37" s="275"/>
      <c r="E37" s="45">
        <f>SUM(E32:E36)</f>
        <v>540.5</v>
      </c>
      <c r="F37" s="129">
        <f>E37/E53</f>
        <v>2.1663227671023865E-2</v>
      </c>
      <c r="G37" s="5"/>
    </row>
    <row r="38" spans="1:7" ht="13" x14ac:dyDescent="0.3">
      <c r="A38" s="3" t="s">
        <v>31</v>
      </c>
      <c r="B38" s="1" t="str">
        <f>'Var Vorgaben'!$B$141</f>
        <v>Obstbautraktor 4-Rad (45-54 kW, 61-73 PS)</v>
      </c>
      <c r="C38" s="52">
        <f>C37</f>
        <v>15</v>
      </c>
      <c r="D38" s="275">
        <f>'Var Vorgaben'!D141*(1+Eingabeseite!C28)</f>
        <v>41</v>
      </c>
      <c r="E38" s="45">
        <f>C38*D38</f>
        <v>615</v>
      </c>
      <c r="F38" s="131">
        <f>E38/E53</f>
        <v>2.4649185971655278E-2</v>
      </c>
      <c r="G38" s="5"/>
    </row>
    <row r="39" spans="1:7" ht="13" thickBot="1" x14ac:dyDescent="0.3">
      <c r="A39" s="1" t="s">
        <v>32</v>
      </c>
      <c r="B39" s="1"/>
      <c r="C39" s="48"/>
      <c r="D39" s="63"/>
      <c r="E39" s="208">
        <f>'Var Vorgaben'!D146</f>
        <v>220</v>
      </c>
      <c r="F39" s="131">
        <f>E39/E53</f>
        <v>8.8175949817303444E-3</v>
      </c>
      <c r="G39" s="5"/>
    </row>
    <row r="40" spans="1:7" ht="13" x14ac:dyDescent="0.3">
      <c r="A40" s="3" t="s">
        <v>33</v>
      </c>
      <c r="B40" s="1"/>
      <c r="C40" s="48"/>
      <c r="D40" s="63"/>
      <c r="E40" s="82">
        <f>E37+E38+E39</f>
        <v>1375.5</v>
      </c>
      <c r="F40" s="129">
        <f>E40/E53</f>
        <v>5.5130008624409491E-2</v>
      </c>
      <c r="G40" s="5"/>
    </row>
    <row r="41" spans="1:7" x14ac:dyDescent="0.25">
      <c r="A41" s="1"/>
      <c r="B41" s="1"/>
      <c r="C41" s="123" t="s">
        <v>34</v>
      </c>
      <c r="D41" s="126" t="s">
        <v>28</v>
      </c>
      <c r="E41" s="124" t="s">
        <v>29</v>
      </c>
      <c r="F41" s="562"/>
      <c r="G41" s="563"/>
    </row>
    <row r="42" spans="1:7" ht="13" x14ac:dyDescent="0.3">
      <c r="A42" s="3" t="s">
        <v>35</v>
      </c>
      <c r="B42" s="1" t="s">
        <v>211</v>
      </c>
      <c r="C42" s="48">
        <f>C32</f>
        <v>1.5</v>
      </c>
      <c r="D42" s="63">
        <f>'Var Vorgaben'!$C$30</f>
        <v>32.700000000000003</v>
      </c>
      <c r="E42" s="45">
        <f t="shared" ref="E42:E50" si="0">C42*D42</f>
        <v>49.050000000000004</v>
      </c>
      <c r="F42" s="131">
        <f>E42/E53</f>
        <v>1.9659228811539698E-3</v>
      </c>
      <c r="G42" s="5"/>
    </row>
    <row r="43" spans="1:7" x14ac:dyDescent="0.25">
      <c r="A43" s="1"/>
      <c r="B43" s="1" t="s">
        <v>212</v>
      </c>
      <c r="C43" s="48">
        <f>C33</f>
        <v>2</v>
      </c>
      <c r="D43" s="63">
        <f>'Var Vorgaben'!$C$30</f>
        <v>32.700000000000003</v>
      </c>
      <c r="E43" s="45">
        <f t="shared" si="0"/>
        <v>65.400000000000006</v>
      </c>
      <c r="F43" s="131">
        <f>E43/E53</f>
        <v>2.6212305082052934E-3</v>
      </c>
      <c r="G43" s="5"/>
    </row>
    <row r="44" spans="1:7" x14ac:dyDescent="0.25">
      <c r="A44" s="1"/>
      <c r="B44" s="1" t="s">
        <v>36</v>
      </c>
      <c r="C44" s="48">
        <f>C34</f>
        <v>2</v>
      </c>
      <c r="D44" s="63">
        <f>'Var Vorgaben'!$C$30</f>
        <v>32.700000000000003</v>
      </c>
      <c r="E44" s="45">
        <f t="shared" si="0"/>
        <v>65.400000000000006</v>
      </c>
      <c r="F44" s="131">
        <f>E44/E53</f>
        <v>2.6212305082052934E-3</v>
      </c>
      <c r="G44" s="5"/>
    </row>
    <row r="45" spans="1:7" x14ac:dyDescent="0.25">
      <c r="A45" s="1"/>
      <c r="B45" s="1" t="s">
        <v>37</v>
      </c>
      <c r="C45" s="1028">
        <v>1.1000000000000001</v>
      </c>
      <c r="D45" s="63">
        <f>'Var Vorgaben'!$C$30</f>
        <v>32.700000000000003</v>
      </c>
      <c r="E45" s="45">
        <f t="shared" si="0"/>
        <v>35.970000000000006</v>
      </c>
      <c r="F45" s="131">
        <f>E45/E53</f>
        <v>1.4416767795129115E-3</v>
      </c>
      <c r="G45" s="5"/>
    </row>
    <row r="46" spans="1:7" x14ac:dyDescent="0.25">
      <c r="A46" s="1"/>
      <c r="B46" s="1" t="s">
        <v>38</v>
      </c>
      <c r="C46" s="1028">
        <v>7.5</v>
      </c>
      <c r="D46" s="63">
        <f>'Var Vorgaben'!$C$30</f>
        <v>32.700000000000003</v>
      </c>
      <c r="E46" s="45">
        <f t="shared" si="0"/>
        <v>245.25000000000003</v>
      </c>
      <c r="F46" s="131">
        <f>E46/E53</f>
        <v>9.8296144057698504E-3</v>
      </c>
      <c r="G46" s="5"/>
    </row>
    <row r="47" spans="1:7" x14ac:dyDescent="0.25">
      <c r="A47" s="11" t="s">
        <v>120</v>
      </c>
      <c r="B47" s="1" t="s">
        <v>39</v>
      </c>
      <c r="C47" s="1028">
        <v>75</v>
      </c>
      <c r="D47" s="63">
        <f>'Var Vorgaben'!$C$30</f>
        <v>32.700000000000003</v>
      </c>
      <c r="E47" s="45">
        <f t="shared" si="0"/>
        <v>2452.5</v>
      </c>
      <c r="F47" s="131">
        <f>E47/E53</f>
        <v>9.8296144057698487E-2</v>
      </c>
      <c r="G47" s="5"/>
    </row>
    <row r="48" spans="1:7" x14ac:dyDescent="0.25">
      <c r="A48" s="11" t="s">
        <v>119</v>
      </c>
      <c r="B48" s="1" t="s">
        <v>213</v>
      </c>
      <c r="C48" s="1028">
        <v>10</v>
      </c>
      <c r="D48" s="63">
        <f>'Var Vorgaben'!$C$30</f>
        <v>32.700000000000003</v>
      </c>
      <c r="E48" s="45">
        <f t="shared" si="0"/>
        <v>327</v>
      </c>
      <c r="F48" s="131">
        <f>E48/E53</f>
        <v>1.3106152541026464E-2</v>
      </c>
      <c r="G48" s="5"/>
    </row>
    <row r="49" spans="1:41" x14ac:dyDescent="0.25">
      <c r="A49" s="1"/>
      <c r="B49" s="1" t="s">
        <v>41</v>
      </c>
      <c r="C49" s="48">
        <f>C35</f>
        <v>1</v>
      </c>
      <c r="D49" s="63">
        <f>'Var Vorgaben'!$C$30</f>
        <v>32.700000000000003</v>
      </c>
      <c r="E49" s="45">
        <f t="shared" si="0"/>
        <v>32.700000000000003</v>
      </c>
      <c r="F49" s="131">
        <f>E49/E53</f>
        <v>1.3106152541026467E-3</v>
      </c>
      <c r="G49" s="5"/>
    </row>
    <row r="50" spans="1:41" ht="12.75" customHeight="1" thickBot="1" x14ac:dyDescent="0.3">
      <c r="A50" s="1"/>
      <c r="B50" s="1" t="s">
        <v>168</v>
      </c>
      <c r="C50" s="428">
        <f>SUM(C42:C49)*0.1</f>
        <v>10.01</v>
      </c>
      <c r="D50" s="63">
        <f>'Var Vorgaben'!$C$26</f>
        <v>41.4</v>
      </c>
      <c r="E50" s="208">
        <f t="shared" si="0"/>
        <v>414.41399999999999</v>
      </c>
      <c r="F50" s="131">
        <f>E50/E53</f>
        <v>1.6609703667085446E-2</v>
      </c>
      <c r="G50" s="5" t="s">
        <v>125</v>
      </c>
    </row>
    <row r="51" spans="1:41" ht="13" x14ac:dyDescent="0.3">
      <c r="A51" s="1"/>
      <c r="B51" s="1"/>
      <c r="C51" s="228">
        <f>SUM(C42:C50)</f>
        <v>110.11</v>
      </c>
      <c r="D51" s="63"/>
      <c r="E51" s="82">
        <f>SUM(E42:E50)</f>
        <v>3687.6840000000002</v>
      </c>
      <c r="F51" s="129">
        <f>E51/E53</f>
        <v>0.14780229060276037</v>
      </c>
      <c r="G51" s="5"/>
    </row>
    <row r="52" spans="1:41" s="22" customFormat="1" ht="15.5" x14ac:dyDescent="0.35">
      <c r="A52" s="475" t="s">
        <v>42</v>
      </c>
      <c r="B52" s="476"/>
      <c r="C52" s="477"/>
      <c r="D52" s="478"/>
      <c r="E52" s="508">
        <f>E51+E40</f>
        <v>5063.1840000000002</v>
      </c>
      <c r="F52" s="480">
        <f>E52/E53</f>
        <v>0.20293229922716985</v>
      </c>
      <c r="G52" s="509"/>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row>
    <row r="53" spans="1:41" s="29" customFormat="1" ht="17.5" x14ac:dyDescent="0.35">
      <c r="A53" s="475" t="s">
        <v>258</v>
      </c>
      <c r="B53" s="476"/>
      <c r="C53" s="477"/>
      <c r="D53" s="478"/>
      <c r="E53" s="479">
        <f>E52+E30</f>
        <v>24950.114000000001</v>
      </c>
      <c r="F53" s="480">
        <f>E53/E53</f>
        <v>1</v>
      </c>
      <c r="G53" s="516"/>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s="29" customFormat="1" ht="9.75" customHeight="1" x14ac:dyDescent="0.35">
      <c r="A54" s="497"/>
      <c r="B54" s="498"/>
      <c r="C54" s="499"/>
      <c r="D54" s="500"/>
      <c r="E54" s="501"/>
      <c r="F54" s="502"/>
      <c r="G54" s="51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ht="30.25" customHeight="1" x14ac:dyDescent="0.4">
      <c r="A55" s="496" t="s">
        <v>21</v>
      </c>
      <c r="B55" s="465"/>
      <c r="C55" s="396"/>
      <c r="D55" s="396"/>
      <c r="E55" s="396"/>
      <c r="F55" s="1370" t="s">
        <v>539</v>
      </c>
      <c r="G55" s="1371"/>
      <c r="O55" s="937"/>
    </row>
    <row r="56" spans="1:41" ht="15" customHeight="1" x14ac:dyDescent="0.4">
      <c r="A56" s="146"/>
      <c r="B56" s="19"/>
      <c r="C56" s="139" t="s">
        <v>18</v>
      </c>
      <c r="D56" s="139" t="s">
        <v>19</v>
      </c>
      <c r="E56" s="139" t="s">
        <v>20</v>
      </c>
      <c r="F56" s="50"/>
    </row>
    <row r="57" spans="1:41" ht="15" customHeight="1" x14ac:dyDescent="0.3">
      <c r="B57" s="1" t="s">
        <v>121</v>
      </c>
      <c r="C57" s="569">
        <f>(E10+E11)*2-2*6</f>
        <v>398</v>
      </c>
      <c r="D57" s="1024">
        <f>8.12*(1+$D$4)</f>
        <v>9.5815999999999981</v>
      </c>
      <c r="E57" s="45">
        <f t="shared" ref="E57:E63" si="1">C57*D57</f>
        <v>3813.4767999999995</v>
      </c>
      <c r="F57" s="131">
        <f>E57/E76</f>
        <v>0.45951709494324783</v>
      </c>
      <c r="H57" s="520"/>
    </row>
    <row r="58" spans="1:41" ht="15" customHeight="1" x14ac:dyDescent="0.3">
      <c r="B58" s="1" t="s">
        <v>437</v>
      </c>
      <c r="C58" s="142">
        <f>(C57/4)-(C57/4/5)</f>
        <v>79.599999999999994</v>
      </c>
      <c r="D58" s="1024">
        <f>12.51*(1+$D$4)</f>
        <v>14.761799999999999</v>
      </c>
      <c r="E58" s="45">
        <f t="shared" si="1"/>
        <v>1175.0392799999997</v>
      </c>
      <c r="F58" s="131">
        <f>E58/E76</f>
        <v>0.14159011964876922</v>
      </c>
      <c r="H58" s="520"/>
      <c r="K58" s="939"/>
    </row>
    <row r="59" spans="1:41" ht="15" customHeight="1" x14ac:dyDescent="0.3">
      <c r="B59" s="1" t="s">
        <v>436</v>
      </c>
      <c r="C59" s="142">
        <f>(C57/4)/5</f>
        <v>19.899999999999999</v>
      </c>
      <c r="D59" s="1024">
        <f>20.76*(1+$D$4)</f>
        <v>24.4968</v>
      </c>
      <c r="E59" s="45">
        <f t="shared" si="1"/>
        <v>487.48631999999998</v>
      </c>
      <c r="F59" s="131">
        <f>E59/E76</f>
        <v>5.8741224698410262E-2</v>
      </c>
      <c r="H59" s="520"/>
    </row>
    <row r="60" spans="1:41" ht="15" customHeight="1" x14ac:dyDescent="0.3">
      <c r="B60" s="1" t="s">
        <v>436</v>
      </c>
      <c r="C60" s="1029">
        <v>6</v>
      </c>
      <c r="D60" s="1024">
        <f>26.75*(1+$D$4)</f>
        <v>31.564999999999998</v>
      </c>
      <c r="E60" s="45">
        <f t="shared" si="1"/>
        <v>189.39</v>
      </c>
      <c r="F60" s="131">
        <f>E60/E76</f>
        <v>2.2821154336457931E-2</v>
      </c>
      <c r="H60" s="520"/>
    </row>
    <row r="61" spans="1:41" ht="15" customHeight="1" x14ac:dyDescent="0.3">
      <c r="B61" s="1" t="s">
        <v>22</v>
      </c>
      <c r="C61" s="1029">
        <v>2</v>
      </c>
      <c r="D61" s="1024">
        <f>230*(1+$D$4)</f>
        <v>271.39999999999998</v>
      </c>
      <c r="E61" s="45">
        <f t="shared" si="1"/>
        <v>542.79999999999995</v>
      </c>
      <c r="F61" s="246">
        <f>E61/$E$76</f>
        <v>6.5406423643430828E-2</v>
      </c>
      <c r="H61" s="520"/>
      <c r="J61" s="939"/>
    </row>
    <row r="62" spans="1:41" ht="15" customHeight="1" x14ac:dyDescent="0.3">
      <c r="B62" s="1" t="s">
        <v>435</v>
      </c>
      <c r="C62" s="871">
        <f>C57/18</f>
        <v>22.111111111111111</v>
      </c>
      <c r="D62" s="1024">
        <f>5.1*(1+$D$4)</f>
        <v>6.0179999999999989</v>
      </c>
      <c r="E62" s="45">
        <f t="shared" si="1"/>
        <v>133.06466666666665</v>
      </c>
      <c r="F62" s="246">
        <f>E62/$E$76</f>
        <v>1.6034052984472934E-2</v>
      </c>
      <c r="H62" s="520"/>
    </row>
    <row r="63" spans="1:41" ht="15" customHeight="1" x14ac:dyDescent="0.3">
      <c r="B63" s="1" t="s">
        <v>122</v>
      </c>
      <c r="C63" s="1025">
        <v>3</v>
      </c>
      <c r="D63" s="1024">
        <f>14.3*(1+$D$4)</f>
        <v>16.873999999999999</v>
      </c>
      <c r="E63" s="117">
        <f t="shared" si="1"/>
        <v>50.622</v>
      </c>
      <c r="F63" s="131">
        <f>E63/E76</f>
        <v>6.0998599441373542E-3</v>
      </c>
      <c r="H63" s="520"/>
    </row>
    <row r="64" spans="1:41" ht="15" customHeight="1" x14ac:dyDescent="0.3">
      <c r="C64" s="142"/>
      <c r="D64" s="63"/>
      <c r="E64" s="209">
        <f>SUM(E57:E63)</f>
        <v>6391.8790666666673</v>
      </c>
      <c r="F64" s="246">
        <f>E64/E76</f>
        <v>0.77020993019892658</v>
      </c>
    </row>
    <row r="65" spans="1:41" ht="15" customHeight="1" x14ac:dyDescent="0.25">
      <c r="B65" s="1" t="s">
        <v>23</v>
      </c>
      <c r="C65" s="142"/>
      <c r="D65" s="96"/>
      <c r="E65" s="1030">
        <v>-1194</v>
      </c>
      <c r="F65" s="131">
        <f>E65/$E$76</f>
        <v>-0.14387485230334637</v>
      </c>
    </row>
    <row r="66" spans="1:41" ht="15" customHeight="1" x14ac:dyDescent="0.3">
      <c r="B66" s="1"/>
      <c r="C66" s="142"/>
      <c r="D66" s="108"/>
      <c r="E66" s="121">
        <f>SUM(E64:E65)</f>
        <v>5197.8790666666673</v>
      </c>
      <c r="F66" s="335">
        <f>E66/$E$76</f>
        <v>0.62633507789558018</v>
      </c>
    </row>
    <row r="67" spans="1:41" s="1" customFormat="1" ht="15" customHeight="1" x14ac:dyDescent="0.3">
      <c r="B67" s="1" t="s">
        <v>126</v>
      </c>
      <c r="C67" s="142"/>
      <c r="D67" s="108"/>
      <c r="E67" s="1031">
        <v>350</v>
      </c>
      <c r="F67" s="335">
        <f>E67/$E$76</f>
        <v>4.2174370440679426E-2</v>
      </c>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row>
    <row r="68" spans="1:41" ht="15" customHeight="1" x14ac:dyDescent="0.35">
      <c r="A68" s="475" t="s">
        <v>26</v>
      </c>
      <c r="B68" s="460"/>
      <c r="C68" s="510"/>
      <c r="D68" s="504"/>
      <c r="E68" s="511">
        <f>E66+E67</f>
        <v>5547.8790666666673</v>
      </c>
      <c r="F68" s="488">
        <f>E68/E76</f>
        <v>0.66850944833625958</v>
      </c>
      <c r="G68" s="460"/>
    </row>
    <row r="69" spans="1:41" ht="19.5" customHeight="1" x14ac:dyDescent="0.3">
      <c r="A69" s="3" t="s">
        <v>30</v>
      </c>
      <c r="C69" s="123" t="s">
        <v>98</v>
      </c>
      <c r="D69" s="126" t="s">
        <v>28</v>
      </c>
      <c r="E69" s="124" t="s">
        <v>20</v>
      </c>
      <c r="F69" s="131"/>
    </row>
    <row r="70" spans="1:41" ht="16.5" customHeight="1" x14ac:dyDescent="0.25">
      <c r="A70" s="19"/>
      <c r="B70" s="1" t="s">
        <v>117</v>
      </c>
      <c r="C70" s="52">
        <f>'Var Vorgaben'!C145*C74</f>
        <v>7</v>
      </c>
      <c r="D70" s="144">
        <f>D36</f>
        <v>25</v>
      </c>
      <c r="E70" s="61">
        <f>C70*D70</f>
        <v>175</v>
      </c>
      <c r="F70" s="131">
        <f>E70/E76</f>
        <v>2.1087185220339713E-2</v>
      </c>
      <c r="G70" s="5"/>
    </row>
    <row r="71" spans="1:41" ht="16.5" customHeight="1" x14ac:dyDescent="0.25">
      <c r="A71" s="19"/>
      <c r="B71" s="1" t="s">
        <v>443</v>
      </c>
      <c r="C71" s="48">
        <f>C70</f>
        <v>7</v>
      </c>
      <c r="D71" s="141">
        <f>D38</f>
        <v>41</v>
      </c>
      <c r="E71" s="117">
        <f>C71*D71</f>
        <v>287</v>
      </c>
      <c r="F71" s="131">
        <f>E71/E76</f>
        <v>3.4582983761357128E-2</v>
      </c>
      <c r="G71" s="5"/>
    </row>
    <row r="72" spans="1:41" ht="16.5" customHeight="1" x14ac:dyDescent="0.3">
      <c r="A72" s="19"/>
      <c r="B72" s="1"/>
      <c r="C72" s="52"/>
      <c r="D72" s="141"/>
      <c r="E72" s="121">
        <f>SUM(E70:E71)</f>
        <v>462</v>
      </c>
      <c r="F72" s="131">
        <f>E72/E76</f>
        <v>5.5670168981696841E-2</v>
      </c>
      <c r="G72" s="5"/>
    </row>
    <row r="73" spans="1:41" ht="16.5" customHeight="1" x14ac:dyDescent="0.3">
      <c r="A73" s="3" t="s">
        <v>35</v>
      </c>
      <c r="C73" s="123" t="s">
        <v>34</v>
      </c>
      <c r="D73" s="126" t="s">
        <v>28</v>
      </c>
      <c r="E73" s="124" t="s">
        <v>29</v>
      </c>
      <c r="F73" s="131"/>
      <c r="G73" s="5"/>
    </row>
    <row r="74" spans="1:41" ht="16.5" customHeight="1" x14ac:dyDescent="0.3">
      <c r="B74" s="1" t="s">
        <v>40</v>
      </c>
      <c r="C74" s="1028">
        <v>70</v>
      </c>
      <c r="D74" s="63">
        <f>'Var Vorgaben'!$C$30</f>
        <v>32.700000000000003</v>
      </c>
      <c r="E74" s="209">
        <f>C74*D74</f>
        <v>2289</v>
      </c>
      <c r="F74" s="335">
        <f>E74/E76</f>
        <v>0.27582038268204345</v>
      </c>
      <c r="G74" s="5"/>
    </row>
    <row r="75" spans="1:41" s="22" customFormat="1" ht="15.5" x14ac:dyDescent="0.35">
      <c r="A75" s="780" t="s">
        <v>42</v>
      </c>
      <c r="B75" s="476"/>
      <c r="C75" s="477"/>
      <c r="D75" s="478"/>
      <c r="E75" s="783">
        <f>E72+E74</f>
        <v>2751</v>
      </c>
      <c r="F75" s="488">
        <f>E75/E76</f>
        <v>0.33149055166374031</v>
      </c>
      <c r="G75" s="509"/>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row>
    <row r="76" spans="1:41" s="29" customFormat="1" ht="18" customHeight="1" thickBot="1" x14ac:dyDescent="0.4">
      <c r="A76" s="780" t="s">
        <v>123</v>
      </c>
      <c r="B76" s="484"/>
      <c r="C76" s="485"/>
      <c r="D76" s="486"/>
      <c r="E76" s="784">
        <f>E68+E75</f>
        <v>8298.8790666666682</v>
      </c>
      <c r="F76" s="488">
        <f>E76/E76</f>
        <v>1</v>
      </c>
      <c r="G76" s="516"/>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row>
    <row r="77" spans="1:41" s="148" customFormat="1" ht="5.25" customHeight="1" x14ac:dyDescent="0.4">
      <c r="A77" s="487"/>
      <c r="B77" s="484"/>
      <c r="C77" s="485"/>
      <c r="D77" s="486"/>
      <c r="E77" s="785"/>
      <c r="F77" s="483"/>
      <c r="G77" s="481"/>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row>
    <row r="78" spans="1:41" s="148" customFormat="1" ht="18" customHeight="1" x14ac:dyDescent="0.4">
      <c r="A78" s="487" t="s">
        <v>124</v>
      </c>
      <c r="B78" s="484"/>
      <c r="C78" s="485"/>
      <c r="D78" s="486"/>
      <c r="E78" s="758">
        <f>E76+E53</f>
        <v>33248.99306666667</v>
      </c>
      <c r="F78" s="488"/>
      <c r="G78" s="481"/>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row>
    <row r="79" spans="1:41" ht="14" x14ac:dyDescent="0.3">
      <c r="A79" s="786" t="s">
        <v>454</v>
      </c>
      <c r="B79" s="711"/>
      <c r="C79" s="787"/>
      <c r="D79" s="788"/>
      <c r="E79" s="773">
        <f>E76</f>
        <v>8298.8790666666682</v>
      </c>
      <c r="F79" s="754">
        <f>C74</f>
        <v>70</v>
      </c>
      <c r="G79" s="5"/>
    </row>
    <row r="80" spans="1:41" ht="14" x14ac:dyDescent="0.3">
      <c r="A80" s="786" t="s">
        <v>255</v>
      </c>
      <c r="B80" s="704"/>
      <c r="C80" s="704"/>
      <c r="D80" s="704"/>
      <c r="E80" s="773">
        <f>F107</f>
        <v>35075.416800000006</v>
      </c>
      <c r="F80" s="754">
        <f>D106</f>
        <v>158</v>
      </c>
      <c r="G80" s="209"/>
    </row>
    <row r="81" spans="1:41" ht="14" x14ac:dyDescent="0.3">
      <c r="A81" s="772" t="s">
        <v>205</v>
      </c>
      <c r="B81" s="704"/>
      <c r="C81" s="787"/>
      <c r="D81" s="788"/>
      <c r="E81" s="789">
        <f>$F$152</f>
        <v>15425.64</v>
      </c>
      <c r="F81" s="754">
        <f>D151</f>
        <v>114.4</v>
      </c>
      <c r="G81" s="209"/>
    </row>
    <row r="82" spans="1:41" ht="14.5" thickBot="1" x14ac:dyDescent="0.35">
      <c r="A82" s="704" t="s">
        <v>43</v>
      </c>
      <c r="B82" s="704"/>
      <c r="C82" s="704"/>
      <c r="D82" s="704"/>
      <c r="E82" s="790">
        <f>SUM(E79:E81)</f>
        <v>58799.935866666674</v>
      </c>
    </row>
    <row r="83" spans="1:41" s="148" customFormat="1" ht="18" customHeight="1" thickBot="1" x14ac:dyDescent="0.45">
      <c r="A83" s="487" t="s">
        <v>256</v>
      </c>
      <c r="B83" s="484"/>
      <c r="C83" s="485"/>
      <c r="D83" s="486"/>
      <c r="E83" s="489">
        <f>E78+E80+E81</f>
        <v>83750.049866666683</v>
      </c>
      <c r="F83" s="490">
        <f>SUM(C51,F79,F80,F81)</f>
        <v>452.51</v>
      </c>
      <c r="G83" s="516"/>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row>
    <row r="84" spans="1:41" ht="15" customHeight="1" x14ac:dyDescent="0.4">
      <c r="A84" s="158"/>
      <c r="B84" s="1"/>
      <c r="C84" s="1"/>
      <c r="D84" s="1"/>
      <c r="E84" s="1"/>
      <c r="F84" s="1"/>
      <c r="G84" s="1"/>
    </row>
    <row r="85" spans="1:41" ht="20" x14ac:dyDescent="0.4">
      <c r="A85" s="473" t="s">
        <v>490</v>
      </c>
      <c r="B85" s="390"/>
      <c r="C85" s="390"/>
      <c r="D85" s="390" t="s">
        <v>491</v>
      </c>
      <c r="E85" s="390"/>
      <c r="F85" s="390" t="s">
        <v>492</v>
      </c>
      <c r="G85" s="390"/>
    </row>
    <row r="86" spans="1:41" ht="13" x14ac:dyDescent="0.3">
      <c r="D86" s="127" t="s">
        <v>18</v>
      </c>
      <c r="E86" s="24" t="s">
        <v>19</v>
      </c>
      <c r="F86" s="127" t="s">
        <v>20</v>
      </c>
      <c r="G86" s="128"/>
    </row>
    <row r="87" spans="1:41" ht="13" x14ac:dyDescent="0.3">
      <c r="A87" s="257" t="s">
        <v>217</v>
      </c>
      <c r="B87" t="s">
        <v>475</v>
      </c>
      <c r="C87" t="s">
        <v>476</v>
      </c>
      <c r="D87" s="978">
        <v>4</v>
      </c>
      <c r="E87" s="1024">
        <f>58.95*(1+$D$4)</f>
        <v>69.560999999999993</v>
      </c>
      <c r="F87" s="177">
        <f>D87*E87</f>
        <v>278.24399999999997</v>
      </c>
      <c r="G87" s="65">
        <f t="shared" ref="G87:G92" si="2">F87/$F$107</f>
        <v>7.9327353852000383E-3</v>
      </c>
      <c r="H87" s="520"/>
    </row>
    <row r="88" spans="1:41" ht="13" x14ac:dyDescent="0.3">
      <c r="A88" s="257"/>
      <c r="C88" t="s">
        <v>477</v>
      </c>
      <c r="D88" s="978">
        <v>380</v>
      </c>
      <c r="E88" s="1024">
        <f>23.25*(1+$D$4)</f>
        <v>27.434999999999999</v>
      </c>
      <c r="F88" s="177">
        <f>D88*E88</f>
        <v>10425.299999999999</v>
      </c>
      <c r="G88" s="65">
        <f t="shared" si="2"/>
        <v>0.2972252634785511</v>
      </c>
      <c r="H88" s="520"/>
    </row>
    <row r="89" spans="1:41" ht="13" x14ac:dyDescent="0.3">
      <c r="A89" s="257"/>
      <c r="C89" t="s">
        <v>478</v>
      </c>
      <c r="D89" s="978">
        <v>34</v>
      </c>
      <c r="E89" s="1024">
        <f>33.5*(1+$D$4)</f>
        <v>39.53</v>
      </c>
      <c r="F89" s="177">
        <f>D89*E89</f>
        <v>1344.02</v>
      </c>
      <c r="G89" s="65">
        <f t="shared" si="2"/>
        <v>3.8318005104931489E-2</v>
      </c>
      <c r="H89" s="520"/>
    </row>
    <row r="90" spans="1:41" ht="13" x14ac:dyDescent="0.3">
      <c r="A90" s="257"/>
      <c r="C90" t="s">
        <v>479</v>
      </c>
      <c r="D90" s="978">
        <v>82</v>
      </c>
      <c r="E90" s="1024">
        <f>20.18*(1+$D$4)</f>
        <v>23.812399999999997</v>
      </c>
      <c r="F90" s="177">
        <f>D90*E90</f>
        <v>1952.6167999999998</v>
      </c>
      <c r="G90" s="65">
        <f t="shared" si="2"/>
        <v>5.5669097565791421E-2</v>
      </c>
      <c r="H90" s="520"/>
    </row>
    <row r="91" spans="1:41" ht="13.5" thickBot="1" x14ac:dyDescent="0.35">
      <c r="A91" s="257"/>
      <c r="C91" t="s">
        <v>480</v>
      </c>
      <c r="D91" s="1032">
        <v>530</v>
      </c>
      <c r="E91" s="1024">
        <f>1.28*(1+$D$4)</f>
        <v>1.5104</v>
      </c>
      <c r="F91" s="895">
        <f>D91*E91</f>
        <v>800.51199999999994</v>
      </c>
      <c r="G91" s="65">
        <f t="shared" si="2"/>
        <v>2.2822594085325304E-2</v>
      </c>
      <c r="H91" s="520"/>
    </row>
    <row r="92" spans="1:41" ht="13" x14ac:dyDescent="0.3">
      <c r="A92" s="257"/>
      <c r="B92" s="64" t="s">
        <v>481</v>
      </c>
      <c r="D92" s="12"/>
      <c r="E92" s="32"/>
      <c r="F92" s="891">
        <f>SUM(F87:F91)</f>
        <v>14800.692800000001</v>
      </c>
      <c r="G92" s="331">
        <f t="shared" si="2"/>
        <v>0.42196769561979941</v>
      </c>
      <c r="H92" s="520"/>
    </row>
    <row r="93" spans="1:41" ht="13" x14ac:dyDescent="0.3">
      <c r="A93" s="257"/>
      <c r="D93" s="12"/>
      <c r="E93" s="32"/>
      <c r="F93" s="177"/>
      <c r="G93" s="65"/>
      <c r="H93" s="520"/>
    </row>
    <row r="94" spans="1:41" s="1" customFormat="1" ht="13" x14ac:dyDescent="0.3">
      <c r="A94" s="257"/>
      <c r="B94" t="s">
        <v>246</v>
      </c>
      <c r="C94" t="s">
        <v>482</v>
      </c>
      <c r="D94" s="1032">
        <v>1630</v>
      </c>
      <c r="E94" s="1024">
        <f>0.7*(1+$D$4)</f>
        <v>0.82599999999999996</v>
      </c>
      <c r="F94" s="177">
        <f>D94*E94</f>
        <v>1346.3799999999999</v>
      </c>
      <c r="G94" s="65">
        <f t="shared" ref="G94:G101" si="3">F94/$F$107</f>
        <v>3.8385288695984919E-2</v>
      </c>
      <c r="H94" s="520"/>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row>
    <row r="95" spans="1:41" s="1" customFormat="1" ht="13" x14ac:dyDescent="0.3">
      <c r="A95" s="257"/>
      <c r="B95"/>
      <c r="C95" t="s">
        <v>483</v>
      </c>
      <c r="D95" s="1032">
        <v>6030</v>
      </c>
      <c r="E95" s="1024">
        <f>0.41*(1+$D$4)</f>
        <v>0.48379999999999995</v>
      </c>
      <c r="F95" s="177">
        <f>D95*E95</f>
        <v>2917.3139999999999</v>
      </c>
      <c r="G95" s="65">
        <f t="shared" si="3"/>
        <v>8.3172611080704228E-2</v>
      </c>
      <c r="H95" s="520"/>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row>
    <row r="96" spans="1:41" ht="13" x14ac:dyDescent="0.3">
      <c r="A96" s="257"/>
      <c r="C96" t="s">
        <v>484</v>
      </c>
      <c r="D96" s="978">
        <v>340</v>
      </c>
      <c r="E96" s="1024">
        <f>19.5*(1+$D$4)</f>
        <v>23.009999999999998</v>
      </c>
      <c r="F96" s="177">
        <f>D96*E96</f>
        <v>7823.4</v>
      </c>
      <c r="G96" s="65">
        <f t="shared" si="3"/>
        <v>0.22304510434213851</v>
      </c>
      <c r="H96" s="520"/>
    </row>
    <row r="97" spans="1:41" ht="13" x14ac:dyDescent="0.3">
      <c r="A97" s="257"/>
      <c r="C97" t="s">
        <v>485</v>
      </c>
      <c r="D97" s="978">
        <v>800</v>
      </c>
      <c r="E97" s="1024">
        <f>0.44*(1+$D$4)</f>
        <v>0.51919999999999999</v>
      </c>
      <c r="F97" s="177">
        <f>D97*E97</f>
        <v>415.36</v>
      </c>
      <c r="G97" s="65">
        <f t="shared" si="3"/>
        <v>1.184191202540464E-2</v>
      </c>
      <c r="H97" s="520"/>
    </row>
    <row r="98" spans="1:41" ht="13" x14ac:dyDescent="0.3">
      <c r="A98" s="257"/>
      <c r="C98" t="s">
        <v>486</v>
      </c>
      <c r="D98" s="978">
        <v>52</v>
      </c>
      <c r="E98" s="1024">
        <f>4.5*(1+$D$4)</f>
        <v>5.31</v>
      </c>
      <c r="F98" s="177">
        <f>D98*E98</f>
        <v>276.12</v>
      </c>
      <c r="G98" s="65">
        <f t="shared" si="3"/>
        <v>7.8721801532519488E-3</v>
      </c>
      <c r="H98" s="520"/>
    </row>
    <row r="99" spans="1:41" ht="13" x14ac:dyDescent="0.3">
      <c r="A99" s="257"/>
      <c r="C99" t="s">
        <v>487</v>
      </c>
      <c r="D99" s="12"/>
      <c r="E99" s="32"/>
      <c r="F99" s="1033">
        <f>1233*(1+$D$4)</f>
        <v>1454.9399999999998</v>
      </c>
      <c r="G99" s="65">
        <f t="shared" si="3"/>
        <v>4.1480333884442951E-2</v>
      </c>
      <c r="H99" s="520"/>
    </row>
    <row r="100" spans="1:41" ht="12.75" customHeight="1" thickBot="1" x14ac:dyDescent="0.35">
      <c r="C100" t="s">
        <v>488</v>
      </c>
      <c r="E100" s="32"/>
      <c r="F100" s="1034">
        <v>800</v>
      </c>
      <c r="G100" s="65">
        <f t="shared" si="3"/>
        <v>2.2807996967266254E-2</v>
      </c>
      <c r="H100" s="520"/>
    </row>
    <row r="101" spans="1:41" ht="13" x14ac:dyDescent="0.3">
      <c r="B101" s="64" t="s">
        <v>489</v>
      </c>
      <c r="E101" s="32"/>
      <c r="F101" s="206">
        <f>SUM(F94:F100)</f>
        <v>15033.514000000001</v>
      </c>
      <c r="G101" s="331">
        <f t="shared" si="3"/>
        <v>0.42860542714919353</v>
      </c>
      <c r="H101" s="520"/>
    </row>
    <row r="102" spans="1:41" s="100" customFormat="1" ht="12.75" customHeight="1" x14ac:dyDescent="0.3">
      <c r="A102"/>
      <c r="B102"/>
      <c r="C102"/>
      <c r="D102"/>
      <c r="E102" s="32"/>
      <c r="F102"/>
      <c r="G102" s="331"/>
      <c r="H102" s="52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row>
    <row r="103" spans="1:41" s="1" customFormat="1" ht="12.75" customHeight="1" x14ac:dyDescent="0.3">
      <c r="A103" t="s">
        <v>499</v>
      </c>
      <c r="B103" s="1" t="str">
        <f>'Standard Vorgaben'!$B$142</f>
        <v>Obstbautraktor 4-Rad (45-54 kW, 61-73 PS)</v>
      </c>
      <c r="C103"/>
      <c r="D103" s="1035">
        <v>28.5</v>
      </c>
      <c r="E103" s="63">
        <f>D38</f>
        <v>41</v>
      </c>
      <c r="F103" s="512">
        <f>D103*E103</f>
        <v>1168.5</v>
      </c>
      <c r="G103" s="331">
        <f>F103/$F$107</f>
        <v>3.3313930570313274E-2</v>
      </c>
      <c r="H103" s="520"/>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row>
    <row r="104" spans="1:41" s="1" customFormat="1" ht="13" x14ac:dyDescent="0.3">
      <c r="A104"/>
      <c r="B104" s="1" t="str">
        <f>'Standard Vorgaben'!$B$137</f>
        <v>Hebebühne</v>
      </c>
      <c r="C104"/>
      <c r="D104" s="755">
        <f>D103</f>
        <v>28.5</v>
      </c>
      <c r="E104" s="63">
        <f>'Var Vorgaben'!I136</f>
        <v>17.5</v>
      </c>
      <c r="F104" s="512">
        <f>D104*E104</f>
        <v>498.75</v>
      </c>
      <c r="G104" s="331">
        <f>F104/$F$107</f>
        <v>1.4219360609280056E-2</v>
      </c>
      <c r="H104" s="520"/>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row>
    <row r="105" spans="1:41" s="1" customFormat="1" ht="13" x14ac:dyDescent="0.3">
      <c r="A105"/>
      <c r="C105"/>
      <c r="D105" s="755"/>
      <c r="E105" s="63"/>
      <c r="F105" s="512"/>
      <c r="G105" s="331"/>
      <c r="H105" s="520"/>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row>
    <row r="106" spans="1:41" s="1" customFormat="1" ht="13" x14ac:dyDescent="0.3">
      <c r="A106" t="s">
        <v>218</v>
      </c>
      <c r="B106" t="s">
        <v>500</v>
      </c>
      <c r="C106"/>
      <c r="D106" s="1036">
        <v>158</v>
      </c>
      <c r="E106" s="63">
        <f>'Standard Vorgaben'!$C$30</f>
        <v>22.62</v>
      </c>
      <c r="F106" s="512">
        <f>D106*E106</f>
        <v>3573.96</v>
      </c>
      <c r="G106" s="331">
        <f>F106/$F$107</f>
        <v>0.10189358605141363</v>
      </c>
      <c r="H106" s="520"/>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row>
    <row r="107" spans="1:41" s="1" customFormat="1" ht="13.5" thickBot="1" x14ac:dyDescent="0.35">
      <c r="A107" s="491" t="s">
        <v>255</v>
      </c>
      <c r="B107" s="460"/>
      <c r="C107" s="460"/>
      <c r="D107" s="460"/>
      <c r="E107" s="460"/>
      <c r="F107" s="492">
        <f>SUM(F103:F106)+F101+F92</f>
        <v>35075.416800000006</v>
      </c>
      <c r="G107" s="800">
        <f>F107/$F$107</f>
        <v>1</v>
      </c>
      <c r="H107" s="19"/>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row>
    <row r="108" spans="1:41" s="1" customFormat="1" ht="13.5" thickTop="1" x14ac:dyDescent="0.3">
      <c r="A108" s="176"/>
      <c r="C108" s="229"/>
      <c r="D108" s="127" t="s">
        <v>18</v>
      </c>
      <c r="E108" s="24" t="s">
        <v>19</v>
      </c>
      <c r="F108" s="127" t="s">
        <v>20</v>
      </c>
      <c r="G108" s="12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row>
    <row r="109" spans="1:41" ht="13" x14ac:dyDescent="0.3">
      <c r="A109" s="107" t="s">
        <v>495</v>
      </c>
      <c r="B109" s="273" t="s">
        <v>247</v>
      </c>
      <c r="C109" s="1037">
        <v>2.5</v>
      </c>
      <c r="D109" s="756">
        <f>F15*F10*2*C109</f>
        <v>9775</v>
      </c>
      <c r="E109" s="1039">
        <f>3*(1+$D$4)</f>
        <v>3.54</v>
      </c>
      <c r="F109" s="258">
        <f>D109*E109</f>
        <v>34603.5</v>
      </c>
      <c r="G109" s="259">
        <f>F109/$F$122</f>
        <v>0.63232384453774604</v>
      </c>
      <c r="H109" s="520"/>
    </row>
    <row r="110" spans="1:41" ht="13" x14ac:dyDescent="0.3">
      <c r="A110" t="s">
        <v>497</v>
      </c>
      <c r="C110" s="272"/>
      <c r="D110" s="1038">
        <v>6000</v>
      </c>
      <c r="E110" s="1039">
        <f>1.15*(1+$D$4)</f>
        <v>1.3569999999999998</v>
      </c>
      <c r="F110" s="896">
        <f>D110*E110</f>
        <v>8141.9999999999982</v>
      </c>
      <c r="G110" s="259">
        <f>F110/$F$122</f>
        <v>0.14878208106770491</v>
      </c>
      <c r="H110" s="520"/>
    </row>
    <row r="111" spans="1:41" ht="13.5" thickBot="1" x14ac:dyDescent="0.35">
      <c r="A111" s="274" t="s">
        <v>496</v>
      </c>
      <c r="D111" s="1319"/>
      <c r="E111" s="1320"/>
      <c r="F111" s="897">
        <v>2000</v>
      </c>
      <c r="G111" s="738">
        <f>F111/$F$122</f>
        <v>3.6546814312872745E-2</v>
      </c>
      <c r="H111" s="520"/>
    </row>
    <row r="112" spans="1:41" ht="13" x14ac:dyDescent="0.3">
      <c r="A112" s="274"/>
      <c r="F112" s="255">
        <f>SUM(F109:F111)</f>
        <v>44745.5</v>
      </c>
      <c r="G112" s="738">
        <f>F112/$F$122</f>
        <v>0.81765273991832366</v>
      </c>
      <c r="H112"/>
      <c r="I112" s="1321"/>
    </row>
    <row r="113" spans="1:41" s="1" customFormat="1" ht="13" x14ac:dyDescent="0.3">
      <c r="A113" t="s">
        <v>672</v>
      </c>
      <c r="B113"/>
      <c r="C113" t="s">
        <v>674</v>
      </c>
      <c r="D113" s="898">
        <f>2*4*F10</f>
        <v>920</v>
      </c>
      <c r="E113" s="1024">
        <f>1.05*(1+$D$4)</f>
        <v>1.2389999999999999</v>
      </c>
      <c r="F113" s="893">
        <f>D113*E113</f>
        <v>1139.8799999999999</v>
      </c>
      <c r="G113" s="65">
        <f>F113/$F$107</f>
        <v>3.2497974478809318E-2</v>
      </c>
      <c r="H113" s="520"/>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row>
    <row r="114" spans="1:41" s="1" customFormat="1" ht="13" x14ac:dyDescent="0.3">
      <c r="A114"/>
      <c r="B114" s="64"/>
      <c r="C114" t="s">
        <v>673</v>
      </c>
      <c r="D114" s="898">
        <f>2*4*E11</f>
        <v>640</v>
      </c>
      <c r="E114" s="1024">
        <f>1.05*(1+$D$4)</f>
        <v>1.2389999999999999</v>
      </c>
      <c r="F114" s="893">
        <f>D114*E114</f>
        <v>792.95999999999992</v>
      </c>
      <c r="G114" s="65">
        <f>F114/$F$107</f>
        <v>2.260728659395431E-2</v>
      </c>
      <c r="H114" s="520"/>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row>
    <row r="115" spans="1:41" s="1" customFormat="1" ht="13" x14ac:dyDescent="0.3">
      <c r="A115"/>
      <c r="B115" s="64"/>
      <c r="C115" t="s">
        <v>675</v>
      </c>
      <c r="D115" s="898">
        <f>(F15-1)*0.7*F10</f>
        <v>1288</v>
      </c>
      <c r="E115" s="1024">
        <f>1.05*(1+$D$4)</f>
        <v>1.2389999999999999</v>
      </c>
      <c r="F115" s="893">
        <f>D115*E115</f>
        <v>1595.8319999999999</v>
      </c>
      <c r="G115" s="65">
        <f>F115/$F$107</f>
        <v>4.5497164270333047E-2</v>
      </c>
      <c r="H115" s="520"/>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row>
    <row r="116" spans="1:41" ht="13.5" thickBot="1" x14ac:dyDescent="0.35">
      <c r="C116" t="s">
        <v>494</v>
      </c>
      <c r="D116" s="978">
        <v>400</v>
      </c>
      <c r="E116" s="1024">
        <f>0.28*(1+$D$4)</f>
        <v>0.33040000000000003</v>
      </c>
      <c r="F116" s="895">
        <f>D116*E116</f>
        <v>132.16000000000003</v>
      </c>
      <c r="G116" s="65">
        <f>F116/$F$107</f>
        <v>3.7678810989923862E-3</v>
      </c>
      <c r="H116" s="520"/>
    </row>
    <row r="117" spans="1:41" ht="13" x14ac:dyDescent="0.3">
      <c r="A117" s="64" t="s">
        <v>676</v>
      </c>
      <c r="B117" s="64"/>
      <c r="D117" s="47"/>
      <c r="E117" s="63"/>
      <c r="F117" s="255">
        <f>SUM(F113:F116)</f>
        <v>3660.8319999999994</v>
      </c>
      <c r="G117" s="331">
        <f>F117/$F$107</f>
        <v>0.10437030644208906</v>
      </c>
      <c r="H117" s="520"/>
    </row>
    <row r="118" spans="1:41" ht="13" x14ac:dyDescent="0.3">
      <c r="B118" s="64"/>
      <c r="D118" s="47"/>
      <c r="E118" s="63"/>
      <c r="F118" s="255"/>
      <c r="G118" s="331"/>
      <c r="H118" s="520"/>
    </row>
    <row r="119" spans="1:41" ht="12.75" customHeight="1" x14ac:dyDescent="0.3">
      <c r="A119" s="64" t="s">
        <v>250</v>
      </c>
      <c r="B119" s="1" t="str">
        <f>'Standard Vorgaben'!$B$142</f>
        <v>Obstbautraktor 4-Rad (45-54 kW, 61-73 PS)</v>
      </c>
      <c r="D119" s="1035">
        <v>50</v>
      </c>
      <c r="E119" s="63">
        <f>E103</f>
        <v>41</v>
      </c>
      <c r="F119" s="512">
        <f>D119*E119</f>
        <v>2050</v>
      </c>
      <c r="G119" s="738">
        <f>F119/$F$122</f>
        <v>3.7460484670694565E-2</v>
      </c>
      <c r="H119" s="520"/>
    </row>
    <row r="120" spans="1:41" ht="13" x14ac:dyDescent="0.3">
      <c r="B120" s="1" t="str">
        <f>'Standard Vorgaben'!$B$137</f>
        <v>Hebebühne</v>
      </c>
      <c r="D120" s="755">
        <f>D119</f>
        <v>50</v>
      </c>
      <c r="E120" s="63">
        <f>E104</f>
        <v>17.5</v>
      </c>
      <c r="F120" s="512">
        <f>D120*E120</f>
        <v>875</v>
      </c>
      <c r="G120" s="65">
        <f>F120/$F$122</f>
        <v>1.5989231261881825E-2</v>
      </c>
      <c r="H120" s="520"/>
    </row>
    <row r="121" spans="1:41" ht="13" x14ac:dyDescent="0.3">
      <c r="B121" t="s">
        <v>218</v>
      </c>
      <c r="D121" s="1035">
        <v>150</v>
      </c>
      <c r="E121" s="63">
        <f>'Standard Vorgaben'!$C$30</f>
        <v>22.62</v>
      </c>
      <c r="F121" s="512">
        <f>D121*E121</f>
        <v>3393</v>
      </c>
      <c r="G121" s="738">
        <f>F121/$F$122</f>
        <v>6.2001670481788611E-2</v>
      </c>
      <c r="H121" s="520"/>
    </row>
    <row r="122" spans="1:41" ht="13" x14ac:dyDescent="0.3">
      <c r="A122" s="491" t="s">
        <v>682</v>
      </c>
      <c r="B122" s="460"/>
      <c r="C122" s="460"/>
      <c r="D122" s="460"/>
      <c r="E122" s="464"/>
      <c r="F122" s="494">
        <f>F112+F117+F119+F120+F121</f>
        <v>54724.332000000002</v>
      </c>
      <c r="G122" s="513">
        <f>F122/$F$122</f>
        <v>1</v>
      </c>
      <c r="H122"/>
    </row>
    <row r="123" spans="1:41" ht="21" customHeight="1" x14ac:dyDescent="0.3">
      <c r="A123" s="107" t="s">
        <v>252</v>
      </c>
      <c r="B123" s="100"/>
      <c r="C123" s="100"/>
      <c r="D123" s="100"/>
      <c r="E123" s="100"/>
      <c r="F123" s="206"/>
      <c r="G123" s="276"/>
      <c r="H123" s="230"/>
    </row>
    <row r="124" spans="1:41" ht="22.5" customHeight="1" x14ac:dyDescent="0.3">
      <c r="A124" s="107" t="s">
        <v>218</v>
      </c>
      <c r="B124" s="87" t="s">
        <v>253</v>
      </c>
      <c r="C124" s="100"/>
      <c r="D124" s="1040">
        <v>20</v>
      </c>
      <c r="E124" s="63">
        <f>'Standard Vorgaben'!$C$30</f>
        <v>22.62</v>
      </c>
      <c r="F124" s="264">
        <f>D124*E124</f>
        <v>452.40000000000003</v>
      </c>
      <c r="G124" s="246">
        <f>F124/$F$131</f>
        <v>0.16402397756937059</v>
      </c>
      <c r="H124" s="520"/>
    </row>
    <row r="125" spans="1:41" ht="13" x14ac:dyDescent="0.3">
      <c r="A125" s="176"/>
      <c r="B125" s="87" t="s">
        <v>228</v>
      </c>
      <c r="C125" s="100"/>
      <c r="D125" s="1041">
        <v>20</v>
      </c>
      <c r="E125" s="63">
        <f>'Standard Vorgaben'!$C$30</f>
        <v>22.62</v>
      </c>
      <c r="F125" s="264">
        <f>D125*E125</f>
        <v>452.40000000000003</v>
      </c>
      <c r="G125" s="246">
        <f t="shared" ref="G125:G131" si="4">F125/$F$131</f>
        <v>0.16402397756937059</v>
      </c>
      <c r="H125" s="520"/>
    </row>
    <row r="126" spans="1:41" ht="13.5" thickBot="1" x14ac:dyDescent="0.35">
      <c r="A126" s="176"/>
      <c r="B126" s="87" t="s">
        <v>501</v>
      </c>
      <c r="C126" s="100"/>
      <c r="D126" s="906"/>
      <c r="E126" s="63"/>
      <c r="F126" s="1042">
        <v>450</v>
      </c>
      <c r="G126" s="246"/>
      <c r="H126" s="520"/>
    </row>
    <row r="127" spans="1:41" ht="13" x14ac:dyDescent="0.3">
      <c r="A127" s="176"/>
      <c r="B127" s="100"/>
      <c r="C127" s="100"/>
      <c r="D127" s="260">
        <f>SUM(D124:D125)</f>
        <v>40</v>
      </c>
      <c r="E127" s="263"/>
      <c r="F127" s="206">
        <f>SUM(F124:F126)</f>
        <v>1354.8000000000002</v>
      </c>
      <c r="G127" s="335">
        <f t="shared" si="4"/>
        <v>0.4912017789809533</v>
      </c>
      <c r="H127"/>
    </row>
    <row r="128" spans="1:41" ht="13" x14ac:dyDescent="0.3">
      <c r="A128" s="64" t="s">
        <v>133</v>
      </c>
      <c r="B128" s="100" t="str">
        <f>'Var Vorgaben'!B136</f>
        <v>Hebebühne</v>
      </c>
      <c r="C128" s="100"/>
      <c r="D128" s="260">
        <f>'Var Vorgaben'!C136/3</f>
        <v>33.333333333333336</v>
      </c>
      <c r="E128" s="275">
        <f>E120</f>
        <v>17.5</v>
      </c>
      <c r="F128" s="264">
        <f>D128*E128</f>
        <v>583.33333333333337</v>
      </c>
      <c r="G128" s="246">
        <f t="shared" si="4"/>
        <v>0.21149569757323794</v>
      </c>
      <c r="H128" s="520"/>
    </row>
    <row r="129" spans="1:8" ht="12.75" customHeight="1" x14ac:dyDescent="0.3">
      <c r="A129" s="176"/>
      <c r="B129" s="100" t="s">
        <v>249</v>
      </c>
      <c r="C129" s="100"/>
      <c r="D129" s="1040">
        <v>20</v>
      </c>
      <c r="E129" s="275">
        <f>'Standard Vorgaben'!D127</f>
        <v>41</v>
      </c>
      <c r="F129" s="265">
        <f>D129*E129</f>
        <v>820</v>
      </c>
      <c r="G129" s="246">
        <f t="shared" si="4"/>
        <v>0.29730252344580871</v>
      </c>
      <c r="H129" s="520"/>
    </row>
    <row r="130" spans="1:8" ht="13" x14ac:dyDescent="0.3">
      <c r="A130" s="176"/>
      <c r="B130" s="100"/>
      <c r="C130" s="100"/>
      <c r="D130" s="260"/>
      <c r="E130" s="275"/>
      <c r="F130" s="206">
        <f>SUM(F128:F129)</f>
        <v>1403.3333333333335</v>
      </c>
      <c r="G130" s="335">
        <f t="shared" si="4"/>
        <v>0.5087982210190467</v>
      </c>
      <c r="H130"/>
    </row>
    <row r="131" spans="1:8" ht="13" x14ac:dyDescent="0.3">
      <c r="A131" s="491" t="s">
        <v>251</v>
      </c>
      <c r="B131" s="460"/>
      <c r="C131" s="460"/>
      <c r="D131" s="460"/>
      <c r="E131" s="460"/>
      <c r="F131" s="494">
        <f>F127+F130</f>
        <v>2758.1333333333337</v>
      </c>
      <c r="G131" s="488">
        <f t="shared" si="4"/>
        <v>1</v>
      </c>
    </row>
    <row r="132" spans="1:8" ht="15" customHeight="1" x14ac:dyDescent="0.3">
      <c r="A132" s="107" t="s">
        <v>516</v>
      </c>
      <c r="B132" s="872"/>
      <c r="C132" s="873"/>
      <c r="D132" s="268" t="s">
        <v>232</v>
      </c>
      <c r="E132" s="50" t="s">
        <v>233</v>
      </c>
      <c r="F132" s="50" t="s">
        <v>235</v>
      </c>
      <c r="G132" s="900"/>
      <c r="H132" s="638"/>
    </row>
    <row r="133" spans="1:8" ht="13" x14ac:dyDescent="0.3">
      <c r="A133" t="s">
        <v>459</v>
      </c>
      <c r="B133" s="87" t="s">
        <v>498</v>
      </c>
      <c r="D133" s="1040">
        <v>20</v>
      </c>
      <c r="E133" s="63">
        <f>'Standard Vorgaben'!$C$30</f>
        <v>22.62</v>
      </c>
      <c r="F133" s="512">
        <f>D133*E133</f>
        <v>452.40000000000003</v>
      </c>
      <c r="G133" s="96"/>
      <c r="H133" s="638"/>
    </row>
    <row r="134" spans="1:8" ht="13" x14ac:dyDescent="0.3">
      <c r="A134" s="491" t="s">
        <v>502</v>
      </c>
      <c r="B134" s="460"/>
      <c r="C134" s="460"/>
      <c r="D134" s="460"/>
      <c r="E134" s="460"/>
      <c r="F134" s="494">
        <f>F133</f>
        <v>452.40000000000003</v>
      </c>
      <c r="G134" s="488"/>
    </row>
    <row r="135" spans="1:8" ht="21.75" customHeight="1" x14ac:dyDescent="0.35">
      <c r="A135" s="475" t="s">
        <v>503</v>
      </c>
      <c r="B135" s="392"/>
      <c r="C135" s="392"/>
      <c r="D135" s="901"/>
      <c r="E135" s="902"/>
      <c r="F135" s="904">
        <f>F134+F131</f>
        <v>3210.5333333333338</v>
      </c>
      <c r="G135" s="903"/>
      <c r="H135" s="737"/>
    </row>
    <row r="136" spans="1:8" ht="21.75" customHeight="1" x14ac:dyDescent="0.35">
      <c r="A136" s="497"/>
      <c r="B136" s="1"/>
      <c r="C136" s="1"/>
      <c r="D136" s="260"/>
      <c r="E136" s="797"/>
      <c r="F136" s="905"/>
      <c r="G136" s="335"/>
      <c r="H136" s="737"/>
    </row>
    <row r="137" spans="1:8" ht="20" x14ac:dyDescent="0.4">
      <c r="A137" s="473" t="s">
        <v>505</v>
      </c>
      <c r="B137" s="390"/>
      <c r="C137" s="390"/>
      <c r="D137" s="1367" t="s">
        <v>474</v>
      </c>
      <c r="E137" s="1367"/>
      <c r="F137" s="1367"/>
      <c r="G137" s="1367"/>
      <c r="H137" s="520"/>
    </row>
    <row r="138" spans="1:8" ht="13" x14ac:dyDescent="0.3">
      <c r="D138" s="127" t="s">
        <v>18</v>
      </c>
      <c r="E138" s="24" t="s">
        <v>19</v>
      </c>
      <c r="F138" s="127" t="s">
        <v>20</v>
      </c>
      <c r="G138" s="128"/>
      <c r="H138" s="520"/>
    </row>
    <row r="139" spans="1:8" ht="15" customHeight="1" x14ac:dyDescent="0.3">
      <c r="A139" s="256" t="s">
        <v>217</v>
      </c>
      <c r="B139" s="1368" t="s">
        <v>506</v>
      </c>
      <c r="C139" s="1369"/>
      <c r="D139" s="757"/>
      <c r="E139" s="63"/>
      <c r="F139" s="1033">
        <f>4682*(1+$D$4)</f>
        <v>5524.7599999999993</v>
      </c>
      <c r="G139" s="65">
        <f t="shared" ref="G139:G152" si="5">F139/$F$152</f>
        <v>0.35815434562196446</v>
      </c>
      <c r="H139" s="520"/>
    </row>
    <row r="140" spans="1:8" ht="13" x14ac:dyDescent="0.3">
      <c r="B140" t="s">
        <v>507</v>
      </c>
      <c r="D140" s="142"/>
      <c r="E140" s="63"/>
      <c r="F140" s="1043">
        <f>1500*(1+$D$4)</f>
        <v>1770</v>
      </c>
      <c r="G140" s="65">
        <f t="shared" si="5"/>
        <v>0.1147440235867037</v>
      </c>
      <c r="H140" s="520"/>
    </row>
    <row r="141" spans="1:8" ht="13.5" thickBot="1" x14ac:dyDescent="0.35">
      <c r="B141" s="87" t="s">
        <v>508</v>
      </c>
      <c r="F141" s="1042">
        <f>1550*(1+$D$4)</f>
        <v>1829</v>
      </c>
      <c r="G141" s="65">
        <f t="shared" si="5"/>
        <v>0.11856882437292715</v>
      </c>
      <c r="H141" s="520"/>
    </row>
    <row r="142" spans="1:8" ht="13" x14ac:dyDescent="0.3">
      <c r="F142" s="206">
        <f>SUM(F139:F141)</f>
        <v>9123.7599999999984</v>
      </c>
      <c r="G142" s="331">
        <f t="shared" si="5"/>
        <v>0.59146719358159527</v>
      </c>
      <c r="H142" s="520"/>
    </row>
    <row r="143" spans="1:8" ht="22.5" customHeight="1" x14ac:dyDescent="0.3">
      <c r="A143" t="s">
        <v>133</v>
      </c>
      <c r="F143" s="1044">
        <v>2561</v>
      </c>
      <c r="G143" s="331">
        <f t="shared" si="5"/>
        <v>0.16602228497488597</v>
      </c>
      <c r="H143" s="520"/>
    </row>
    <row r="144" spans="1:8" ht="13" x14ac:dyDescent="0.3">
      <c r="A144" t="s">
        <v>218</v>
      </c>
      <c r="B144" t="s">
        <v>509</v>
      </c>
      <c r="D144" s="1035">
        <v>10</v>
      </c>
      <c r="F144" s="255"/>
      <c r="G144" s="331">
        <f t="shared" si="5"/>
        <v>0</v>
      </c>
      <c r="H144" s="520"/>
    </row>
    <row r="145" spans="1:8" ht="13" x14ac:dyDescent="0.3">
      <c r="B145" t="s">
        <v>510</v>
      </c>
      <c r="D145" s="1035">
        <v>60</v>
      </c>
      <c r="E145" s="63"/>
      <c r="F145" s="255"/>
      <c r="G145" s="331"/>
      <c r="H145" s="520"/>
    </row>
    <row r="146" spans="1:8" ht="13" x14ac:dyDescent="0.3">
      <c r="B146" t="s">
        <v>511</v>
      </c>
      <c r="D146" s="1035">
        <v>10</v>
      </c>
      <c r="E146" s="63"/>
      <c r="F146" s="255"/>
      <c r="G146" s="331"/>
      <c r="H146" s="520"/>
    </row>
    <row r="147" spans="1:8" ht="13" x14ac:dyDescent="0.3">
      <c r="B147" t="s">
        <v>514</v>
      </c>
      <c r="D147" s="1035">
        <v>18</v>
      </c>
      <c r="E147" s="63"/>
      <c r="F147" s="255"/>
      <c r="G147" s="331"/>
      <c r="H147" s="520"/>
    </row>
    <row r="148" spans="1:8" ht="13" x14ac:dyDescent="0.3">
      <c r="B148" t="s">
        <v>512</v>
      </c>
      <c r="D148" s="1035">
        <v>3</v>
      </c>
      <c r="E148" s="63"/>
      <c r="F148" s="255"/>
      <c r="G148" s="331"/>
      <c r="H148" s="520"/>
    </row>
    <row r="149" spans="1:8" ht="13" x14ac:dyDescent="0.3">
      <c r="B149" t="s">
        <v>513</v>
      </c>
      <c r="D149" s="1045">
        <v>3</v>
      </c>
      <c r="E149" s="63"/>
      <c r="F149" s="255"/>
      <c r="G149" s="331"/>
      <c r="H149" s="520"/>
    </row>
    <row r="150" spans="1:8" ht="13.5" thickBot="1" x14ac:dyDescent="0.35">
      <c r="B150" t="s">
        <v>515</v>
      </c>
      <c r="D150" s="915">
        <f>0.1*SUM(D144:D149)</f>
        <v>10.4</v>
      </c>
      <c r="E150" s="63"/>
      <c r="F150" s="255"/>
      <c r="G150" s="331"/>
      <c r="H150" s="520"/>
    </row>
    <row r="151" spans="1:8" ht="13" x14ac:dyDescent="0.3">
      <c r="D151" s="755">
        <f>SUM(D144:D150)</f>
        <v>114.4</v>
      </c>
      <c r="E151" s="63">
        <f>'Standard Vorgaben'!$C$31</f>
        <v>32.700000000000003</v>
      </c>
      <c r="F151" s="255">
        <f>D151*E151</f>
        <v>3740.8800000000006</v>
      </c>
      <c r="G151" s="331"/>
      <c r="H151" s="520"/>
    </row>
    <row r="152" spans="1:8" ht="13.5" thickBot="1" x14ac:dyDescent="0.35">
      <c r="A152" s="491" t="s">
        <v>219</v>
      </c>
      <c r="B152" s="460"/>
      <c r="C152" s="460"/>
      <c r="D152" s="460"/>
      <c r="E152" s="460"/>
      <c r="F152" s="492">
        <f>F142+F143+F151</f>
        <v>15425.64</v>
      </c>
      <c r="G152" s="493">
        <f t="shared" si="5"/>
        <v>1</v>
      </c>
      <c r="H152" s="520"/>
    </row>
    <row r="153" spans="1:8" ht="18" customHeight="1" thickTop="1" x14ac:dyDescent="0.3">
      <c r="A153" s="107" t="s">
        <v>224</v>
      </c>
      <c r="B153" s="87" t="s">
        <v>226</v>
      </c>
      <c r="C153" s="100"/>
      <c r="D153" s="1040">
        <v>10</v>
      </c>
      <c r="E153" s="63">
        <f>'Standard Vorgaben'!$C$31</f>
        <v>32.700000000000003</v>
      </c>
      <c r="F153" s="264">
        <f>D153*E153</f>
        <v>327</v>
      </c>
      <c r="H153" s="520"/>
    </row>
    <row r="154" spans="1:8" ht="13" x14ac:dyDescent="0.3">
      <c r="A154" s="176"/>
      <c r="B154" s="87" t="s">
        <v>227</v>
      </c>
      <c r="C154" s="100"/>
      <c r="D154" s="1046">
        <v>4</v>
      </c>
      <c r="E154" s="63">
        <f>'Standard Vorgaben'!$C$31</f>
        <v>32.700000000000003</v>
      </c>
      <c r="F154" s="265">
        <f>D154*E154</f>
        <v>130.80000000000001</v>
      </c>
      <c r="H154" s="520"/>
    </row>
    <row r="155" spans="1:8" ht="13" x14ac:dyDescent="0.3">
      <c r="A155" s="176"/>
      <c r="B155" s="100"/>
      <c r="C155" s="100"/>
      <c r="D155" s="260">
        <f>SUM(D153:D154)</f>
        <v>14</v>
      </c>
      <c r="E155" s="263"/>
      <c r="F155" s="206">
        <f>SUM(F153:F154)</f>
        <v>457.8</v>
      </c>
      <c r="H155" s="520"/>
    </row>
    <row r="156" spans="1:8" ht="13" x14ac:dyDescent="0.3">
      <c r="H156" s="520"/>
    </row>
  </sheetData>
  <mergeCells count="4">
    <mergeCell ref="D137:G137"/>
    <mergeCell ref="B139:C139"/>
    <mergeCell ref="B3:G3"/>
    <mergeCell ref="F55:G55"/>
  </mergeCells>
  <phoneticPr fontId="25" type="noConversion"/>
  <dataValidations count="2">
    <dataValidation type="custom" showErrorMessage="1" errorTitle="Falsche Bruttofläche" error="Die Bruttofläche entspricht nicht 10000 m2" sqref="J11">
      <formula1>J10*J11=10000</formula1>
    </dataValidation>
    <dataValidation type="whole" operator="notEqual" showErrorMessage="1" errorTitle="Falsche Länge" error="Es muss eine Länge eingetragen sein" sqref="E10:G10 J10 E11:E12 F11:G15">
      <formula1>0</formula1>
    </dataValidation>
  </dataValidations>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&amp;L&amp;6&amp;F&amp;C&amp;6&amp;A &amp;R&amp;6Kontakt: matthias.zuercher@faw.admin.ch</oddFooter>
  </headerFooter>
  <rowBreaks count="1" manualBreakCount="1">
    <brk id="75" max="11" man="1"/>
  </rowBreaks>
  <cellWatches>
    <cellWatch r="D66"/>
  </cellWatche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ar1_16Standjahre">
    <tabColor rgb="FFFF66CC"/>
  </sheetPr>
  <dimension ref="A1:DN160"/>
  <sheetViews>
    <sheetView topLeftCell="J10" zoomScale="70" zoomScaleNormal="70" workbookViewId="0">
      <selection activeCell="DH21" sqref="DH21"/>
    </sheetView>
  </sheetViews>
  <sheetFormatPr baseColWidth="10" defaultColWidth="11.36328125" defaultRowHeight="13" x14ac:dyDescent="0.3"/>
  <cols>
    <col min="1" max="1" width="37.54296875" style="18" customWidth="1"/>
    <col min="2" max="2" width="24.26953125" style="21" customWidth="1"/>
    <col min="3" max="3" width="15.26953125" style="12" customWidth="1"/>
    <col min="4" max="4" width="12.81640625" style="12" customWidth="1"/>
    <col min="5" max="5" width="13.26953125" style="32" customWidth="1"/>
    <col min="6" max="6" width="17.54296875" style="33" customWidth="1"/>
    <col min="7" max="7" width="9.453125" style="12" customWidth="1"/>
    <col min="8" max="8" width="37.36328125" style="12" customWidth="1"/>
    <col min="9" max="9" width="24.36328125" style="12" customWidth="1"/>
    <col min="10" max="10" width="15.26953125" customWidth="1"/>
    <col min="11" max="11" width="12.81640625" customWidth="1"/>
    <col min="12" max="12" width="13.26953125" customWidth="1"/>
    <col min="13" max="13" width="17.36328125" customWidth="1"/>
    <col min="14" max="14" width="6.1796875" customWidth="1"/>
    <col min="15" max="15" width="37.36328125" customWidth="1"/>
    <col min="16" max="16" width="24.36328125" customWidth="1"/>
    <col min="17" max="17" width="15.26953125" customWidth="1"/>
    <col min="18" max="18" width="13" style="34" customWidth="1"/>
    <col min="19" max="19" width="13.26953125" customWidth="1"/>
    <col min="20" max="20" width="17.36328125" customWidth="1"/>
    <col min="21" max="21" width="6" customWidth="1"/>
    <col min="22" max="22" width="37.54296875" customWidth="1"/>
    <col min="23" max="23" width="24.26953125" customWidth="1"/>
    <col min="24" max="24" width="15.1796875" customWidth="1"/>
    <col min="25" max="25" width="13" customWidth="1"/>
    <col min="26" max="26" width="13.26953125" customWidth="1"/>
    <col min="27" max="27" width="17.36328125" customWidth="1"/>
    <col min="28" max="28" width="6" customWidth="1"/>
    <col min="29" max="29" width="37.36328125" customWidth="1"/>
    <col min="30" max="30" width="24.36328125" customWidth="1"/>
    <col min="31" max="31" width="15.1796875" customWidth="1"/>
    <col min="32" max="32" width="12.81640625" customWidth="1"/>
    <col min="33" max="33" width="13.26953125" customWidth="1"/>
    <col min="34" max="34" width="17.36328125" customWidth="1"/>
    <col min="35" max="35" width="6" customWidth="1"/>
    <col min="36" max="36" width="37.54296875" customWidth="1"/>
    <col min="37" max="37" width="24.26953125" customWidth="1"/>
    <col min="38" max="38" width="15.1796875" customWidth="1"/>
    <col min="39" max="39" width="13" customWidth="1"/>
    <col min="40" max="40" width="13.26953125" customWidth="1"/>
    <col min="41" max="41" width="17.36328125" customWidth="1"/>
    <col min="42" max="42" width="6" customWidth="1"/>
    <col min="43" max="43" width="37.54296875" customWidth="1"/>
    <col min="44" max="44" width="24.26953125" customWidth="1"/>
    <col min="45" max="45" width="15.26953125" customWidth="1"/>
    <col min="46" max="46" width="12.81640625" customWidth="1"/>
    <col min="47" max="47" width="13.26953125" customWidth="1"/>
    <col min="48" max="48" width="17.36328125" customWidth="1"/>
    <col min="49" max="49" width="6.1796875" customWidth="1"/>
    <col min="50" max="50" width="37.54296875" customWidth="1"/>
    <col min="51" max="51" width="24.36328125" customWidth="1"/>
    <col min="52" max="52" width="15.26953125" customWidth="1"/>
    <col min="53" max="53" width="12.81640625" customWidth="1"/>
    <col min="54" max="54" width="13.26953125" customWidth="1"/>
    <col min="55" max="55" width="17.54296875" customWidth="1"/>
    <col min="56" max="56" width="6.1796875" customWidth="1"/>
    <col min="57" max="57" width="37.36328125" customWidth="1"/>
    <col min="58" max="58" width="24.36328125" customWidth="1"/>
    <col min="59" max="59" width="15.26953125" customWidth="1"/>
    <col min="60" max="60" width="12.81640625" customWidth="1"/>
    <col min="61" max="61" width="13.26953125" customWidth="1"/>
    <col min="62" max="62" width="17.54296875" customWidth="1"/>
    <col min="63" max="63" width="6.1796875" customWidth="1"/>
    <col min="64" max="64" width="37.54296875" customWidth="1"/>
    <col min="65" max="65" width="24.36328125" customWidth="1"/>
    <col min="66" max="66" width="15.1796875" customWidth="1"/>
    <col min="67" max="67" width="12.81640625" customWidth="1"/>
    <col min="68" max="68" width="13.26953125" customWidth="1"/>
    <col min="69" max="69" width="17.36328125" customWidth="1"/>
    <col min="70" max="70" width="6.1796875" customWidth="1"/>
    <col min="71" max="71" width="37.54296875" customWidth="1"/>
    <col min="72" max="72" width="24.36328125" customWidth="1"/>
    <col min="73" max="73" width="15.1796875" customWidth="1"/>
    <col min="74" max="74" width="13" customWidth="1"/>
    <col min="75" max="75" width="13.26953125" customWidth="1"/>
    <col min="76" max="76" width="17.54296875" customWidth="1"/>
    <col min="77" max="77" width="6.1796875" customWidth="1"/>
    <col min="78" max="78" width="37.36328125" customWidth="1"/>
    <col min="79" max="79" width="24.36328125" customWidth="1"/>
    <col min="80" max="80" width="15.26953125" customWidth="1"/>
    <col min="81" max="81" width="12.81640625" customWidth="1"/>
    <col min="82" max="82" width="13.36328125" customWidth="1"/>
    <col min="83" max="83" width="17.36328125" customWidth="1"/>
    <col min="84" max="84" width="8.54296875" customWidth="1"/>
    <col min="85" max="85" width="37.36328125" customWidth="1"/>
    <col min="86" max="86" width="24.36328125" customWidth="1"/>
    <col min="87" max="87" width="15.26953125" customWidth="1"/>
    <col min="88" max="88" width="13" customWidth="1"/>
    <col min="89" max="89" width="13.26953125" customWidth="1"/>
    <col min="90" max="90" width="17.36328125" customWidth="1"/>
    <col min="91" max="91" width="6.1796875" customWidth="1"/>
    <col min="92" max="92" width="37.36328125" customWidth="1"/>
    <col min="93" max="93" width="24.36328125" customWidth="1"/>
    <col min="94" max="94" width="15.1796875" customWidth="1"/>
    <col min="95" max="95" width="12.81640625" customWidth="1"/>
    <col min="96" max="96" width="13.26953125" customWidth="1"/>
    <col min="97" max="97" width="17.36328125" customWidth="1"/>
    <col min="98" max="98" width="6.1796875" customWidth="1"/>
    <col min="99" max="99" width="37.36328125" customWidth="1"/>
    <col min="100" max="100" width="24.26953125" customWidth="1"/>
    <col min="101" max="101" width="15.26953125" customWidth="1"/>
    <col min="102" max="102" width="12.81640625" customWidth="1"/>
    <col min="103" max="103" width="13.26953125" customWidth="1"/>
    <col min="104" max="104" width="17.54296875" customWidth="1"/>
    <col min="105" max="105" width="9.453125" style="19" customWidth="1"/>
    <col min="106" max="106" width="37.36328125" customWidth="1"/>
    <col min="107" max="107" width="24.26953125" customWidth="1"/>
    <col min="108" max="108" width="15.1796875" customWidth="1"/>
    <col min="109" max="109" width="12.81640625" customWidth="1"/>
    <col min="110" max="110" width="13.26953125" customWidth="1"/>
    <col min="111" max="111" width="17.54296875" customWidth="1"/>
    <col min="112" max="112" width="6" style="19" customWidth="1"/>
  </cols>
  <sheetData>
    <row r="1" spans="1:112" ht="25" x14ac:dyDescent="0.5">
      <c r="A1" s="369" t="str">
        <f>'Standard Vorgaben'!A1</f>
        <v>Arbokost 2023</v>
      </c>
      <c r="B1" s="400" t="str">
        <f>'Var Vorgaben'!B7</f>
        <v>Tafelkirsche</v>
      </c>
      <c r="C1" s="355"/>
      <c r="D1" s="355"/>
      <c r="E1" s="370"/>
      <c r="F1" s="371"/>
      <c r="G1" s="355"/>
      <c r="H1" s="355"/>
      <c r="I1" s="355"/>
      <c r="J1" s="351"/>
      <c r="K1" s="351"/>
      <c r="L1" s="351"/>
      <c r="M1" s="351"/>
      <c r="N1" s="351"/>
      <c r="O1" s="351"/>
      <c r="P1" s="351"/>
      <c r="Q1" s="351"/>
      <c r="R1" s="372"/>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3"/>
      <c r="DB1" s="351"/>
      <c r="DC1" s="351"/>
      <c r="DD1" s="351"/>
      <c r="DE1" s="351"/>
      <c r="DF1" s="351"/>
      <c r="DG1" s="351"/>
      <c r="DH1" s="353"/>
    </row>
    <row r="2" spans="1:112" ht="12.5" x14ac:dyDescent="0.2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row>
    <row r="3" spans="1:112" ht="4.75" customHeight="1" x14ac:dyDescent="0.2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row>
    <row r="4" spans="1:112" ht="24.75" customHeight="1" x14ac:dyDescent="0.4">
      <c r="A4" s="373" t="s">
        <v>378</v>
      </c>
      <c r="B4" s="354"/>
      <c r="C4" s="355"/>
      <c r="D4" s="356"/>
      <c r="E4" s="351"/>
      <c r="F4" s="351"/>
      <c r="G4" s="357"/>
      <c r="H4" s="361" t="s">
        <v>378</v>
      </c>
      <c r="I4" s="354"/>
      <c r="J4" s="355"/>
      <c r="K4" s="356"/>
      <c r="L4" s="351"/>
      <c r="M4" s="356"/>
      <c r="N4" s="357"/>
      <c r="O4" s="361" t="s">
        <v>378</v>
      </c>
      <c r="P4" s="354"/>
      <c r="Q4" s="355"/>
      <c r="R4" s="356"/>
      <c r="S4" s="351"/>
      <c r="T4" s="351"/>
      <c r="U4" s="357"/>
      <c r="V4" s="361" t="s">
        <v>378</v>
      </c>
      <c r="W4" s="354"/>
      <c r="X4" s="355"/>
      <c r="Y4" s="356"/>
      <c r="Z4" s="351"/>
      <c r="AA4" s="356"/>
      <c r="AB4" s="357"/>
      <c r="AC4" s="361" t="s">
        <v>378</v>
      </c>
      <c r="AD4" s="354"/>
      <c r="AE4" s="355"/>
      <c r="AF4" s="354"/>
      <c r="AG4" s="354"/>
      <c r="AH4" s="355"/>
      <c r="AI4" s="357"/>
      <c r="AJ4" s="361" t="s">
        <v>378</v>
      </c>
      <c r="AK4" s="354"/>
      <c r="AL4" s="355"/>
      <c r="AM4" s="356"/>
      <c r="AN4" s="351"/>
      <c r="AO4" s="356"/>
      <c r="AP4" s="357"/>
      <c r="AQ4" s="361" t="s">
        <v>378</v>
      </c>
      <c r="AR4" s="354"/>
      <c r="AS4" s="355"/>
      <c r="AT4" s="351"/>
      <c r="AU4" s="351"/>
      <c r="AV4" s="351"/>
      <c r="AW4" s="357"/>
      <c r="AX4" s="361" t="s">
        <v>378</v>
      </c>
      <c r="AY4" s="354"/>
      <c r="AZ4" s="355"/>
      <c r="BA4" s="356"/>
      <c r="BB4" s="351"/>
      <c r="BC4" s="356"/>
      <c r="BD4" s="357"/>
      <c r="BE4" s="361" t="s">
        <v>378</v>
      </c>
      <c r="BF4" s="354"/>
      <c r="BG4" s="355"/>
      <c r="BH4" s="351"/>
      <c r="BI4" s="351"/>
      <c r="BJ4" s="351"/>
      <c r="BK4" s="357"/>
      <c r="BL4" s="361" t="s">
        <v>378</v>
      </c>
      <c r="BM4" s="354"/>
      <c r="BN4" s="355"/>
      <c r="BO4" s="356"/>
      <c r="BP4" s="351"/>
      <c r="BQ4" s="356"/>
      <c r="BR4" s="357"/>
      <c r="BS4" s="361" t="s">
        <v>378</v>
      </c>
      <c r="BT4" s="354"/>
      <c r="BU4" s="355"/>
      <c r="BV4" s="351"/>
      <c r="BW4" s="351"/>
      <c r="BX4" s="351"/>
      <c r="BY4" s="357"/>
      <c r="BZ4" s="361" t="s">
        <v>378</v>
      </c>
      <c r="CA4" s="354"/>
      <c r="CB4" s="355"/>
      <c r="CC4" s="356"/>
      <c r="CD4" s="351"/>
      <c r="CE4" s="356"/>
      <c r="CF4" s="357"/>
      <c r="CG4" s="361" t="s">
        <v>378</v>
      </c>
      <c r="CH4" s="354"/>
      <c r="CI4" s="355"/>
      <c r="CJ4" s="351"/>
      <c r="CK4" s="351"/>
      <c r="CL4" s="351"/>
      <c r="CM4" s="357"/>
      <c r="CN4" s="361" t="s">
        <v>378</v>
      </c>
      <c r="CO4" s="354"/>
      <c r="CP4" s="355"/>
      <c r="CQ4" s="356"/>
      <c r="CR4" s="351"/>
      <c r="CS4" s="356"/>
      <c r="CT4" s="357"/>
      <c r="CU4" s="361" t="s">
        <v>378</v>
      </c>
      <c r="CV4" s="354"/>
      <c r="CW4" s="355"/>
      <c r="CX4" s="356"/>
      <c r="CY4" s="351"/>
      <c r="CZ4" s="351"/>
      <c r="DA4" s="357"/>
      <c r="DB4" s="361" t="s">
        <v>378</v>
      </c>
      <c r="DC4" s="354"/>
      <c r="DD4" s="355"/>
      <c r="DE4" s="356"/>
      <c r="DF4" s="351"/>
      <c r="DG4" s="356"/>
      <c r="DH4" s="357"/>
    </row>
    <row r="5" spans="1:112" ht="23.25" customHeight="1" x14ac:dyDescent="0.4">
      <c r="A5" s="650" t="s">
        <v>48</v>
      </c>
      <c r="B5" s="522">
        <f>'Var Erstellung'!$B$2</f>
        <v>950</v>
      </c>
      <c r="C5" s="651"/>
      <c r="D5" s="361"/>
      <c r="E5" s="592" t="s">
        <v>141</v>
      </c>
      <c r="F5" s="593"/>
      <c r="G5" s="361"/>
      <c r="H5" s="662" t="s">
        <v>49</v>
      </c>
      <c r="I5" s="651"/>
      <c r="J5" s="651"/>
      <c r="K5" s="361"/>
      <c r="L5" s="361"/>
      <c r="M5" s="361"/>
      <c r="N5" s="361"/>
      <c r="O5" s="662" t="s">
        <v>50</v>
      </c>
      <c r="P5" s="651"/>
      <c r="Q5" s="651"/>
      <c r="R5" s="361"/>
      <c r="S5" s="592" t="s">
        <v>141</v>
      </c>
      <c r="T5" s="593"/>
      <c r="U5" s="361"/>
      <c r="V5" s="662" t="s">
        <v>51</v>
      </c>
      <c r="W5" s="651"/>
      <c r="X5" s="651"/>
      <c r="Y5" s="361"/>
      <c r="Z5" s="361"/>
      <c r="AA5" s="361"/>
      <c r="AB5" s="361"/>
      <c r="AC5" s="662" t="s">
        <v>52</v>
      </c>
      <c r="AD5" s="651"/>
      <c r="AE5" s="651"/>
      <c r="AF5" s="651"/>
      <c r="AG5" s="651"/>
      <c r="AH5" s="651"/>
      <c r="AI5" s="361"/>
      <c r="AJ5" s="662" t="s">
        <v>53</v>
      </c>
      <c r="AK5" s="651"/>
      <c r="AL5" s="651"/>
      <c r="AM5" s="361"/>
      <c r="AN5" s="361"/>
      <c r="AO5" s="361"/>
      <c r="AP5" s="361"/>
      <c r="AQ5" s="662" t="s">
        <v>54</v>
      </c>
      <c r="AR5" s="651"/>
      <c r="AS5" s="651"/>
      <c r="AT5" s="354"/>
      <c r="AU5" s="354"/>
      <c r="AV5" s="355"/>
      <c r="AW5" s="361"/>
      <c r="AX5" s="662" t="s">
        <v>55</v>
      </c>
      <c r="AY5" s="651"/>
      <c r="AZ5" s="651"/>
      <c r="BA5" s="361"/>
      <c r="BB5" s="361"/>
      <c r="BC5" s="361"/>
      <c r="BD5" s="361"/>
      <c r="BE5" s="662" t="s">
        <v>56</v>
      </c>
      <c r="BF5" s="651"/>
      <c r="BG5" s="651"/>
      <c r="BH5" s="354"/>
      <c r="BI5" s="354"/>
      <c r="BJ5" s="355"/>
      <c r="BK5" s="361"/>
      <c r="BL5" s="662" t="s">
        <v>57</v>
      </c>
      <c r="BM5" s="651"/>
      <c r="BN5" s="651"/>
      <c r="BO5" s="361"/>
      <c r="BP5" s="361"/>
      <c r="BQ5" s="361"/>
      <c r="BR5" s="361"/>
      <c r="BS5" s="662" t="s">
        <v>58</v>
      </c>
      <c r="BT5" s="651"/>
      <c r="BU5" s="651"/>
      <c r="BV5" s="354"/>
      <c r="BW5" s="354"/>
      <c r="BX5" s="355"/>
      <c r="BY5" s="361"/>
      <c r="BZ5" s="662" t="s">
        <v>59</v>
      </c>
      <c r="CA5" s="651"/>
      <c r="CB5" s="651"/>
      <c r="CC5" s="361"/>
      <c r="CD5" s="361"/>
      <c r="CE5" s="361"/>
      <c r="CF5" s="361"/>
      <c r="CG5" s="662" t="s">
        <v>60</v>
      </c>
      <c r="CH5" s="651"/>
      <c r="CI5" s="651"/>
      <c r="CJ5" s="354"/>
      <c r="CK5" s="354"/>
      <c r="CL5" s="355"/>
      <c r="CM5" s="31"/>
      <c r="CN5" s="662" t="s">
        <v>61</v>
      </c>
      <c r="CO5" s="651"/>
      <c r="CP5" s="651"/>
      <c r="CQ5" s="361"/>
      <c r="CR5" s="361"/>
      <c r="CS5" s="361"/>
      <c r="CT5" s="361"/>
      <c r="CU5" s="662" t="s">
        <v>62</v>
      </c>
      <c r="CV5" s="651"/>
      <c r="CW5" s="651"/>
      <c r="CX5" s="361"/>
      <c r="CY5" s="354"/>
      <c r="CZ5" s="355"/>
      <c r="DA5" s="361"/>
      <c r="DB5" s="662" t="s">
        <v>198</v>
      </c>
      <c r="DC5" s="651"/>
      <c r="DD5" s="651"/>
      <c r="DE5" s="361"/>
      <c r="DF5" s="361"/>
      <c r="DG5" s="361"/>
      <c r="DH5" s="361"/>
    </row>
    <row r="6" spans="1:112" ht="18" customHeight="1" x14ac:dyDescent="0.35">
      <c r="A6" s="1261" t="s">
        <v>167</v>
      </c>
      <c r="B6" s="652"/>
      <c r="C6" s="361"/>
      <c r="D6" s="361"/>
      <c r="E6" s="361"/>
      <c r="F6" s="361"/>
      <c r="G6" s="361"/>
      <c r="H6" s="1261" t="s">
        <v>167</v>
      </c>
      <c r="I6" s="653"/>
      <c r="J6" s="361"/>
      <c r="K6" s="654"/>
      <c r="L6" s="654"/>
      <c r="M6" s="655"/>
      <c r="N6" s="361"/>
      <c r="O6" s="1261" t="s">
        <v>167</v>
      </c>
      <c r="P6" s="653"/>
      <c r="Q6" s="361"/>
      <c r="R6" s="654"/>
      <c r="S6" s="351"/>
      <c r="T6" s="351"/>
      <c r="U6" s="656"/>
      <c r="V6" s="1261" t="s">
        <v>167</v>
      </c>
      <c r="W6" s="653"/>
      <c r="X6" s="361"/>
      <c r="Y6" s="654"/>
      <c r="Z6" s="654"/>
      <c r="AA6" s="655"/>
      <c r="AB6" s="656"/>
      <c r="AC6" s="1261" t="s">
        <v>167</v>
      </c>
      <c r="AD6" s="653"/>
      <c r="AE6" s="361"/>
      <c r="AF6" s="654"/>
      <c r="AG6" s="654"/>
      <c r="AH6" s="655"/>
      <c r="AI6" s="656"/>
      <c r="AJ6" s="1261" t="s">
        <v>167</v>
      </c>
      <c r="AK6" s="653"/>
      <c r="AL6" s="361"/>
      <c r="AM6" s="654"/>
      <c r="AN6" s="654"/>
      <c r="AO6" s="655"/>
      <c r="AP6" s="656"/>
      <c r="AQ6" s="1261" t="s">
        <v>167</v>
      </c>
      <c r="AR6" s="653"/>
      <c r="AS6" s="361"/>
      <c r="AT6" s="651"/>
      <c r="AU6" s="651"/>
      <c r="AV6" s="651"/>
      <c r="AW6" s="656"/>
      <c r="AX6" s="1261" t="s">
        <v>167</v>
      </c>
      <c r="AY6" s="653"/>
      <c r="AZ6" s="361"/>
      <c r="BA6" s="654"/>
      <c r="BB6" s="654"/>
      <c r="BC6" s="655"/>
      <c r="BD6" s="656"/>
      <c r="BE6" s="1261" t="s">
        <v>167</v>
      </c>
      <c r="BF6" s="653"/>
      <c r="BG6" s="361"/>
      <c r="BH6" s="651"/>
      <c r="BI6" s="651"/>
      <c r="BJ6" s="651"/>
      <c r="BK6" s="656"/>
      <c r="BL6" s="1261" t="s">
        <v>167</v>
      </c>
      <c r="BM6" s="653"/>
      <c r="BN6" s="361"/>
      <c r="BO6" s="654"/>
      <c r="BP6" s="654"/>
      <c r="BQ6" s="655"/>
      <c r="BR6" s="656"/>
      <c r="BS6" s="1261" t="s">
        <v>167</v>
      </c>
      <c r="BT6" s="653"/>
      <c r="BU6" s="361"/>
      <c r="BV6" s="651"/>
      <c r="BW6" s="651"/>
      <c r="BX6" s="651"/>
      <c r="BY6" s="656"/>
      <c r="BZ6" s="1261" t="s">
        <v>167</v>
      </c>
      <c r="CA6" s="653"/>
      <c r="CB6" s="361"/>
      <c r="CC6" s="654"/>
      <c r="CD6" s="654"/>
      <c r="CE6" s="655"/>
      <c r="CF6" s="656"/>
      <c r="CG6" s="1261" t="s">
        <v>167</v>
      </c>
      <c r="CH6" s="653"/>
      <c r="CI6" s="361"/>
      <c r="CJ6" s="651"/>
      <c r="CK6" s="651"/>
      <c r="CL6" s="651"/>
      <c r="CM6" s="656"/>
      <c r="CN6" s="1261" t="s">
        <v>167</v>
      </c>
      <c r="CO6" s="653"/>
      <c r="CP6" s="361"/>
      <c r="CQ6" s="654"/>
      <c r="CR6" s="654"/>
      <c r="CS6" s="655"/>
      <c r="CT6" s="656"/>
      <c r="CU6" s="1261" t="s">
        <v>167</v>
      </c>
      <c r="CV6" s="653"/>
      <c r="CW6" s="361"/>
      <c r="CX6" s="654"/>
      <c r="CY6" s="651"/>
      <c r="CZ6" s="651"/>
      <c r="DA6" s="657"/>
      <c r="DB6" s="1261" t="s">
        <v>167</v>
      </c>
      <c r="DC6" s="653"/>
      <c r="DD6" s="361"/>
      <c r="DE6" s="654"/>
      <c r="DF6" s="654"/>
      <c r="DG6" s="655"/>
      <c r="DH6" s="658"/>
    </row>
    <row r="7" spans="1:112" x14ac:dyDescent="0.3">
      <c r="C7" s="36" t="s">
        <v>63</v>
      </c>
      <c r="D7" s="36" t="s">
        <v>64</v>
      </c>
      <c r="E7" s="37" t="s">
        <v>65</v>
      </c>
      <c r="F7" s="38" t="s">
        <v>66</v>
      </c>
      <c r="G7" s="39" t="s">
        <v>67</v>
      </c>
      <c r="H7" s="18"/>
      <c r="I7" s="21"/>
      <c r="J7" s="36" t="s">
        <v>63</v>
      </c>
      <c r="K7" s="36" t="s">
        <v>64</v>
      </c>
      <c r="L7" s="37" t="s">
        <v>65</v>
      </c>
      <c r="M7" s="38" t="s">
        <v>66</v>
      </c>
      <c r="N7" s="39" t="s">
        <v>67</v>
      </c>
      <c r="O7" s="18"/>
      <c r="P7" s="21"/>
      <c r="Q7" s="36" t="s">
        <v>63</v>
      </c>
      <c r="R7" s="36" t="s">
        <v>64</v>
      </c>
      <c r="S7" s="37" t="s">
        <v>65</v>
      </c>
      <c r="T7" s="38" t="s">
        <v>66</v>
      </c>
      <c r="U7" s="39" t="s">
        <v>67</v>
      </c>
      <c r="V7" s="18"/>
      <c r="W7" s="21"/>
      <c r="X7" s="36" t="s">
        <v>63</v>
      </c>
      <c r="Y7" s="36" t="s">
        <v>64</v>
      </c>
      <c r="Z7" s="37" t="s">
        <v>65</v>
      </c>
      <c r="AA7" s="38" t="s">
        <v>66</v>
      </c>
      <c r="AB7" s="39" t="s">
        <v>67</v>
      </c>
      <c r="AC7" s="18"/>
      <c r="AD7" s="21"/>
      <c r="AE7" s="36" t="s">
        <v>63</v>
      </c>
      <c r="AF7" s="36" t="s">
        <v>64</v>
      </c>
      <c r="AG7" s="37" t="s">
        <v>65</v>
      </c>
      <c r="AH7" s="38" t="s">
        <v>66</v>
      </c>
      <c r="AI7" s="39" t="s">
        <v>67</v>
      </c>
      <c r="AJ7" s="18"/>
      <c r="AK7" s="21"/>
      <c r="AL7" s="36" t="s">
        <v>63</v>
      </c>
      <c r="AM7" s="36" t="s">
        <v>64</v>
      </c>
      <c r="AN7" s="37" t="s">
        <v>65</v>
      </c>
      <c r="AO7" s="38" t="s">
        <v>66</v>
      </c>
      <c r="AP7" s="39" t="s">
        <v>67</v>
      </c>
      <c r="AQ7" s="18"/>
      <c r="AR7" s="21"/>
      <c r="AS7" s="36" t="s">
        <v>63</v>
      </c>
      <c r="AT7" s="36" t="s">
        <v>64</v>
      </c>
      <c r="AU7" s="37" t="s">
        <v>65</v>
      </c>
      <c r="AV7" s="38" t="s">
        <v>66</v>
      </c>
      <c r="AW7" s="39" t="s">
        <v>67</v>
      </c>
      <c r="AX7" s="18"/>
      <c r="AY7" s="21"/>
      <c r="AZ7" s="36" t="s">
        <v>63</v>
      </c>
      <c r="BA7" s="36" t="s">
        <v>64</v>
      </c>
      <c r="BB7" s="37" t="s">
        <v>65</v>
      </c>
      <c r="BC7" s="38" t="s">
        <v>66</v>
      </c>
      <c r="BD7" s="39" t="s">
        <v>67</v>
      </c>
      <c r="BE7" s="18"/>
      <c r="BF7" s="21"/>
      <c r="BG7" s="36" t="s">
        <v>63</v>
      </c>
      <c r="BH7" s="36" t="s">
        <v>64</v>
      </c>
      <c r="BI7" s="37" t="s">
        <v>65</v>
      </c>
      <c r="BJ7" s="38" t="s">
        <v>66</v>
      </c>
      <c r="BK7" s="39" t="s">
        <v>67</v>
      </c>
      <c r="BL7" s="18"/>
      <c r="BM7" s="21"/>
      <c r="BN7" s="36" t="s">
        <v>63</v>
      </c>
      <c r="BO7" s="36" t="s">
        <v>64</v>
      </c>
      <c r="BP7" s="37" t="s">
        <v>65</v>
      </c>
      <c r="BQ7" s="38" t="s">
        <v>66</v>
      </c>
      <c r="BR7" s="39" t="s">
        <v>67</v>
      </c>
      <c r="BS7" s="18"/>
      <c r="BT7" s="21"/>
      <c r="BU7" s="36" t="s">
        <v>63</v>
      </c>
      <c r="BV7" s="36" t="s">
        <v>64</v>
      </c>
      <c r="BW7" s="37" t="s">
        <v>65</v>
      </c>
      <c r="BX7" s="38" t="s">
        <v>66</v>
      </c>
      <c r="BY7" s="39" t="s">
        <v>67</v>
      </c>
      <c r="BZ7" s="18"/>
      <c r="CA7" s="21"/>
      <c r="CB7" s="36" t="s">
        <v>63</v>
      </c>
      <c r="CC7" s="36" t="s">
        <v>64</v>
      </c>
      <c r="CD7" s="37" t="s">
        <v>65</v>
      </c>
      <c r="CE7" s="38" t="s">
        <v>66</v>
      </c>
      <c r="CF7" s="39" t="s">
        <v>67</v>
      </c>
      <c r="CG7" s="18"/>
      <c r="CH7" s="21"/>
      <c r="CI7" s="36" t="s">
        <v>63</v>
      </c>
      <c r="CJ7" s="36" t="s">
        <v>64</v>
      </c>
      <c r="CK7" s="37" t="s">
        <v>65</v>
      </c>
      <c r="CL7" s="38" t="s">
        <v>66</v>
      </c>
      <c r="CM7" s="39" t="s">
        <v>67</v>
      </c>
      <c r="CN7" s="18"/>
      <c r="CO7" s="21"/>
      <c r="CP7" s="36" t="s">
        <v>63</v>
      </c>
      <c r="CQ7" s="36" t="s">
        <v>64</v>
      </c>
      <c r="CR7" s="37" t="s">
        <v>65</v>
      </c>
      <c r="CS7" s="38" t="s">
        <v>66</v>
      </c>
      <c r="CT7" s="39" t="s">
        <v>67</v>
      </c>
      <c r="CU7" s="18"/>
      <c r="CV7" s="21"/>
      <c r="CW7" s="36" t="s">
        <v>63</v>
      </c>
      <c r="CX7" s="36" t="s">
        <v>64</v>
      </c>
      <c r="CY7" s="37" t="s">
        <v>65</v>
      </c>
      <c r="CZ7" s="38" t="s">
        <v>66</v>
      </c>
      <c r="DA7" s="39" t="s">
        <v>67</v>
      </c>
      <c r="DB7" s="18"/>
      <c r="DC7" s="21"/>
      <c r="DD7" s="36" t="s">
        <v>63</v>
      </c>
      <c r="DE7" s="36" t="s">
        <v>64</v>
      </c>
      <c r="DF7" s="37" t="s">
        <v>65</v>
      </c>
      <c r="DG7" s="38" t="s">
        <v>66</v>
      </c>
      <c r="DH7" s="39" t="s">
        <v>67</v>
      </c>
    </row>
    <row r="8" spans="1:112" ht="15.75" customHeight="1" x14ac:dyDescent="0.3">
      <c r="A8" s="23" t="s">
        <v>68</v>
      </c>
      <c r="B8" s="103" t="str">
        <f>'Var Vorgaben'!$B$39</f>
        <v>28+ mm</v>
      </c>
      <c r="C8" s="659">
        <f>D8/$B$5</f>
        <v>0</v>
      </c>
      <c r="D8" s="521">
        <f>G8*D12</f>
        <v>0</v>
      </c>
      <c r="E8" s="759">
        <f>'Var Vorgaben'!B40</f>
        <v>7.09</v>
      </c>
      <c r="F8" s="281">
        <f>D8*E8</f>
        <v>0</v>
      </c>
      <c r="G8" s="92">
        <f>'Var Vorgaben'!B64</f>
        <v>0.45</v>
      </c>
      <c r="H8" s="23" t="s">
        <v>68</v>
      </c>
      <c r="I8" s="103" t="str">
        <f>'Var Vorgaben'!$B$39</f>
        <v>28+ mm</v>
      </c>
      <c r="J8" s="659">
        <f>K8/$B$5</f>
        <v>0</v>
      </c>
      <c r="K8" s="521">
        <f>N8*K12</f>
        <v>0</v>
      </c>
      <c r="L8" s="759">
        <f>'Var Vorgaben'!B40</f>
        <v>7.09</v>
      </c>
      <c r="M8" s="281">
        <f>K8*L8</f>
        <v>0</v>
      </c>
      <c r="N8" s="92">
        <f>'Var Vorgaben'!B65</f>
        <v>0.45</v>
      </c>
      <c r="O8" s="23" t="s">
        <v>68</v>
      </c>
      <c r="P8" s="103" t="str">
        <f>'Var Vorgaben'!$B$39</f>
        <v>28+ mm</v>
      </c>
      <c r="Q8" s="659">
        <f>R8/$B$5</f>
        <v>0.48749661460684313</v>
      </c>
      <c r="R8" s="521">
        <f>U8*R12</f>
        <v>463.12178387650096</v>
      </c>
      <c r="S8" s="759">
        <f>'Var Vorgaben'!B40</f>
        <v>7.09</v>
      </c>
      <c r="T8" s="281">
        <f>R8*S8</f>
        <v>3283.5334476843918</v>
      </c>
      <c r="U8" s="92">
        <f>'Var Vorgaben'!B66</f>
        <v>0.45</v>
      </c>
      <c r="V8" s="23" t="s">
        <v>68</v>
      </c>
      <c r="W8" s="103" t="str">
        <f>'Var Vorgaben'!$B$39</f>
        <v>28+ mm</v>
      </c>
      <c r="X8" s="659">
        <f>Y8/$B$5</f>
        <v>1.9499864584273725</v>
      </c>
      <c r="Y8" s="521">
        <f>AB8*Y12</f>
        <v>1852.4871355060038</v>
      </c>
      <c r="Z8" s="759">
        <f>'Var Vorgaben'!B40</f>
        <v>7.09</v>
      </c>
      <c r="AA8" s="281">
        <f>Y8*Z8</f>
        <v>13134.133790737567</v>
      </c>
      <c r="AB8" s="92">
        <f>'Var Vorgaben'!B67</f>
        <v>0.45</v>
      </c>
      <c r="AC8" s="23" t="s">
        <v>68</v>
      </c>
      <c r="AD8" s="103" t="str">
        <f>'Var Vorgaben'!$B$39</f>
        <v>28+ mm</v>
      </c>
      <c r="AE8" s="659">
        <f>AF8/$B$5</f>
        <v>4.37771959916945</v>
      </c>
      <c r="AF8" s="521">
        <f>AI8*AF12</f>
        <v>4158.8336192109773</v>
      </c>
      <c r="AG8" s="759">
        <f>'Var Vorgaben'!B40</f>
        <v>7.09</v>
      </c>
      <c r="AH8" s="281">
        <f>AF8*AG8</f>
        <v>29486.130360205829</v>
      </c>
      <c r="AI8" s="92">
        <f>'Var Vorgaben'!B68</f>
        <v>0.45</v>
      </c>
      <c r="AJ8" s="23" t="s">
        <v>68</v>
      </c>
      <c r="AK8" s="103" t="str">
        <f>'Var Vorgaben'!$B$39</f>
        <v>28+ mm</v>
      </c>
      <c r="AL8" s="659">
        <f>AM8/$B$5</f>
        <v>5.6549607294393791</v>
      </c>
      <c r="AM8" s="521">
        <f>AP8*AM12</f>
        <v>5372.2126929674105</v>
      </c>
      <c r="AN8" s="759">
        <f>'Var Vorgaben'!B40</f>
        <v>7.09</v>
      </c>
      <c r="AO8" s="281">
        <f>AM8*AN8</f>
        <v>38088.987993138937</v>
      </c>
      <c r="AP8" s="92">
        <f>'Var Vorgaben'!B69</f>
        <v>0.45</v>
      </c>
      <c r="AQ8" s="23" t="s">
        <v>68</v>
      </c>
      <c r="AR8" s="103" t="str">
        <f>'Var Vorgaben'!$B$39</f>
        <v>28+ mm</v>
      </c>
      <c r="AS8" s="659">
        <f>AT8/$B$5</f>
        <v>6.8249526044958024</v>
      </c>
      <c r="AT8" s="521">
        <f>AW8*AT12</f>
        <v>6483.7049742710124</v>
      </c>
      <c r="AU8" s="759">
        <f>'Var Vorgaben'!B40</f>
        <v>7.09</v>
      </c>
      <c r="AV8" s="281">
        <f>AT8*AU8</f>
        <v>45969.468267581477</v>
      </c>
      <c r="AW8" s="92">
        <f>'Var Vorgaben'!B70</f>
        <v>0.45</v>
      </c>
      <c r="AX8" s="23" t="s">
        <v>68</v>
      </c>
      <c r="AY8" s="103" t="str">
        <f>'Var Vorgaben'!$B$39</f>
        <v>28+ mm</v>
      </c>
      <c r="AZ8" s="659">
        <f>BA8/$B$5</f>
        <v>6.8249526044958024</v>
      </c>
      <c r="BA8" s="521">
        <f>BD8*BA12</f>
        <v>6483.7049742710124</v>
      </c>
      <c r="BB8" s="759">
        <f>'Var Vorgaben'!B40</f>
        <v>7.09</v>
      </c>
      <c r="BC8" s="281">
        <f>BA8*BB8</f>
        <v>45969.468267581477</v>
      </c>
      <c r="BD8" s="92">
        <f>'Var Vorgaben'!B71</f>
        <v>0.45</v>
      </c>
      <c r="BE8" s="23" t="s">
        <v>68</v>
      </c>
      <c r="BF8" s="103" t="str">
        <f>'Var Vorgaben'!$B$39</f>
        <v>28+ mm</v>
      </c>
      <c r="BG8" s="659">
        <f>BH8/$B$5</f>
        <v>6.8249526044958024</v>
      </c>
      <c r="BH8" s="521">
        <f>BK8*BH12</f>
        <v>6483.7049742710124</v>
      </c>
      <c r="BI8" s="759">
        <f>'Var Vorgaben'!B40</f>
        <v>7.09</v>
      </c>
      <c r="BJ8" s="281">
        <f>BH8*BI8</f>
        <v>45969.468267581477</v>
      </c>
      <c r="BK8" s="92">
        <f>'Var Vorgaben'!B72</f>
        <v>0.45</v>
      </c>
      <c r="BL8" s="23" t="s">
        <v>68</v>
      </c>
      <c r="BM8" s="103" t="str">
        <f>'Var Vorgaben'!$B$39</f>
        <v>28+ mm</v>
      </c>
      <c r="BN8" s="659">
        <f>BO8/$B$5</f>
        <v>6.8249526044958024</v>
      </c>
      <c r="BO8" s="521">
        <f>BR8*BO12</f>
        <v>6483.7049742710124</v>
      </c>
      <c r="BP8" s="759">
        <f>'Var Vorgaben'!B40</f>
        <v>7.09</v>
      </c>
      <c r="BQ8" s="281">
        <f>BO8*BP8</f>
        <v>45969.468267581477</v>
      </c>
      <c r="BR8" s="92">
        <f>'Var Vorgaben'!B73</f>
        <v>0.45</v>
      </c>
      <c r="BS8" s="23" t="s">
        <v>68</v>
      </c>
      <c r="BT8" s="103" t="str">
        <f>'Var Vorgaben'!$B$39</f>
        <v>28+ mm</v>
      </c>
      <c r="BU8" s="659">
        <f>BV8/$B$5</f>
        <v>6.3374559898889595</v>
      </c>
      <c r="BV8" s="521">
        <f>BY8*BV12</f>
        <v>6020.5831903945118</v>
      </c>
      <c r="BW8" s="759">
        <f>'Var Vorgaben'!B40</f>
        <v>7.09</v>
      </c>
      <c r="BX8" s="281">
        <f>BV8*BW8</f>
        <v>42685.934819897091</v>
      </c>
      <c r="BY8" s="92">
        <f>'Var Vorgaben'!B74</f>
        <v>0.45</v>
      </c>
      <c r="BZ8" s="23" t="s">
        <v>68</v>
      </c>
      <c r="CA8" s="103" t="str">
        <f>'Var Vorgaben'!$B$39</f>
        <v>28+ mm</v>
      </c>
      <c r="CB8" s="659">
        <f>CC8/$B$5</f>
        <v>6.3374559898889595</v>
      </c>
      <c r="CC8" s="521">
        <f>CF8*CC12</f>
        <v>6020.5831903945118</v>
      </c>
      <c r="CD8" s="759">
        <f>'Var Vorgaben'!B40</f>
        <v>7.09</v>
      </c>
      <c r="CE8" s="281">
        <f>CC8*CD8</f>
        <v>42685.934819897091</v>
      </c>
      <c r="CF8" s="92">
        <f>'Var Vorgaben'!B75</f>
        <v>0.45</v>
      </c>
      <c r="CG8" s="23" t="s">
        <v>68</v>
      </c>
      <c r="CH8" s="103" t="str">
        <f>'Var Vorgaben'!$B$39</f>
        <v>28+ mm</v>
      </c>
      <c r="CI8" s="659">
        <f>CJ8/$B$5</f>
        <v>6.3374559898889595</v>
      </c>
      <c r="CJ8" s="521">
        <f>CM8*CJ12</f>
        <v>6020.5831903945118</v>
      </c>
      <c r="CK8" s="759">
        <f>'Var Vorgaben'!B40</f>
        <v>7.09</v>
      </c>
      <c r="CL8" s="281">
        <f>CJ8*CK8</f>
        <v>42685.934819897091</v>
      </c>
      <c r="CM8" s="92">
        <f>'Var Vorgaben'!B76</f>
        <v>0.45</v>
      </c>
      <c r="CN8" s="23" t="s">
        <v>68</v>
      </c>
      <c r="CO8" s="103" t="str">
        <f>'Var Vorgaben'!$B$39</f>
        <v>28+ mm</v>
      </c>
      <c r="CP8" s="659">
        <f>CQ8/$B$5</f>
        <v>6.3374559898889595</v>
      </c>
      <c r="CQ8" s="521">
        <f>CT8*CQ12</f>
        <v>6020.5831903945118</v>
      </c>
      <c r="CR8" s="759">
        <f>'Var Vorgaben'!B40</f>
        <v>7.09</v>
      </c>
      <c r="CS8" s="281">
        <f>CQ8*CR8</f>
        <v>42685.934819897091</v>
      </c>
      <c r="CT8" s="92">
        <f>'Var Vorgaben'!B77</f>
        <v>0.45</v>
      </c>
      <c r="CU8" s="23" t="s">
        <v>68</v>
      </c>
      <c r="CV8" s="103" t="str">
        <f>'Var Vorgaben'!$B$39</f>
        <v>28+ mm</v>
      </c>
      <c r="CW8" s="659">
        <f>CX8/$B$5</f>
        <v>5.8499593752821184</v>
      </c>
      <c r="CX8" s="521">
        <f>DA8*CX12</f>
        <v>5557.4614065180122</v>
      </c>
      <c r="CY8" s="759">
        <f>'Var Vorgaben'!B40</f>
        <v>7.09</v>
      </c>
      <c r="CZ8" s="281">
        <f>CX8*CY8</f>
        <v>39402.401372212706</v>
      </c>
      <c r="DA8" s="92">
        <f>'Var Vorgaben'!B78</f>
        <v>0.45</v>
      </c>
      <c r="DB8" s="23" t="s">
        <v>68</v>
      </c>
      <c r="DC8" s="103" t="str">
        <f>'Var Vorgaben'!$B$39</f>
        <v>28+ mm</v>
      </c>
      <c r="DD8" s="659">
        <f>DE8/$B$5</f>
        <v>5.3624627606752737</v>
      </c>
      <c r="DE8" s="521">
        <f>DH8*DE12</f>
        <v>5094.3396226415098</v>
      </c>
      <c r="DF8" s="759">
        <f>'Var Vorgaben'!B40</f>
        <v>7.09</v>
      </c>
      <c r="DG8" s="281">
        <f>DE8*DF8</f>
        <v>36118.867924528306</v>
      </c>
      <c r="DH8" s="92">
        <f>'Var Vorgaben'!B79</f>
        <v>0.45</v>
      </c>
    </row>
    <row r="9" spans="1:112" ht="15.75" customHeight="1" x14ac:dyDescent="0.3">
      <c r="A9" s="23"/>
      <c r="B9" s="64" t="str">
        <f>'Var Vorgaben'!$C$39</f>
        <v>24+ mm</v>
      </c>
      <c r="C9" s="659">
        <f>D9/$B$5</f>
        <v>0</v>
      </c>
      <c r="D9" s="521">
        <f>G9*D12</f>
        <v>0</v>
      </c>
      <c r="E9" s="759">
        <f>'Var Vorgaben'!C40</f>
        <v>5.59</v>
      </c>
      <c r="F9" s="281">
        <f>D9*E9</f>
        <v>0</v>
      </c>
      <c r="G9" s="92">
        <f>'Var Vorgaben'!C64</f>
        <v>0.48</v>
      </c>
      <c r="H9" s="23"/>
      <c r="I9" s="64" t="str">
        <f>'Var Vorgaben'!$C$39</f>
        <v>24+ mm</v>
      </c>
      <c r="J9" s="659">
        <f>K9/$B$5</f>
        <v>0</v>
      </c>
      <c r="K9" s="521">
        <f>N9*K12</f>
        <v>0</v>
      </c>
      <c r="L9" s="759">
        <f>'Var Vorgaben'!C40</f>
        <v>5.59</v>
      </c>
      <c r="M9" s="281">
        <f>K9*L9</f>
        <v>0</v>
      </c>
      <c r="N9" s="92">
        <f>'Var Vorgaben'!C65</f>
        <v>0.48</v>
      </c>
      <c r="O9" s="23"/>
      <c r="P9" s="64" t="str">
        <f>'Var Vorgaben'!$C$39</f>
        <v>24+ mm</v>
      </c>
      <c r="Q9" s="659">
        <f>R9/$B$5</f>
        <v>0.51999638891396593</v>
      </c>
      <c r="R9" s="521">
        <f>U9*R12</f>
        <v>493.99656946826764</v>
      </c>
      <c r="S9" s="759">
        <f>'Var Vorgaben'!C40</f>
        <v>5.59</v>
      </c>
      <c r="T9" s="281">
        <f>R9*S9</f>
        <v>2761.4408233276158</v>
      </c>
      <c r="U9" s="92">
        <f>'Var Vorgaben'!C66</f>
        <v>0.48</v>
      </c>
      <c r="V9" s="23"/>
      <c r="W9" s="64" t="str">
        <f>'Var Vorgaben'!$C$39</f>
        <v>24+ mm</v>
      </c>
      <c r="X9" s="659">
        <f>Y9/$B$5</f>
        <v>2.0799855556558637</v>
      </c>
      <c r="Y9" s="521">
        <f>AB9*Y12</f>
        <v>1975.9862778730705</v>
      </c>
      <c r="Z9" s="759">
        <f>'Var Vorgaben'!C40</f>
        <v>5.59</v>
      </c>
      <c r="AA9" s="281">
        <f>Y9*Z9</f>
        <v>11045.763293310463</v>
      </c>
      <c r="AB9" s="92">
        <f>'Var Vorgaben'!C67</f>
        <v>0.48</v>
      </c>
      <c r="AC9" s="23"/>
      <c r="AD9" s="64" t="str">
        <f>'Var Vorgaben'!$C$39</f>
        <v>24+ mm</v>
      </c>
      <c r="AE9" s="659">
        <f>AF9/$B$5</f>
        <v>4.6695675724474128</v>
      </c>
      <c r="AF9" s="521">
        <f>AI9*AF12</f>
        <v>4436.0891938250425</v>
      </c>
      <c r="AG9" s="759">
        <f>'Var Vorgaben'!C40</f>
        <v>5.59</v>
      </c>
      <c r="AH9" s="281">
        <f>AF9*AG9</f>
        <v>24797.738593481987</v>
      </c>
      <c r="AI9" s="92">
        <f>'Var Vorgaben'!C68</f>
        <v>0.48</v>
      </c>
      <c r="AJ9" s="23"/>
      <c r="AK9" s="64" t="str">
        <f>'Var Vorgaben'!$C$39</f>
        <v>24+ mm</v>
      </c>
      <c r="AL9" s="659">
        <f>AM9/$B$5</f>
        <v>6.0319581114020044</v>
      </c>
      <c r="AM9" s="521">
        <f>AP9*AM12</f>
        <v>5730.3602058319038</v>
      </c>
      <c r="AN9" s="759">
        <f>'Var Vorgaben'!C40</f>
        <v>5.59</v>
      </c>
      <c r="AO9" s="281">
        <f>AM9*AN9</f>
        <v>32032.713550600343</v>
      </c>
      <c r="AP9" s="92">
        <f>'Var Vorgaben'!C69</f>
        <v>0.48</v>
      </c>
      <c r="AQ9" s="23"/>
      <c r="AR9" s="64" t="str">
        <f>'Var Vorgaben'!$C$39</f>
        <v>24+ mm</v>
      </c>
      <c r="AS9" s="659">
        <f>AT9/$B$5</f>
        <v>7.2799494447955224</v>
      </c>
      <c r="AT9" s="521">
        <f>AW9*AT12</f>
        <v>6915.9519725557466</v>
      </c>
      <c r="AU9" s="759">
        <f>'Var Vorgaben'!C40</f>
        <v>5.59</v>
      </c>
      <c r="AV9" s="281">
        <f>AT9*AU9</f>
        <v>38660.171526586622</v>
      </c>
      <c r="AW9" s="92">
        <f>'Var Vorgaben'!C70</f>
        <v>0.48</v>
      </c>
      <c r="AX9" s="23"/>
      <c r="AY9" s="64" t="str">
        <f>'Var Vorgaben'!$C$39</f>
        <v>24+ mm</v>
      </c>
      <c r="AZ9" s="659">
        <f>BA9/$B$5</f>
        <v>7.2799494447955224</v>
      </c>
      <c r="BA9" s="521">
        <f>BD9*BA12</f>
        <v>6915.9519725557466</v>
      </c>
      <c r="BB9" s="759">
        <f>'Var Vorgaben'!C40</f>
        <v>5.59</v>
      </c>
      <c r="BC9" s="281">
        <f>BA9*BB9</f>
        <v>38660.171526586622</v>
      </c>
      <c r="BD9" s="92">
        <f>'Var Vorgaben'!C71</f>
        <v>0.48</v>
      </c>
      <c r="BE9" s="23"/>
      <c r="BF9" s="64" t="str">
        <f>'Var Vorgaben'!$C$39</f>
        <v>24+ mm</v>
      </c>
      <c r="BG9" s="659">
        <f>BH9/$B$5</f>
        <v>7.2799494447955224</v>
      </c>
      <c r="BH9" s="521">
        <f>BK9*BH12</f>
        <v>6915.9519725557466</v>
      </c>
      <c r="BI9" s="759">
        <f>'Var Vorgaben'!C40</f>
        <v>5.59</v>
      </c>
      <c r="BJ9" s="281">
        <f>BH9*BI9</f>
        <v>38660.171526586622</v>
      </c>
      <c r="BK9" s="92">
        <f>'Var Vorgaben'!C72</f>
        <v>0.48</v>
      </c>
      <c r="BL9" s="23"/>
      <c r="BM9" s="64" t="str">
        <f>'Var Vorgaben'!$C$39</f>
        <v>24+ mm</v>
      </c>
      <c r="BN9" s="659">
        <f>BO9/$B$5</f>
        <v>7.2799494447955224</v>
      </c>
      <c r="BO9" s="521">
        <f>BR9*BO12</f>
        <v>6915.9519725557466</v>
      </c>
      <c r="BP9" s="759">
        <f>'Var Vorgaben'!C40</f>
        <v>5.59</v>
      </c>
      <c r="BQ9" s="281">
        <f>BO9*BP9</f>
        <v>38660.171526586622</v>
      </c>
      <c r="BR9" s="92">
        <f>'Var Vorgaben'!C73</f>
        <v>0.48</v>
      </c>
      <c r="BS9" s="23"/>
      <c r="BT9" s="64" t="str">
        <f>'Var Vorgaben'!$C$39</f>
        <v>24+ mm</v>
      </c>
      <c r="BU9" s="659">
        <f>BV9/$B$5</f>
        <v>6.7599530558815566</v>
      </c>
      <c r="BV9" s="521">
        <f>BY9*BV12</f>
        <v>6421.9554030874788</v>
      </c>
      <c r="BW9" s="759">
        <f>'Var Vorgaben'!C40</f>
        <v>5.59</v>
      </c>
      <c r="BX9" s="281">
        <f>BV9*BW9</f>
        <v>35898.730703259003</v>
      </c>
      <c r="BY9" s="92">
        <f>'Var Vorgaben'!C74</f>
        <v>0.48</v>
      </c>
      <c r="BZ9" s="23"/>
      <c r="CA9" s="64" t="str">
        <f>'Var Vorgaben'!$C$39</f>
        <v>24+ mm</v>
      </c>
      <c r="CB9" s="659">
        <f>CC9/$B$5</f>
        <v>6.7599530558815566</v>
      </c>
      <c r="CC9" s="521">
        <f>CF9*CC12</f>
        <v>6421.9554030874788</v>
      </c>
      <c r="CD9" s="759">
        <f>'Var Vorgaben'!C40</f>
        <v>5.59</v>
      </c>
      <c r="CE9" s="281">
        <f>CC9*CD9</f>
        <v>35898.730703259003</v>
      </c>
      <c r="CF9" s="92">
        <f>'Var Vorgaben'!C75</f>
        <v>0.48</v>
      </c>
      <c r="CG9" s="23"/>
      <c r="CH9" s="64" t="str">
        <f>'Var Vorgaben'!$C$39</f>
        <v>24+ mm</v>
      </c>
      <c r="CI9" s="659">
        <f>CJ9/$B$5</f>
        <v>6.7599530558815566</v>
      </c>
      <c r="CJ9" s="521">
        <f>CM9*CJ12</f>
        <v>6421.9554030874788</v>
      </c>
      <c r="CK9" s="759">
        <f>'Var Vorgaben'!C40</f>
        <v>5.59</v>
      </c>
      <c r="CL9" s="281">
        <f>CJ9*CK9</f>
        <v>35898.730703259003</v>
      </c>
      <c r="CM9" s="92">
        <f>'Var Vorgaben'!C76</f>
        <v>0.48</v>
      </c>
      <c r="CN9" s="23"/>
      <c r="CO9" s="64" t="str">
        <f>'Var Vorgaben'!$C$39</f>
        <v>24+ mm</v>
      </c>
      <c r="CP9" s="659">
        <f>CQ9/$B$5</f>
        <v>6.7599530558815566</v>
      </c>
      <c r="CQ9" s="521">
        <f>CT9*CQ12</f>
        <v>6421.9554030874788</v>
      </c>
      <c r="CR9" s="759">
        <f>'Var Vorgaben'!C40</f>
        <v>5.59</v>
      </c>
      <c r="CS9" s="281">
        <f>CQ9*CR9</f>
        <v>35898.730703259003</v>
      </c>
      <c r="CT9" s="92">
        <f>'Var Vorgaben'!C77</f>
        <v>0.48</v>
      </c>
      <c r="CU9" s="23"/>
      <c r="CV9" s="64" t="str">
        <f>'Var Vorgaben'!$C$39</f>
        <v>24+ mm</v>
      </c>
      <c r="CW9" s="659">
        <f>CX9/$B$5</f>
        <v>6.2399566669675917</v>
      </c>
      <c r="CX9" s="521">
        <f>DA9*CX12</f>
        <v>5927.9588336192119</v>
      </c>
      <c r="CY9" s="759">
        <f>'Var Vorgaben'!C40</f>
        <v>5.59</v>
      </c>
      <c r="CZ9" s="281">
        <f>CX9*CY9</f>
        <v>33137.289879931392</v>
      </c>
      <c r="DA9" s="92">
        <f>'Var Vorgaben'!C78</f>
        <v>0.48</v>
      </c>
      <c r="DB9" s="23"/>
      <c r="DC9" s="64" t="str">
        <f>'Var Vorgaben'!$C$39</f>
        <v>24+ mm</v>
      </c>
      <c r="DD9" s="659">
        <f>DE9/$B$5</f>
        <v>5.7199602780536249</v>
      </c>
      <c r="DE9" s="521">
        <f>DH9*DE12</f>
        <v>5433.9622641509441</v>
      </c>
      <c r="DF9" s="759">
        <f>'Var Vorgaben'!C40</f>
        <v>5.59</v>
      </c>
      <c r="DG9" s="281">
        <f>DE9*DF9</f>
        <v>30375.849056603776</v>
      </c>
      <c r="DH9" s="92">
        <f>'Var Vorgaben'!C79</f>
        <v>0.48</v>
      </c>
    </row>
    <row r="10" spans="1:112" ht="13.75" customHeight="1" x14ac:dyDescent="0.3">
      <c r="A10" s="23"/>
      <c r="B10" s="64" t="str">
        <f>'Var Vorgaben'!$D$39</f>
        <v xml:space="preserve"> 22+ mm</v>
      </c>
      <c r="C10" s="659">
        <f>D10/$B$5</f>
        <v>0</v>
      </c>
      <c r="D10" s="521">
        <f>G10*D12</f>
        <v>0</v>
      </c>
      <c r="E10" s="759">
        <f>'Var Vorgaben'!D40</f>
        <v>4</v>
      </c>
      <c r="F10" s="281">
        <f>D10*E10</f>
        <v>0</v>
      </c>
      <c r="G10" s="92">
        <f>'Var Vorgaben'!D64</f>
        <v>0</v>
      </c>
      <c r="H10" s="23"/>
      <c r="I10" s="64" t="str">
        <f>'Var Vorgaben'!$D$39</f>
        <v xml:space="preserve"> 22+ mm</v>
      </c>
      <c r="J10" s="659">
        <f>K10/$B$5</f>
        <v>0</v>
      </c>
      <c r="K10" s="521">
        <f>N10*K12</f>
        <v>0</v>
      </c>
      <c r="L10" s="759">
        <f>'Var Vorgaben'!D40</f>
        <v>4</v>
      </c>
      <c r="M10" s="281">
        <f>K10*L10</f>
        <v>0</v>
      </c>
      <c r="N10" s="92">
        <f>'Var Vorgaben'!D65</f>
        <v>0</v>
      </c>
      <c r="O10" s="23"/>
      <c r="P10" s="64" t="str">
        <f>'Var Vorgaben'!$D$39</f>
        <v xml:space="preserve"> 22+ mm</v>
      </c>
      <c r="Q10" s="659">
        <f>R10/$B$5</f>
        <v>0</v>
      </c>
      <c r="R10" s="521">
        <f>U10*R12</f>
        <v>0</v>
      </c>
      <c r="S10" s="759">
        <f>'Var Vorgaben'!D40</f>
        <v>4</v>
      </c>
      <c r="T10" s="281">
        <f>R10*S10</f>
        <v>0</v>
      </c>
      <c r="U10" s="92">
        <f>'Var Vorgaben'!D66</f>
        <v>0</v>
      </c>
      <c r="V10" s="23"/>
      <c r="W10" s="64" t="str">
        <f>'Var Vorgaben'!$D$39</f>
        <v xml:space="preserve"> 22+ mm</v>
      </c>
      <c r="X10" s="659">
        <f>Y10/$B$5</f>
        <v>0</v>
      </c>
      <c r="Y10" s="521">
        <f>AB10*Y12</f>
        <v>0</v>
      </c>
      <c r="Z10" s="759">
        <f>'Var Vorgaben'!D40</f>
        <v>4</v>
      </c>
      <c r="AA10" s="281">
        <f>Y10*Z10</f>
        <v>0</v>
      </c>
      <c r="AB10" s="92">
        <f>'Var Vorgaben'!D67</f>
        <v>0</v>
      </c>
      <c r="AC10" s="23"/>
      <c r="AD10" s="64" t="str">
        <f>'Var Vorgaben'!$D$39</f>
        <v xml:space="preserve"> 22+ mm</v>
      </c>
      <c r="AE10" s="659">
        <f>AF10/$B$5</f>
        <v>0</v>
      </c>
      <c r="AF10" s="521">
        <f>AI10*AF12</f>
        <v>0</v>
      </c>
      <c r="AG10" s="759">
        <f>'Var Vorgaben'!D40</f>
        <v>4</v>
      </c>
      <c r="AH10" s="281">
        <f>AF10*AG10</f>
        <v>0</v>
      </c>
      <c r="AI10" s="92">
        <f>'Var Vorgaben'!D68</f>
        <v>0</v>
      </c>
      <c r="AJ10" s="23"/>
      <c r="AK10" s="64" t="str">
        <f>'Var Vorgaben'!$D$39</f>
        <v xml:space="preserve"> 22+ mm</v>
      </c>
      <c r="AL10" s="659">
        <f>AM10/$B$5</f>
        <v>0</v>
      </c>
      <c r="AM10" s="521">
        <f>AP10*AM12</f>
        <v>0</v>
      </c>
      <c r="AN10" s="759">
        <f>'Var Vorgaben'!D40</f>
        <v>4</v>
      </c>
      <c r="AO10" s="281">
        <f>AM10*AN10</f>
        <v>0</v>
      </c>
      <c r="AP10" s="92">
        <f>'Var Vorgaben'!D69</f>
        <v>0</v>
      </c>
      <c r="AQ10" s="23"/>
      <c r="AR10" s="64" t="str">
        <f>'Var Vorgaben'!$D$39</f>
        <v xml:space="preserve"> 22+ mm</v>
      </c>
      <c r="AS10" s="659">
        <f>AT10/$B$5</f>
        <v>0</v>
      </c>
      <c r="AT10" s="521">
        <f>AW10*AT12</f>
        <v>0</v>
      </c>
      <c r="AU10" s="759">
        <f>'Var Vorgaben'!D40</f>
        <v>4</v>
      </c>
      <c r="AV10" s="281">
        <f>AT10*AU10</f>
        <v>0</v>
      </c>
      <c r="AW10" s="92">
        <f>'Var Vorgaben'!D70</f>
        <v>0</v>
      </c>
      <c r="AX10" s="23"/>
      <c r="AY10" s="64" t="str">
        <f>'Var Vorgaben'!$D$39</f>
        <v xml:space="preserve"> 22+ mm</v>
      </c>
      <c r="AZ10" s="659">
        <f>BA10/$B$5</f>
        <v>0</v>
      </c>
      <c r="BA10" s="521">
        <f>BD10*BA12</f>
        <v>0</v>
      </c>
      <c r="BB10" s="759">
        <f>'Var Vorgaben'!D40</f>
        <v>4</v>
      </c>
      <c r="BC10" s="281">
        <f>BA10*BB10</f>
        <v>0</v>
      </c>
      <c r="BD10" s="92">
        <f>'Var Vorgaben'!D71</f>
        <v>0</v>
      </c>
      <c r="BE10" s="23"/>
      <c r="BF10" s="64" t="str">
        <f>'Var Vorgaben'!$D$39</f>
        <v xml:space="preserve"> 22+ mm</v>
      </c>
      <c r="BG10" s="659">
        <f>BH10/$B$5</f>
        <v>0</v>
      </c>
      <c r="BH10" s="521">
        <f>BK10*BH12</f>
        <v>0</v>
      </c>
      <c r="BI10" s="759">
        <f>'Var Vorgaben'!D40</f>
        <v>4</v>
      </c>
      <c r="BJ10" s="281">
        <f>BH10*BI10</f>
        <v>0</v>
      </c>
      <c r="BK10" s="92">
        <f>'Var Vorgaben'!D72</f>
        <v>0</v>
      </c>
      <c r="BL10" s="23"/>
      <c r="BM10" s="64" t="str">
        <f>'Var Vorgaben'!$D$39</f>
        <v xml:space="preserve"> 22+ mm</v>
      </c>
      <c r="BN10" s="659">
        <f>BO10/$B$5</f>
        <v>0</v>
      </c>
      <c r="BO10" s="521">
        <f>BR10*BO12</f>
        <v>0</v>
      </c>
      <c r="BP10" s="759">
        <f>'Var Vorgaben'!D40</f>
        <v>4</v>
      </c>
      <c r="BQ10" s="281">
        <f>BO10*BP10</f>
        <v>0</v>
      </c>
      <c r="BR10" s="92">
        <f>'Var Vorgaben'!D73</f>
        <v>0</v>
      </c>
      <c r="BS10" s="23"/>
      <c r="BT10" s="64" t="str">
        <f>'Var Vorgaben'!$D$39</f>
        <v xml:space="preserve"> 22+ mm</v>
      </c>
      <c r="BU10" s="659">
        <f>BV10/$B$5</f>
        <v>0</v>
      </c>
      <c r="BV10" s="521">
        <f>BY10*BV12</f>
        <v>0</v>
      </c>
      <c r="BW10" s="759">
        <f>'Var Vorgaben'!D40</f>
        <v>4</v>
      </c>
      <c r="BX10" s="281">
        <f>BV10*BW10</f>
        <v>0</v>
      </c>
      <c r="BY10" s="92">
        <f>'Var Vorgaben'!D74</f>
        <v>0</v>
      </c>
      <c r="BZ10" s="23"/>
      <c r="CA10" s="64" t="str">
        <f>'Var Vorgaben'!$D$39</f>
        <v xml:space="preserve"> 22+ mm</v>
      </c>
      <c r="CB10" s="659">
        <f>CC10/$B$5</f>
        <v>0</v>
      </c>
      <c r="CC10" s="521">
        <f>CF10*CC12</f>
        <v>0</v>
      </c>
      <c r="CD10" s="759">
        <f>'Var Vorgaben'!D40</f>
        <v>4</v>
      </c>
      <c r="CE10" s="281">
        <f>CC10*CD10</f>
        <v>0</v>
      </c>
      <c r="CF10" s="92">
        <f>'Var Vorgaben'!D75</f>
        <v>0</v>
      </c>
      <c r="CG10" s="23"/>
      <c r="CH10" s="64" t="str">
        <f>'Var Vorgaben'!$D$39</f>
        <v xml:space="preserve"> 22+ mm</v>
      </c>
      <c r="CI10" s="659">
        <f>CJ10/$B$5</f>
        <v>0</v>
      </c>
      <c r="CJ10" s="521">
        <f>CM10*CJ12</f>
        <v>0</v>
      </c>
      <c r="CK10" s="759">
        <f>'Var Vorgaben'!D40</f>
        <v>4</v>
      </c>
      <c r="CL10" s="281">
        <f>CJ10*CK10</f>
        <v>0</v>
      </c>
      <c r="CM10" s="92">
        <f>'Var Vorgaben'!D76</f>
        <v>0</v>
      </c>
      <c r="CN10" s="23"/>
      <c r="CO10" s="64" t="str">
        <f>'Var Vorgaben'!$D$39</f>
        <v xml:space="preserve"> 22+ mm</v>
      </c>
      <c r="CP10" s="659">
        <f>CQ10/$B$5</f>
        <v>0</v>
      </c>
      <c r="CQ10" s="521">
        <f>CT10*CQ12</f>
        <v>0</v>
      </c>
      <c r="CR10" s="759">
        <f>'Var Vorgaben'!D40</f>
        <v>4</v>
      </c>
      <c r="CS10" s="281">
        <f>CQ10*CR10</f>
        <v>0</v>
      </c>
      <c r="CT10" s="92">
        <f>'Var Vorgaben'!D77</f>
        <v>0</v>
      </c>
      <c r="CU10" s="23"/>
      <c r="CV10" s="64" t="str">
        <f>'Var Vorgaben'!$D$39</f>
        <v xml:space="preserve"> 22+ mm</v>
      </c>
      <c r="CW10" s="659">
        <f>CX10/$B$5</f>
        <v>0</v>
      </c>
      <c r="CX10" s="521">
        <f>DA10*CX12</f>
        <v>0</v>
      </c>
      <c r="CY10" s="759">
        <f>'Var Vorgaben'!D40</f>
        <v>4</v>
      </c>
      <c r="CZ10" s="281">
        <f>CX10*CY10</f>
        <v>0</v>
      </c>
      <c r="DA10" s="92">
        <f>'Var Vorgaben'!D78</f>
        <v>0</v>
      </c>
      <c r="DB10" s="23"/>
      <c r="DC10" s="64" t="str">
        <f>'Var Vorgaben'!$D$39</f>
        <v xml:space="preserve"> 22+ mm</v>
      </c>
      <c r="DD10" s="659">
        <f>DE10/$B$5</f>
        <v>0</v>
      </c>
      <c r="DE10" s="521">
        <f>DH10*DE12</f>
        <v>0</v>
      </c>
      <c r="DF10" s="759">
        <f>'Var Vorgaben'!D40</f>
        <v>4</v>
      </c>
      <c r="DG10" s="281">
        <f>DE10*DF10</f>
        <v>0</v>
      </c>
      <c r="DH10" s="92">
        <f>'Var Vorgaben'!D79</f>
        <v>0</v>
      </c>
    </row>
    <row r="11" spans="1:112" ht="13.75" customHeight="1" thickBot="1" x14ac:dyDescent="0.35">
      <c r="A11" s="23"/>
      <c r="B11" s="64" t="str">
        <f>'Var Vorgaben'!$E$39</f>
        <v xml:space="preserve"> Abgang</v>
      </c>
      <c r="C11" s="664">
        <f>D11/$B$5</f>
        <v>0</v>
      </c>
      <c r="D11" s="291">
        <f>G11*D12</f>
        <v>0</v>
      </c>
      <c r="E11" s="760">
        <f>'Var Vorgaben'!E40</f>
        <v>0</v>
      </c>
      <c r="F11" s="663">
        <f>D11*E11</f>
        <v>0</v>
      </c>
      <c r="G11" s="761">
        <f>'Var Vorgaben'!E64</f>
        <v>7.0000000000000007E-2</v>
      </c>
      <c r="H11" s="23"/>
      <c r="I11" s="64" t="str">
        <f>'Var Vorgaben'!$E$39</f>
        <v xml:space="preserve"> Abgang</v>
      </c>
      <c r="J11" s="664">
        <f>K11/$B$5</f>
        <v>0</v>
      </c>
      <c r="K11" s="291">
        <f>N11*K12</f>
        <v>0</v>
      </c>
      <c r="L11" s="760">
        <f>'Var Vorgaben'!E40</f>
        <v>0</v>
      </c>
      <c r="M11" s="663">
        <f>K11*L11</f>
        <v>0</v>
      </c>
      <c r="N11" s="761">
        <f>'Var Vorgaben'!E65</f>
        <v>7.0000000000000007E-2</v>
      </c>
      <c r="O11" s="23"/>
      <c r="P11" s="64" t="str">
        <f>'Var Vorgaben'!$E$39</f>
        <v xml:space="preserve"> Abgang</v>
      </c>
      <c r="Q11" s="664">
        <f>R11/$B$5</f>
        <v>7.5832806716620044E-2</v>
      </c>
      <c r="R11" s="291">
        <f>U11*R12</f>
        <v>72.041166380789036</v>
      </c>
      <c r="S11" s="760">
        <f>'Var Vorgaben'!E40</f>
        <v>0</v>
      </c>
      <c r="T11" s="663">
        <f>R11*S11</f>
        <v>0</v>
      </c>
      <c r="U11" s="761">
        <f>'Var Vorgaben'!E66</f>
        <v>7.0000000000000007E-2</v>
      </c>
      <c r="V11" s="23"/>
      <c r="W11" s="64" t="str">
        <f>'Var Vorgaben'!$E$39</f>
        <v xml:space="preserve"> Abgang</v>
      </c>
      <c r="X11" s="664">
        <f>Y11/$B$5</f>
        <v>0.30333122686648017</v>
      </c>
      <c r="Y11" s="291">
        <f>AB11*Y12</f>
        <v>288.16466552315615</v>
      </c>
      <c r="Z11" s="760">
        <f>'Var Vorgaben'!E40</f>
        <v>0</v>
      </c>
      <c r="AA11" s="663">
        <f>Y11*Z11</f>
        <v>0</v>
      </c>
      <c r="AB11" s="761">
        <f>'Var Vorgaben'!E67</f>
        <v>7.0000000000000007E-2</v>
      </c>
      <c r="AC11" s="23"/>
      <c r="AD11" s="64" t="str">
        <f>'Var Vorgaben'!$E$39</f>
        <v xml:space="preserve"> Abgang</v>
      </c>
      <c r="AE11" s="664">
        <f>AF11/$B$5</f>
        <v>0.68097860431524793</v>
      </c>
      <c r="AF11" s="291">
        <f>AI11*AF12</f>
        <v>646.92967409948551</v>
      </c>
      <c r="AG11" s="760">
        <f>'Var Vorgaben'!E40</f>
        <v>0</v>
      </c>
      <c r="AH11" s="663">
        <f>AF11*AG11</f>
        <v>0</v>
      </c>
      <c r="AI11" s="761">
        <f>'Var Vorgaben'!E68</f>
        <v>7.0000000000000007E-2</v>
      </c>
      <c r="AJ11" s="23"/>
      <c r="AK11" s="64" t="str">
        <f>'Var Vorgaben'!$E$39</f>
        <v xml:space="preserve"> Abgang</v>
      </c>
      <c r="AL11" s="664">
        <f>AM11/$B$5</f>
        <v>0.87966055791279241</v>
      </c>
      <c r="AM11" s="291">
        <f>AP11*AM12</f>
        <v>835.67753001715278</v>
      </c>
      <c r="AN11" s="760">
        <f>'Var Vorgaben'!E40</f>
        <v>0</v>
      </c>
      <c r="AO11" s="663">
        <f>AM11*AN11</f>
        <v>0</v>
      </c>
      <c r="AP11" s="761">
        <f>'Var Vorgaben'!E69</f>
        <v>7.0000000000000007E-2</v>
      </c>
      <c r="AQ11" s="23"/>
      <c r="AR11" s="64" t="str">
        <f>'Var Vorgaben'!$E$39</f>
        <v xml:space="preserve"> Abgang</v>
      </c>
      <c r="AS11" s="664">
        <f>AT11/$B$5</f>
        <v>1.0616592940326806</v>
      </c>
      <c r="AT11" s="291">
        <f>AW11*AT12</f>
        <v>1008.5763293310465</v>
      </c>
      <c r="AU11" s="760">
        <f>'Var Vorgaben'!E40</f>
        <v>0</v>
      </c>
      <c r="AV11" s="663">
        <f>AT11*AU11</f>
        <v>0</v>
      </c>
      <c r="AW11" s="761">
        <f>'Var Vorgaben'!E70</f>
        <v>7.0000000000000007E-2</v>
      </c>
      <c r="AX11" s="23"/>
      <c r="AY11" s="64" t="str">
        <f>'Var Vorgaben'!$E$39</f>
        <v xml:space="preserve"> Abgang</v>
      </c>
      <c r="AZ11" s="664">
        <f>BA11/$B$5</f>
        <v>1.0616592940326806</v>
      </c>
      <c r="BA11" s="291">
        <f>BD11*BA12</f>
        <v>1008.5763293310465</v>
      </c>
      <c r="BB11" s="760">
        <f>'Var Vorgaben'!E40</f>
        <v>0</v>
      </c>
      <c r="BC11" s="663">
        <f>BA11*BB11</f>
        <v>0</v>
      </c>
      <c r="BD11" s="761">
        <f>'Var Vorgaben'!E71</f>
        <v>7.0000000000000007E-2</v>
      </c>
      <c r="BE11" s="23"/>
      <c r="BF11" s="64" t="str">
        <f>'Var Vorgaben'!$E$39</f>
        <v xml:space="preserve"> Abgang</v>
      </c>
      <c r="BG11" s="664">
        <f>BH11/$B$5</f>
        <v>1.0616592940326806</v>
      </c>
      <c r="BH11" s="291">
        <f>BK11*BH12</f>
        <v>1008.5763293310465</v>
      </c>
      <c r="BI11" s="760">
        <f>'Var Vorgaben'!E40</f>
        <v>0</v>
      </c>
      <c r="BJ11" s="663">
        <f>BH11*BI11</f>
        <v>0</v>
      </c>
      <c r="BK11" s="761">
        <f>'Var Vorgaben'!E72</f>
        <v>7.0000000000000007E-2</v>
      </c>
      <c r="BL11" s="23"/>
      <c r="BM11" s="64" t="str">
        <f>'Var Vorgaben'!$E$39</f>
        <v xml:space="preserve"> Abgang</v>
      </c>
      <c r="BN11" s="664">
        <f>BO11/$B$5</f>
        <v>1.0616592940326806</v>
      </c>
      <c r="BO11" s="291">
        <f>BR11*BO12</f>
        <v>1008.5763293310465</v>
      </c>
      <c r="BP11" s="760">
        <f>'Var Vorgaben'!E40</f>
        <v>0</v>
      </c>
      <c r="BQ11" s="663">
        <f>BO11*BP11</f>
        <v>0</v>
      </c>
      <c r="BR11" s="761">
        <f>'Var Vorgaben'!E73</f>
        <v>7.0000000000000007E-2</v>
      </c>
      <c r="BS11" s="23"/>
      <c r="BT11" s="64" t="str">
        <f>'Var Vorgaben'!$E$39</f>
        <v xml:space="preserve"> Abgang</v>
      </c>
      <c r="BU11" s="664">
        <f>BV11/$B$5</f>
        <v>0.98582648731606048</v>
      </c>
      <c r="BV11" s="291">
        <f>BY11*BV12</f>
        <v>936.53516295025747</v>
      </c>
      <c r="BW11" s="760">
        <f>'Var Vorgaben'!E40</f>
        <v>0</v>
      </c>
      <c r="BX11" s="663">
        <f>BV11*BW11</f>
        <v>0</v>
      </c>
      <c r="BY11" s="761">
        <f>'Var Vorgaben'!E74</f>
        <v>7.0000000000000007E-2</v>
      </c>
      <c r="BZ11" s="23"/>
      <c r="CA11" s="64" t="str">
        <f>'Var Vorgaben'!$E$39</f>
        <v xml:space="preserve"> Abgang</v>
      </c>
      <c r="CB11" s="664">
        <f>CC11/$B$5</f>
        <v>0.98582648731606048</v>
      </c>
      <c r="CC11" s="291">
        <f>CF11*CC12</f>
        <v>936.53516295025747</v>
      </c>
      <c r="CD11" s="760">
        <f>'Var Vorgaben'!E40</f>
        <v>0</v>
      </c>
      <c r="CE11" s="663">
        <f>CC11*CD11</f>
        <v>0</v>
      </c>
      <c r="CF11" s="761">
        <f>'Var Vorgaben'!E75</f>
        <v>7.0000000000000007E-2</v>
      </c>
      <c r="CG11" s="23"/>
      <c r="CH11" s="64" t="str">
        <f>'Var Vorgaben'!$E$39</f>
        <v xml:space="preserve"> Abgang</v>
      </c>
      <c r="CI11" s="664">
        <f>CJ11/$B$5</f>
        <v>0.98582648731606048</v>
      </c>
      <c r="CJ11" s="291">
        <f>CM11*CJ12</f>
        <v>936.53516295025747</v>
      </c>
      <c r="CK11" s="760">
        <f>'Var Vorgaben'!E40</f>
        <v>0</v>
      </c>
      <c r="CL11" s="663">
        <f>CJ11*CK11</f>
        <v>0</v>
      </c>
      <c r="CM11" s="761">
        <f>'Var Vorgaben'!E76</f>
        <v>7.0000000000000007E-2</v>
      </c>
      <c r="CN11" s="23"/>
      <c r="CO11" s="64" t="str">
        <f>'Var Vorgaben'!$E$39</f>
        <v xml:space="preserve"> Abgang</v>
      </c>
      <c r="CP11" s="664">
        <f>CQ11/$B$5</f>
        <v>0.98582648731606048</v>
      </c>
      <c r="CQ11" s="291">
        <f>CT11*CQ12</f>
        <v>936.53516295025747</v>
      </c>
      <c r="CR11" s="760">
        <f>'Var Vorgaben'!E40</f>
        <v>0</v>
      </c>
      <c r="CS11" s="663">
        <f>CQ11*CR11</f>
        <v>0</v>
      </c>
      <c r="CT11" s="761">
        <f>'Var Vorgaben'!E77</f>
        <v>7.0000000000000007E-2</v>
      </c>
      <c r="CU11" s="23"/>
      <c r="CV11" s="64" t="str">
        <f>'Var Vorgaben'!$E$39</f>
        <v xml:space="preserve"> Abgang</v>
      </c>
      <c r="CW11" s="664">
        <f>CX11/$B$5</f>
        <v>0.90999368059944052</v>
      </c>
      <c r="CX11" s="291">
        <f>DA11*CX12</f>
        <v>864.49399656946855</v>
      </c>
      <c r="CY11" s="760">
        <f>'Var Vorgaben'!E40</f>
        <v>0</v>
      </c>
      <c r="CZ11" s="663">
        <f>CX11*CY11</f>
        <v>0</v>
      </c>
      <c r="DA11" s="761">
        <f>'Var Vorgaben'!E78</f>
        <v>7.0000000000000007E-2</v>
      </c>
      <c r="DB11" s="23"/>
      <c r="DC11" s="64" t="str">
        <f>'Var Vorgaben'!$E$39</f>
        <v xml:space="preserve"> Abgang</v>
      </c>
      <c r="DD11" s="664">
        <f>DE11/$B$5</f>
        <v>0.83416087388282045</v>
      </c>
      <c r="DE11" s="291">
        <f>DH11*DE12</f>
        <v>792.4528301886794</v>
      </c>
      <c r="DF11" s="760">
        <f>'Var Vorgaben'!E40</f>
        <v>0</v>
      </c>
      <c r="DG11" s="663">
        <f>DE11*DF11</f>
        <v>0</v>
      </c>
      <c r="DH11" s="761">
        <f>'Var Vorgaben'!E79</f>
        <v>7.0000000000000007E-2</v>
      </c>
    </row>
    <row r="12" spans="1:112" x14ac:dyDescent="0.3">
      <c r="A12" s="53"/>
      <c r="B12" s="54"/>
      <c r="C12" s="660">
        <f>SUM(C8:C11)</f>
        <v>0</v>
      </c>
      <c r="D12" s="437">
        <f>'Var Vorgaben'!F40</f>
        <v>0</v>
      </c>
      <c r="E12" s="661">
        <f>(E8*G8)+(E9*G9)+(E10*G10)+(E11*G11)</f>
        <v>5.8736999999999995</v>
      </c>
      <c r="F12" s="121">
        <f>SUM(F8:F11)</f>
        <v>0</v>
      </c>
      <c r="G12" s="92">
        <f>SUM(G8:G11)</f>
        <v>1</v>
      </c>
      <c r="H12" s="53"/>
      <c r="I12" s="54"/>
      <c r="J12" s="660">
        <f>SUM(J8:J11)</f>
        <v>0</v>
      </c>
      <c r="K12" s="437">
        <f>'Var Vorgaben'!F41</f>
        <v>0</v>
      </c>
      <c r="L12" s="661">
        <f>(L8*N8)+(L9*N9)+(L10*N10)+(L11*N11)</f>
        <v>5.8736999999999995</v>
      </c>
      <c r="M12" s="121">
        <f>SUM(M8:M11)</f>
        <v>0</v>
      </c>
      <c r="N12" s="92">
        <f>SUM(N8:N11)</f>
        <v>1</v>
      </c>
      <c r="O12" s="53"/>
      <c r="P12" s="54"/>
      <c r="Q12" s="660">
        <f>SUM(Q8:Q11)</f>
        <v>1.0833258102374292</v>
      </c>
      <c r="R12" s="437">
        <f>'Var Vorgaben'!F42</f>
        <v>1029.1595197255576</v>
      </c>
      <c r="S12" s="661">
        <f>(S8*U8)+(S9*U9)+(S10*U10)+(S11*U11)</f>
        <v>5.8736999999999995</v>
      </c>
      <c r="T12" s="121">
        <f>SUM(T8:T11)</f>
        <v>6044.9742710120081</v>
      </c>
      <c r="U12" s="92">
        <f>SUM(U8:U11)</f>
        <v>1</v>
      </c>
      <c r="V12" s="53"/>
      <c r="W12" s="54"/>
      <c r="X12" s="660">
        <f>SUM(X8:X11)</f>
        <v>4.333303240949717</v>
      </c>
      <c r="Y12" s="437">
        <f>'Var Vorgaben'!F43</f>
        <v>4116.6380789022305</v>
      </c>
      <c r="Z12" s="661">
        <f>(Z8*AB8)+(Z9*AB9)+(Z10*AB10)+(Z11*AB11)</f>
        <v>5.8736999999999995</v>
      </c>
      <c r="AA12" s="121">
        <f>SUM(AA8:AA11)</f>
        <v>24179.897084048032</v>
      </c>
      <c r="AB12" s="92">
        <f>SUM(AB8:AB11)</f>
        <v>1</v>
      </c>
      <c r="AC12" s="53"/>
      <c r="AD12" s="54"/>
      <c r="AE12" s="660">
        <f>SUM(AE8:AE11)</f>
        <v>9.7282657759321101</v>
      </c>
      <c r="AF12" s="437">
        <f>'Var Vorgaben'!F44</f>
        <v>9241.8524871355057</v>
      </c>
      <c r="AG12" s="661">
        <f>(AG8*AI8)+(AG9*AI9)+(AG10*AI10)+(AG11*AI11)</f>
        <v>5.8736999999999995</v>
      </c>
      <c r="AH12" s="121">
        <f>SUM(AH8:AH11)</f>
        <v>54283.868953687816</v>
      </c>
      <c r="AI12" s="92">
        <f>SUM(AI8:AI11)</f>
        <v>1</v>
      </c>
      <c r="AJ12" s="53"/>
      <c r="AK12" s="54"/>
      <c r="AL12" s="660">
        <f>SUM(AL8:AL11)</f>
        <v>12.566579398754175</v>
      </c>
      <c r="AM12" s="437">
        <f>'Var Vorgaben'!F45</f>
        <v>11938.250428816467</v>
      </c>
      <c r="AN12" s="661">
        <f>(AN8*AP8)+(AN9*AP9)+(AN10*AP10)+(AN11*AP11)</f>
        <v>5.8736999999999995</v>
      </c>
      <c r="AO12" s="121">
        <f>SUM(AO8:AO11)</f>
        <v>70121.701543739284</v>
      </c>
      <c r="AP12" s="92">
        <f>SUM(AP8:AP11)</f>
        <v>1</v>
      </c>
      <c r="AQ12" s="53"/>
      <c r="AR12" s="54"/>
      <c r="AS12" s="660">
        <f>SUM(AS8:AS11)</f>
        <v>15.166561343324005</v>
      </c>
      <c r="AT12" s="437">
        <f>'Var Vorgaben'!F46</f>
        <v>14408.233276157805</v>
      </c>
      <c r="AU12" s="661">
        <f>(AU8*AW8)+(AU9*AW9)+(AU10*AW10)+(AU11*AW11)</f>
        <v>5.8736999999999995</v>
      </c>
      <c r="AV12" s="121">
        <f>SUM(AV8:AV11)</f>
        <v>84629.639794168092</v>
      </c>
      <c r="AW12" s="92">
        <f>SUM(AW8:AW11)</f>
        <v>1</v>
      </c>
      <c r="AX12" s="53"/>
      <c r="AY12" s="54"/>
      <c r="AZ12" s="660">
        <f>SUM(AZ8:AZ11)</f>
        <v>15.166561343324005</v>
      </c>
      <c r="BA12" s="437">
        <f>'Var Vorgaben'!F47</f>
        <v>14408.233276157805</v>
      </c>
      <c r="BB12" s="661">
        <f>(BB8*BD8)+(BB9*BD9)+(BB10*BD10)+(BB11*BD11)</f>
        <v>5.8736999999999995</v>
      </c>
      <c r="BC12" s="121">
        <f>SUM(BC8:BC11)</f>
        <v>84629.639794168092</v>
      </c>
      <c r="BD12" s="92">
        <f>SUM(BD8:BD11)</f>
        <v>1</v>
      </c>
      <c r="BE12" s="53"/>
      <c r="BF12" s="54"/>
      <c r="BG12" s="660">
        <f>SUM(BG8:BG11)</f>
        <v>15.166561343324005</v>
      </c>
      <c r="BH12" s="437">
        <f>'Var Vorgaben'!F48</f>
        <v>14408.233276157805</v>
      </c>
      <c r="BI12" s="661">
        <f>(BI8*BK8)+(BI9*BK9)+(BI10*BK10)+(BI11*BK11)</f>
        <v>5.8736999999999995</v>
      </c>
      <c r="BJ12" s="121">
        <f>SUM(BJ8:BJ11)</f>
        <v>84629.639794168092</v>
      </c>
      <c r="BK12" s="92">
        <f>SUM(BK8:BK11)</f>
        <v>1</v>
      </c>
      <c r="BL12" s="53"/>
      <c r="BM12" s="54"/>
      <c r="BN12" s="660">
        <f>SUM(BN8:BN11)</f>
        <v>15.166561343324005</v>
      </c>
      <c r="BO12" s="437">
        <f>'Var Vorgaben'!F49</f>
        <v>14408.233276157805</v>
      </c>
      <c r="BP12" s="661">
        <f>(BP8*BR8)+(BP9*BR9)+(BP10*BR10)+(BP11*BR11)</f>
        <v>5.8736999999999995</v>
      </c>
      <c r="BQ12" s="121">
        <f>SUM(BQ8:BQ11)</f>
        <v>84629.639794168092</v>
      </c>
      <c r="BR12" s="92">
        <f>SUM(BR8:BR11)</f>
        <v>1</v>
      </c>
      <c r="BS12" s="53"/>
      <c r="BT12" s="54"/>
      <c r="BU12" s="660">
        <f>SUM(BU8:BU11)</f>
        <v>14.083235533086576</v>
      </c>
      <c r="BV12" s="437">
        <f>'Var Vorgaben'!F50</f>
        <v>13379.073756432248</v>
      </c>
      <c r="BW12" s="661">
        <f>(BW8*BY8)+(BW9*BY9)+(BW10*BY10)+(BW11*BY11)</f>
        <v>5.8736999999999995</v>
      </c>
      <c r="BX12" s="121">
        <f>SUM(BX8:BX11)</f>
        <v>78584.665523156087</v>
      </c>
      <c r="BY12" s="92">
        <f>SUM(BY8:BY11)</f>
        <v>1</v>
      </c>
      <c r="BZ12" s="53"/>
      <c r="CA12" s="54"/>
      <c r="CB12" s="660">
        <f>SUM(CB8:CB11)</f>
        <v>14.083235533086576</v>
      </c>
      <c r="CC12" s="437">
        <f>'Var Vorgaben'!F51</f>
        <v>13379.073756432248</v>
      </c>
      <c r="CD12" s="661">
        <f>(CD8*CF8)+(CD9*CF9)+(CD10*CF10)+(CD11*CF11)</f>
        <v>5.8736999999999995</v>
      </c>
      <c r="CE12" s="121">
        <f>SUM(CE8:CE11)</f>
        <v>78584.665523156087</v>
      </c>
      <c r="CF12" s="92">
        <f>SUM(CF8:CF11)</f>
        <v>1</v>
      </c>
      <c r="CG12" s="53"/>
      <c r="CH12" s="54"/>
      <c r="CI12" s="660">
        <f>SUM(CI8:CI11)</f>
        <v>14.083235533086576</v>
      </c>
      <c r="CJ12" s="437">
        <f>'Var Vorgaben'!F52</f>
        <v>13379.073756432248</v>
      </c>
      <c r="CK12" s="661">
        <f>(CK8*CM8)+(CK9*CM9)+(CK10*CM10)+(CK11*CM11)</f>
        <v>5.8736999999999995</v>
      </c>
      <c r="CL12" s="121">
        <f>SUM(CL8:CL11)</f>
        <v>78584.665523156087</v>
      </c>
      <c r="CM12" s="92">
        <f>SUM(CM8:CM11)</f>
        <v>1</v>
      </c>
      <c r="CN12" s="53"/>
      <c r="CO12" s="54"/>
      <c r="CP12" s="660">
        <f>SUM(CP8:CP11)</f>
        <v>14.083235533086576</v>
      </c>
      <c r="CQ12" s="437">
        <f>'Var Vorgaben'!F53</f>
        <v>13379.073756432248</v>
      </c>
      <c r="CR12" s="661">
        <f>(CR8*CT8)+(CR9*CT9)+(CR10*CT10)+(CR11*CT11)</f>
        <v>5.8736999999999995</v>
      </c>
      <c r="CS12" s="121">
        <f>SUM(CS8:CS11)</f>
        <v>78584.665523156087</v>
      </c>
      <c r="CT12" s="92">
        <f>SUM(CT8:CT11)</f>
        <v>1</v>
      </c>
      <c r="CU12" s="53"/>
      <c r="CV12" s="54"/>
      <c r="CW12" s="660">
        <f>SUM(CW8:CW11)</f>
        <v>12.99990972284915</v>
      </c>
      <c r="CX12" s="437">
        <f>'Var Vorgaben'!F54</f>
        <v>12349.914236706692</v>
      </c>
      <c r="CY12" s="661">
        <f>(CY8*DA8)+(CY9*DA9)+(CY10*DA10)+(CY11*DA11)</f>
        <v>5.8736999999999995</v>
      </c>
      <c r="CZ12" s="121">
        <f>SUM(CZ8:CZ11)</f>
        <v>72539.691252144097</v>
      </c>
      <c r="DA12" s="92">
        <f>SUM(DA8:DA11)</f>
        <v>1</v>
      </c>
      <c r="DB12" s="53"/>
      <c r="DC12" s="54"/>
      <c r="DD12" s="660">
        <f>SUM(DD8:DD11)</f>
        <v>11.916583912611719</v>
      </c>
      <c r="DE12" s="437">
        <f>'Var Vorgaben'!F55</f>
        <v>11320.754716981133</v>
      </c>
      <c r="DF12" s="661">
        <f>(DF8*DH8)+(DF9*DH9)+(DF10*DH10)+(DF11*DH11)</f>
        <v>5.8736999999999995</v>
      </c>
      <c r="DG12" s="121">
        <f>SUM(DG8:DG11)</f>
        <v>66494.716981132078</v>
      </c>
      <c r="DH12" s="92">
        <f>SUM(DH8:DH11)</f>
        <v>1</v>
      </c>
    </row>
    <row r="13" spans="1:112" ht="13.5" thickBot="1" x14ac:dyDescent="0.35">
      <c r="A13" s="53"/>
      <c r="B13" s="125" t="s">
        <v>103</v>
      </c>
      <c r="C13" s="660"/>
      <c r="D13" s="437"/>
      <c r="E13" s="661"/>
      <c r="F13" s="663">
        <f>'Var Vorgaben'!$C$33</f>
        <v>1100</v>
      </c>
      <c r="G13" s="92"/>
      <c r="H13" s="53"/>
      <c r="I13" s="125" t="s">
        <v>103</v>
      </c>
      <c r="J13" s="660"/>
      <c r="K13" s="437"/>
      <c r="L13" s="661"/>
      <c r="M13" s="663">
        <f>'Var Vorgaben'!$C$33</f>
        <v>1100</v>
      </c>
      <c r="N13" s="92"/>
      <c r="O13" s="53"/>
      <c r="P13" s="125" t="s">
        <v>103</v>
      </c>
      <c r="Q13" s="660"/>
      <c r="R13" s="437"/>
      <c r="S13" s="661"/>
      <c r="T13" s="663">
        <f>'Var Vorgaben'!$C$33</f>
        <v>1100</v>
      </c>
      <c r="U13" s="92"/>
      <c r="V13" s="53"/>
      <c r="W13" s="125" t="s">
        <v>103</v>
      </c>
      <c r="X13" s="660"/>
      <c r="Y13" s="437"/>
      <c r="Z13" s="661"/>
      <c r="AA13" s="663">
        <f>'Var Vorgaben'!$C$33</f>
        <v>1100</v>
      </c>
      <c r="AB13" s="92"/>
      <c r="AC13" s="53"/>
      <c r="AD13" s="125" t="s">
        <v>103</v>
      </c>
      <c r="AE13" s="660"/>
      <c r="AF13" s="437"/>
      <c r="AG13" s="661"/>
      <c r="AH13" s="663">
        <f>'Var Vorgaben'!$C$33</f>
        <v>1100</v>
      </c>
      <c r="AI13" s="92"/>
      <c r="AJ13" s="53"/>
      <c r="AK13" s="125" t="s">
        <v>103</v>
      </c>
      <c r="AL13" s="660"/>
      <c r="AM13" s="437"/>
      <c r="AN13" s="661"/>
      <c r="AO13" s="663">
        <f>'Var Vorgaben'!$C$33</f>
        <v>1100</v>
      </c>
      <c r="AP13" s="92"/>
      <c r="AQ13" s="53"/>
      <c r="AR13" s="125" t="s">
        <v>103</v>
      </c>
      <c r="AS13" s="660"/>
      <c r="AT13" s="437"/>
      <c r="AU13" s="661"/>
      <c r="AV13" s="663">
        <f>'Var Vorgaben'!$C$33</f>
        <v>1100</v>
      </c>
      <c r="AW13" s="92"/>
      <c r="AX13" s="53"/>
      <c r="AY13" s="125" t="s">
        <v>103</v>
      </c>
      <c r="AZ13" s="660"/>
      <c r="BA13" s="437"/>
      <c r="BB13" s="661"/>
      <c r="BC13" s="663">
        <f>'Var Vorgaben'!$C$33</f>
        <v>1100</v>
      </c>
      <c r="BD13" s="92"/>
      <c r="BE13" s="53"/>
      <c r="BF13" s="125" t="s">
        <v>103</v>
      </c>
      <c r="BG13" s="660"/>
      <c r="BH13" s="437"/>
      <c r="BI13" s="661"/>
      <c r="BJ13" s="663">
        <f>'Var Vorgaben'!$C$33</f>
        <v>1100</v>
      </c>
      <c r="BK13" s="92"/>
      <c r="BL13" s="53"/>
      <c r="BM13" s="125" t="s">
        <v>103</v>
      </c>
      <c r="BN13" s="660"/>
      <c r="BO13" s="437"/>
      <c r="BP13" s="661"/>
      <c r="BQ13" s="663">
        <f>'Var Vorgaben'!$C$33</f>
        <v>1100</v>
      </c>
      <c r="BR13" s="92"/>
      <c r="BS13" s="53"/>
      <c r="BT13" s="125" t="s">
        <v>103</v>
      </c>
      <c r="BU13" s="660"/>
      <c r="BV13" s="437"/>
      <c r="BW13" s="661"/>
      <c r="BX13" s="663">
        <f>'Var Vorgaben'!$C$33</f>
        <v>1100</v>
      </c>
      <c r="BY13" s="92"/>
      <c r="BZ13" s="53"/>
      <c r="CA13" s="125" t="s">
        <v>103</v>
      </c>
      <c r="CB13" s="660"/>
      <c r="CC13" s="437"/>
      <c r="CD13" s="661"/>
      <c r="CE13" s="663">
        <f>'Var Vorgaben'!$C$33</f>
        <v>1100</v>
      </c>
      <c r="CF13" s="92"/>
      <c r="CG13" s="53"/>
      <c r="CH13" s="125" t="s">
        <v>103</v>
      </c>
      <c r="CI13" s="660"/>
      <c r="CJ13" s="437"/>
      <c r="CK13" s="661"/>
      <c r="CL13" s="663">
        <f>'Var Vorgaben'!$C$33</f>
        <v>1100</v>
      </c>
      <c r="CM13" s="92"/>
      <c r="CN13" s="53"/>
      <c r="CO13" s="125" t="s">
        <v>103</v>
      </c>
      <c r="CP13" s="660"/>
      <c r="CQ13" s="437"/>
      <c r="CR13" s="661"/>
      <c r="CS13" s="663">
        <f>'Var Vorgaben'!$C$33</f>
        <v>1100</v>
      </c>
      <c r="CT13" s="92"/>
      <c r="CU13" s="53"/>
      <c r="CV13" s="125" t="s">
        <v>103</v>
      </c>
      <c r="CW13" s="660"/>
      <c r="CX13" s="437"/>
      <c r="CY13" s="661"/>
      <c r="CZ13" s="663">
        <f>'Var Vorgaben'!$C$33</f>
        <v>1100</v>
      </c>
      <c r="DA13" s="92"/>
      <c r="DB13" s="53"/>
      <c r="DC13" s="125" t="s">
        <v>103</v>
      </c>
      <c r="DD13" s="660"/>
      <c r="DE13" s="437"/>
      <c r="DF13" s="661"/>
      <c r="DG13" s="663">
        <f>'Var Vorgaben'!$C$33</f>
        <v>1100</v>
      </c>
      <c r="DH13" s="92"/>
    </row>
    <row r="14" spans="1:112" ht="14.5" thickBot="1" x14ac:dyDescent="0.35">
      <c r="A14" s="639" t="s">
        <v>104</v>
      </c>
      <c r="B14" s="640"/>
      <c r="C14" s="640"/>
      <c r="D14" s="640"/>
      <c r="E14" s="640"/>
      <c r="F14" s="641">
        <f>SUM(F12:F13)</f>
        <v>1100</v>
      </c>
      <c r="G14" s="30"/>
      <c r="H14" s="639" t="s">
        <v>104</v>
      </c>
      <c r="I14" s="640"/>
      <c r="J14" s="640"/>
      <c r="K14" s="640"/>
      <c r="L14" s="640"/>
      <c r="M14" s="641">
        <f>SUM(M12:M13)</f>
        <v>1100</v>
      </c>
      <c r="N14" s="30"/>
      <c r="O14" s="639" t="s">
        <v>104</v>
      </c>
      <c r="P14" s="640"/>
      <c r="Q14" s="640"/>
      <c r="R14" s="640"/>
      <c r="S14" s="640"/>
      <c r="T14" s="641">
        <f>SUM(T12:T13)</f>
        <v>7144.9742710120081</v>
      </c>
      <c r="U14" s="30"/>
      <c r="V14" s="639" t="s">
        <v>104</v>
      </c>
      <c r="W14" s="640"/>
      <c r="X14" s="640"/>
      <c r="Y14" s="640"/>
      <c r="Z14" s="640"/>
      <c r="AA14" s="641">
        <f>SUM(AA12:AA13)</f>
        <v>25279.897084048032</v>
      </c>
      <c r="AB14" s="30"/>
      <c r="AC14" s="639" t="s">
        <v>104</v>
      </c>
      <c r="AD14" s="640"/>
      <c r="AE14" s="640"/>
      <c r="AF14" s="640"/>
      <c r="AG14" s="640"/>
      <c r="AH14" s="641">
        <f>SUM(AH12:AH13)</f>
        <v>55383.868953687816</v>
      </c>
      <c r="AI14" s="30"/>
      <c r="AJ14" s="639" t="s">
        <v>104</v>
      </c>
      <c r="AK14" s="640"/>
      <c r="AL14" s="640"/>
      <c r="AM14" s="640"/>
      <c r="AN14" s="640"/>
      <c r="AO14" s="641">
        <f>SUM(AO12:AO13)</f>
        <v>71221.701543739284</v>
      </c>
      <c r="AP14" s="30"/>
      <c r="AQ14" s="639" t="s">
        <v>104</v>
      </c>
      <c r="AR14" s="640"/>
      <c r="AS14" s="640"/>
      <c r="AT14" s="640"/>
      <c r="AU14" s="640"/>
      <c r="AV14" s="641">
        <f>SUM(AV12:AV13)</f>
        <v>85729.639794168092</v>
      </c>
      <c r="AW14" s="30"/>
      <c r="AX14" s="639" t="s">
        <v>104</v>
      </c>
      <c r="AY14" s="640"/>
      <c r="AZ14" s="640"/>
      <c r="BA14" s="640"/>
      <c r="BB14" s="640"/>
      <c r="BC14" s="641">
        <f>SUM(BC12:BC13)</f>
        <v>85729.639794168092</v>
      </c>
      <c r="BD14" s="30"/>
      <c r="BE14" s="639" t="s">
        <v>104</v>
      </c>
      <c r="BF14" s="640"/>
      <c r="BG14" s="640"/>
      <c r="BH14" s="640"/>
      <c r="BI14" s="640"/>
      <c r="BJ14" s="641">
        <f>SUM(BJ12:BJ13)</f>
        <v>85729.639794168092</v>
      </c>
      <c r="BK14" s="30"/>
      <c r="BL14" s="639" t="s">
        <v>104</v>
      </c>
      <c r="BM14" s="640"/>
      <c r="BN14" s="640"/>
      <c r="BO14" s="640"/>
      <c r="BP14" s="640"/>
      <c r="BQ14" s="641">
        <f>SUM(BQ12:BQ13)</f>
        <v>85729.639794168092</v>
      </c>
      <c r="BR14" s="30"/>
      <c r="BS14" s="639" t="s">
        <v>104</v>
      </c>
      <c r="BT14" s="640"/>
      <c r="BU14" s="640"/>
      <c r="BV14" s="640"/>
      <c r="BW14" s="640"/>
      <c r="BX14" s="641">
        <f>SUM(BX12:BX13)</f>
        <v>79684.665523156087</v>
      </c>
      <c r="BY14" s="30"/>
      <c r="BZ14" s="639" t="s">
        <v>104</v>
      </c>
      <c r="CA14" s="640"/>
      <c r="CB14" s="640"/>
      <c r="CC14" s="640"/>
      <c r="CD14" s="640"/>
      <c r="CE14" s="641">
        <f>SUM(CE12:CE13)</f>
        <v>79684.665523156087</v>
      </c>
      <c r="CF14" s="30"/>
      <c r="CG14" s="639" t="s">
        <v>104</v>
      </c>
      <c r="CH14" s="640"/>
      <c r="CI14" s="640"/>
      <c r="CJ14" s="640"/>
      <c r="CK14" s="640"/>
      <c r="CL14" s="641">
        <f>SUM(CL12:CL13)</f>
        <v>79684.665523156087</v>
      </c>
      <c r="CM14" s="30"/>
      <c r="CN14" s="639" t="s">
        <v>104</v>
      </c>
      <c r="CO14" s="640"/>
      <c r="CP14" s="640"/>
      <c r="CQ14" s="640"/>
      <c r="CR14" s="640"/>
      <c r="CS14" s="641">
        <f>SUM(CS12:CS13)</f>
        <v>79684.665523156087</v>
      </c>
      <c r="CT14" s="30"/>
      <c r="CU14" s="639" t="s">
        <v>104</v>
      </c>
      <c r="CV14" s="640"/>
      <c r="CW14" s="640"/>
      <c r="CX14" s="640"/>
      <c r="CY14" s="640"/>
      <c r="CZ14" s="641">
        <f>SUM(CZ12:CZ13)</f>
        <v>73639.691252144097</v>
      </c>
      <c r="DA14" s="30"/>
      <c r="DB14" s="639" t="s">
        <v>104</v>
      </c>
      <c r="DC14" s="640"/>
      <c r="DD14" s="640"/>
      <c r="DE14" s="640"/>
      <c r="DF14" s="640"/>
      <c r="DG14" s="641">
        <f>SUM(DG12:DG13)</f>
        <v>67594.716981132078</v>
      </c>
      <c r="DH14" s="30"/>
    </row>
    <row r="15" spans="1:112" ht="12.5" x14ac:dyDescent="0.25">
      <c r="A15" s="4"/>
      <c r="B15" s="4"/>
      <c r="C15" s="36" t="s">
        <v>18</v>
      </c>
      <c r="D15" s="36" t="s">
        <v>64</v>
      </c>
      <c r="E15" s="37" t="s">
        <v>65</v>
      </c>
      <c r="F15" s="43" t="s">
        <v>20</v>
      </c>
      <c r="G15" s="39" t="s">
        <v>67</v>
      </c>
      <c r="H15" s="4"/>
      <c r="I15" s="4"/>
      <c r="J15" s="36" t="s">
        <v>18</v>
      </c>
      <c r="K15" s="36" t="s">
        <v>64</v>
      </c>
      <c r="L15" s="37" t="s">
        <v>65</v>
      </c>
      <c r="M15" s="43" t="s">
        <v>20</v>
      </c>
      <c r="N15" s="39" t="s">
        <v>67</v>
      </c>
      <c r="O15" s="4"/>
      <c r="P15" s="4"/>
      <c r="Q15" s="36" t="s">
        <v>18</v>
      </c>
      <c r="R15" s="36" t="s">
        <v>64</v>
      </c>
      <c r="S15" s="37" t="s">
        <v>65</v>
      </c>
      <c r="T15" s="43" t="s">
        <v>20</v>
      </c>
      <c r="U15" s="39" t="s">
        <v>67</v>
      </c>
      <c r="V15" s="4"/>
      <c r="W15" s="4"/>
      <c r="X15" s="36" t="s">
        <v>18</v>
      </c>
      <c r="Y15" s="36" t="s">
        <v>64</v>
      </c>
      <c r="Z15" s="37" t="s">
        <v>65</v>
      </c>
      <c r="AA15" s="43" t="s">
        <v>20</v>
      </c>
      <c r="AB15" s="39" t="s">
        <v>67</v>
      </c>
      <c r="AC15" s="4"/>
      <c r="AD15" s="4"/>
      <c r="AE15" s="36" t="s">
        <v>18</v>
      </c>
      <c r="AF15" s="36" t="s">
        <v>64</v>
      </c>
      <c r="AG15" s="37" t="s">
        <v>65</v>
      </c>
      <c r="AH15" s="43" t="s">
        <v>20</v>
      </c>
      <c r="AI15" s="39" t="s">
        <v>67</v>
      </c>
      <c r="AJ15" s="4"/>
      <c r="AK15" s="4"/>
      <c r="AL15" s="36" t="s">
        <v>18</v>
      </c>
      <c r="AM15" s="36" t="s">
        <v>64</v>
      </c>
      <c r="AN15" s="37" t="s">
        <v>65</v>
      </c>
      <c r="AO15" s="43" t="s">
        <v>20</v>
      </c>
      <c r="AP15" s="39" t="s">
        <v>67</v>
      </c>
      <c r="AQ15" s="4"/>
      <c r="AR15" s="4"/>
      <c r="AS15" s="36" t="s">
        <v>18</v>
      </c>
      <c r="AT15" s="36" t="s">
        <v>64</v>
      </c>
      <c r="AU15" s="37" t="s">
        <v>65</v>
      </c>
      <c r="AV15" s="43" t="s">
        <v>20</v>
      </c>
      <c r="AW15" s="39" t="s">
        <v>67</v>
      </c>
      <c r="AX15" s="4"/>
      <c r="AY15" s="4"/>
      <c r="AZ15" s="36" t="s">
        <v>18</v>
      </c>
      <c r="BA15" s="36" t="s">
        <v>64</v>
      </c>
      <c r="BB15" s="37" t="s">
        <v>65</v>
      </c>
      <c r="BC15" s="43" t="s">
        <v>20</v>
      </c>
      <c r="BD15" s="39" t="s">
        <v>67</v>
      </c>
      <c r="BE15" s="4"/>
      <c r="BF15" s="4"/>
      <c r="BG15" s="36" t="s">
        <v>18</v>
      </c>
      <c r="BH15" s="36" t="s">
        <v>64</v>
      </c>
      <c r="BI15" s="37" t="s">
        <v>65</v>
      </c>
      <c r="BJ15" s="43" t="s">
        <v>20</v>
      </c>
      <c r="BK15" s="39" t="s">
        <v>67</v>
      </c>
      <c r="BL15" s="4"/>
      <c r="BM15" s="4"/>
      <c r="BN15" s="36" t="s">
        <v>18</v>
      </c>
      <c r="BO15" s="36" t="s">
        <v>64</v>
      </c>
      <c r="BP15" s="37" t="s">
        <v>65</v>
      </c>
      <c r="BQ15" s="43" t="s">
        <v>20</v>
      </c>
      <c r="BR15" s="39" t="s">
        <v>67</v>
      </c>
      <c r="BS15" s="4"/>
      <c r="BT15" s="4"/>
      <c r="BU15" s="36" t="s">
        <v>18</v>
      </c>
      <c r="BV15" s="36" t="s">
        <v>64</v>
      </c>
      <c r="BW15" s="37" t="s">
        <v>65</v>
      </c>
      <c r="BX15" s="43" t="s">
        <v>20</v>
      </c>
      <c r="BY15" s="39" t="s">
        <v>67</v>
      </c>
      <c r="BZ15" s="4"/>
      <c r="CA15" s="4"/>
      <c r="CB15" s="36" t="s">
        <v>18</v>
      </c>
      <c r="CC15" s="36" t="s">
        <v>64</v>
      </c>
      <c r="CD15" s="37" t="s">
        <v>65</v>
      </c>
      <c r="CE15" s="43" t="s">
        <v>20</v>
      </c>
      <c r="CF15" s="39" t="s">
        <v>67</v>
      </c>
      <c r="CG15" s="4"/>
      <c r="CH15" s="4"/>
      <c r="CI15" s="36" t="s">
        <v>18</v>
      </c>
      <c r="CJ15" s="36" t="s">
        <v>64</v>
      </c>
      <c r="CK15" s="37" t="s">
        <v>65</v>
      </c>
      <c r="CL15" s="43" t="s">
        <v>20</v>
      </c>
      <c r="CM15" s="39" t="s">
        <v>67</v>
      </c>
      <c r="CN15" s="4"/>
      <c r="CO15" s="4"/>
      <c r="CP15" s="36" t="s">
        <v>18</v>
      </c>
      <c r="CQ15" s="36" t="s">
        <v>64</v>
      </c>
      <c r="CR15" s="37" t="s">
        <v>65</v>
      </c>
      <c r="CS15" s="43" t="s">
        <v>20</v>
      </c>
      <c r="CT15" s="39" t="s">
        <v>67</v>
      </c>
      <c r="CU15" s="4"/>
      <c r="CV15" s="4"/>
      <c r="CW15" s="36" t="s">
        <v>18</v>
      </c>
      <c r="CX15" s="36" t="s">
        <v>64</v>
      </c>
      <c r="CY15" s="37" t="s">
        <v>65</v>
      </c>
      <c r="CZ15" s="43" t="s">
        <v>20</v>
      </c>
      <c r="DA15" s="39" t="s">
        <v>67</v>
      </c>
      <c r="DB15" s="4"/>
      <c r="DC15" s="4"/>
      <c r="DD15" s="36" t="s">
        <v>18</v>
      </c>
      <c r="DE15" s="36" t="s">
        <v>64</v>
      </c>
      <c r="DF15" s="37" t="s">
        <v>65</v>
      </c>
      <c r="DG15" s="43" t="s">
        <v>20</v>
      </c>
      <c r="DH15" s="39" t="s">
        <v>67</v>
      </c>
    </row>
    <row r="16" spans="1:112" x14ac:dyDescent="0.3">
      <c r="A16" s="3" t="s">
        <v>36</v>
      </c>
      <c r="B16" s="21" t="str">
        <f>'Var Vorgaben'!B94</f>
        <v>Ammonsalpeter</v>
      </c>
      <c r="C16" s="374">
        <f>'Var Vorgaben'!B100</f>
        <v>0</v>
      </c>
      <c r="D16" s="189">
        <f>'Var Vorgaben'!B99</f>
        <v>0</v>
      </c>
      <c r="E16" s="32">
        <f>'Var Vorgaben'!$B$95*(1+Eingabeseite!C33)</f>
        <v>0.9</v>
      </c>
      <c r="F16" s="45">
        <f>D16*E16</f>
        <v>0</v>
      </c>
      <c r="G16" s="44">
        <f>F16/$F$68</f>
        <v>0</v>
      </c>
      <c r="H16" s="3" t="s">
        <v>36</v>
      </c>
      <c r="I16" s="21" t="str">
        <f>'Var Vorgaben'!B94</f>
        <v>Ammonsalpeter</v>
      </c>
      <c r="J16" s="70">
        <f>'Var Vorgaben'!B102</f>
        <v>1</v>
      </c>
      <c r="K16" s="20">
        <f>'Var Vorgaben'!B101</f>
        <v>100</v>
      </c>
      <c r="L16" s="32">
        <f>'Var Vorgaben'!B95*(1+Eingabeseite!$C$32)</f>
        <v>0.9</v>
      </c>
      <c r="M16" s="33">
        <f>K16*L16</f>
        <v>90</v>
      </c>
      <c r="N16" s="44">
        <f>M16/$M$68</f>
        <v>7.8547251287224267E-3</v>
      </c>
      <c r="O16" s="3" t="s">
        <v>36</v>
      </c>
      <c r="P16" s="21" t="str">
        <f>'Var Vorgaben'!B94</f>
        <v>Ammonsalpeter</v>
      </c>
      <c r="Q16" s="156">
        <f>'Var Vorgaben'!B104</f>
        <v>1</v>
      </c>
      <c r="R16" s="20">
        <f>'Var Vorgaben'!B103</f>
        <v>200</v>
      </c>
      <c r="S16" s="32">
        <f>'Var Vorgaben'!B95*(1+Eingabeseite!$C$32)</f>
        <v>0.9</v>
      </c>
      <c r="T16" s="33">
        <f>R16*S16</f>
        <v>180</v>
      </c>
      <c r="U16" s="44">
        <f>T16/$T$68</f>
        <v>2.5083762001865805E-3</v>
      </c>
      <c r="V16" s="3" t="s">
        <v>36</v>
      </c>
      <c r="W16" s="21" t="str">
        <f>'Var Vorgaben'!B94</f>
        <v>Ammonsalpeter</v>
      </c>
      <c r="X16" s="70">
        <f>'Var Vorgaben'!B106</f>
        <v>1</v>
      </c>
      <c r="Y16" s="12">
        <f>'Var Vorgaben'!B105</f>
        <v>200</v>
      </c>
      <c r="Z16" s="32">
        <f>'Var Vorgaben'!$B$95*(1+Eingabeseite!$C$32)</f>
        <v>0.9</v>
      </c>
      <c r="AA16" s="33">
        <f>Y16*Z16</f>
        <v>180</v>
      </c>
      <c r="AB16" s="44">
        <f>AA16/$AA$68</f>
        <v>5.1972981662942895E-3</v>
      </c>
      <c r="AC16" s="3" t="s">
        <v>36</v>
      </c>
      <c r="AD16" s="21" t="str">
        <f>'Var Vorgaben'!B94</f>
        <v>Ammonsalpeter</v>
      </c>
      <c r="AE16" s="70">
        <f>'Var Vorgaben'!B106</f>
        <v>1</v>
      </c>
      <c r="AF16" s="12">
        <f>'Var Vorgaben'!B105</f>
        <v>200</v>
      </c>
      <c r="AG16" s="32">
        <f>'Var Vorgaben'!$B$95*(1+Eingabeseite!$C$32)</f>
        <v>0.9</v>
      </c>
      <c r="AH16" s="33">
        <f>AF16*AG16</f>
        <v>180</v>
      </c>
      <c r="AI16" s="44">
        <f>AH16/$AH$68</f>
        <v>3.2680291779316516E-3</v>
      </c>
      <c r="AJ16" s="3" t="s">
        <v>36</v>
      </c>
      <c r="AK16" s="21" t="str">
        <f>'Var Vorgaben'!B94</f>
        <v>Ammonsalpeter</v>
      </c>
      <c r="AL16" s="70">
        <f>'Var Vorgaben'!B106</f>
        <v>1</v>
      </c>
      <c r="AM16" s="12">
        <f>'Var Vorgaben'!B105</f>
        <v>200</v>
      </c>
      <c r="AN16" s="32">
        <f>'Var Vorgaben'!$B$95*(1+Eingabeseite!$C$32)</f>
        <v>0.9</v>
      </c>
      <c r="AO16" s="33">
        <f>AM16*AN16</f>
        <v>180</v>
      </c>
      <c r="AP16" s="44">
        <f>AO16/$AO$68</f>
        <v>2.8391362951910759E-3</v>
      </c>
      <c r="AQ16" s="3" t="s">
        <v>36</v>
      </c>
      <c r="AR16" s="21" t="str">
        <f>'Var Vorgaben'!B94</f>
        <v>Ammonsalpeter</v>
      </c>
      <c r="AS16" s="70">
        <f>'Var Vorgaben'!B106</f>
        <v>1</v>
      </c>
      <c r="AT16" s="12">
        <f>'Var Vorgaben'!B105</f>
        <v>200</v>
      </c>
      <c r="AU16" s="32">
        <f>'Var Vorgaben'!$B$95*(1+Eingabeseite!$C$32)</f>
        <v>0.9</v>
      </c>
      <c r="AV16" s="33">
        <f>AT16*AU16</f>
        <v>180</v>
      </c>
      <c r="AW16" s="44">
        <f>AV16/$AV$68</f>
        <v>2.5205669797252867E-3</v>
      </c>
      <c r="AX16" s="3" t="s">
        <v>36</v>
      </c>
      <c r="AY16" s="21" t="str">
        <f>'Var Vorgaben'!B94</f>
        <v>Ammonsalpeter</v>
      </c>
      <c r="AZ16" s="70">
        <f>'Var Vorgaben'!B106</f>
        <v>1</v>
      </c>
      <c r="BA16" s="12">
        <f>'Var Vorgaben'!B105</f>
        <v>200</v>
      </c>
      <c r="BB16" s="32">
        <f>'Var Vorgaben'!$B$95*(1+Eingabeseite!$C$32)</f>
        <v>0.9</v>
      </c>
      <c r="BC16" s="33">
        <f>BA16*BB16</f>
        <v>180</v>
      </c>
      <c r="BD16" s="44">
        <f>BC16/$BC$68</f>
        <v>2.5414880282243302E-3</v>
      </c>
      <c r="BE16" s="3" t="s">
        <v>36</v>
      </c>
      <c r="BF16" s="21" t="str">
        <f>'Var Vorgaben'!B94</f>
        <v>Ammonsalpeter</v>
      </c>
      <c r="BG16" s="70">
        <f>'Var Vorgaben'!B106</f>
        <v>1</v>
      </c>
      <c r="BH16" s="12">
        <f>'Var Vorgaben'!B105</f>
        <v>200</v>
      </c>
      <c r="BI16" s="32">
        <f>'Var Vorgaben'!$B$95*(1+Eingabeseite!$C$32)</f>
        <v>0.9</v>
      </c>
      <c r="BJ16" s="33">
        <f>BH16*BI16</f>
        <v>180</v>
      </c>
      <c r="BK16" s="44">
        <f>BJ16/$BJ$68</f>
        <v>2.5463108495992017E-3</v>
      </c>
      <c r="BL16" s="3" t="s">
        <v>36</v>
      </c>
      <c r="BM16" s="21" t="str">
        <f>'Var Vorgaben'!B94</f>
        <v>Ammonsalpeter</v>
      </c>
      <c r="BN16" s="70">
        <f>'Var Vorgaben'!B106</f>
        <v>1</v>
      </c>
      <c r="BO16" s="12">
        <f>'Var Vorgaben'!B105</f>
        <v>200</v>
      </c>
      <c r="BP16" s="32">
        <f>'Var Vorgaben'!$B$95*(1+Eingabeseite!$C$32)</f>
        <v>0.9</v>
      </c>
      <c r="BQ16" s="33">
        <f>BO16*BP16</f>
        <v>180</v>
      </c>
      <c r="BR16" s="44">
        <f>BQ16/$BQ$68</f>
        <v>1.5164247394668241E-3</v>
      </c>
      <c r="BS16" s="3" t="s">
        <v>36</v>
      </c>
      <c r="BT16" s="21" t="str">
        <f>'Var Vorgaben'!B94</f>
        <v>Ammonsalpeter</v>
      </c>
      <c r="BU16" s="70">
        <f>'Var Vorgaben'!B106</f>
        <v>1</v>
      </c>
      <c r="BV16" s="12">
        <f>'Var Vorgaben'!B105</f>
        <v>200</v>
      </c>
      <c r="BW16" s="32">
        <f>'Var Vorgaben'!$B$95*(1+Eingabeseite!$C$32)</f>
        <v>0.9</v>
      </c>
      <c r="BX16" s="33">
        <f>BV16*BW16</f>
        <v>180</v>
      </c>
      <c r="BY16" s="44">
        <f>BX16/$BX$68</f>
        <v>2.6597678282792182E-3</v>
      </c>
      <c r="BZ16" s="3" t="s">
        <v>36</v>
      </c>
      <c r="CA16" s="21" t="str">
        <f>'Var Vorgaben'!B94</f>
        <v>Ammonsalpeter</v>
      </c>
      <c r="CB16" s="70">
        <f>'Var Vorgaben'!B106</f>
        <v>1</v>
      </c>
      <c r="CC16" s="12">
        <f>'Var Vorgaben'!B105</f>
        <v>200</v>
      </c>
      <c r="CD16" s="32">
        <f>'Var Vorgaben'!$B$95*(1+Eingabeseite!$C$32)</f>
        <v>0.9</v>
      </c>
      <c r="CE16" s="33">
        <f>CC16*CD16</f>
        <v>180</v>
      </c>
      <c r="CF16" s="44">
        <f>CE16/$CE$68</f>
        <v>2.6640226333685627E-3</v>
      </c>
      <c r="CG16" s="3" t="s">
        <v>36</v>
      </c>
      <c r="CH16" s="21" t="str">
        <f>'Var Vorgaben'!B94</f>
        <v>Ammonsalpeter</v>
      </c>
      <c r="CI16" s="70">
        <f>'Var Vorgaben'!B106</f>
        <v>1</v>
      </c>
      <c r="CJ16" s="12">
        <f>'Var Vorgaben'!B105</f>
        <v>200</v>
      </c>
      <c r="CK16" s="32">
        <f>'Var Vorgaben'!$B$95*(1+Eingabeseite!$C$32)</f>
        <v>0.9</v>
      </c>
      <c r="CL16" s="33">
        <f>CJ16*CK16</f>
        <v>180</v>
      </c>
      <c r="CM16" s="44">
        <f>CL16/$CL$68</f>
        <v>2.6502962980499835E-3</v>
      </c>
      <c r="CN16" s="3" t="s">
        <v>36</v>
      </c>
      <c r="CO16" s="21" t="str">
        <f>'Var Vorgaben'!B94</f>
        <v>Ammonsalpeter</v>
      </c>
      <c r="CP16" s="70">
        <f>'Var Vorgaben'!B106</f>
        <v>1</v>
      </c>
      <c r="CQ16" s="12">
        <f>'Var Vorgaben'!B105</f>
        <v>200</v>
      </c>
      <c r="CR16" s="32">
        <f>'Var Vorgaben'!$B$95*(1+Eingabeseite!$C$32)</f>
        <v>0.9</v>
      </c>
      <c r="CS16" s="33">
        <f>CQ16*CR16</f>
        <v>180</v>
      </c>
      <c r="CT16" s="44">
        <f>CS16/$CS$68</f>
        <v>2.6725254406729593E-3</v>
      </c>
      <c r="CU16" s="3" t="s">
        <v>36</v>
      </c>
      <c r="CV16" s="21" t="str">
        <f>'Var Vorgaben'!B94</f>
        <v>Ammonsalpeter</v>
      </c>
      <c r="CW16" s="70">
        <f>'Var Vorgaben'!B106</f>
        <v>1</v>
      </c>
      <c r="CX16" s="12">
        <f>'Var Vorgaben'!B105</f>
        <v>200</v>
      </c>
      <c r="CY16" s="32">
        <f>'Var Vorgaben'!$B$95*(1+Eingabeseite!$C$32)</f>
        <v>0.9</v>
      </c>
      <c r="CZ16" s="33">
        <f>CX16*CY16</f>
        <v>180</v>
      </c>
      <c r="DA16" s="44">
        <f>CZ16/$CZ$68</f>
        <v>2.8096805493040659E-3</v>
      </c>
      <c r="DB16" s="3" t="s">
        <v>36</v>
      </c>
      <c r="DC16" s="21" t="str">
        <f>'Var Vorgaben'!B94</f>
        <v>Ammonsalpeter</v>
      </c>
      <c r="DD16" s="70">
        <f>'Var Vorgaben'!B106</f>
        <v>1</v>
      </c>
      <c r="DE16" s="12">
        <f>'Var Vorgaben'!B105</f>
        <v>200</v>
      </c>
      <c r="DF16" s="32">
        <f>'Var Vorgaben'!$B$95*(1+Eingabeseite!$C$32)</f>
        <v>0.9</v>
      </c>
      <c r="DG16" s="33">
        <f>DE16*DF16</f>
        <v>180</v>
      </c>
      <c r="DH16" s="44">
        <f>DG16/$DG$68</f>
        <v>2.6945609712766562E-3</v>
      </c>
    </row>
    <row r="17" spans="1:118" x14ac:dyDescent="0.3">
      <c r="B17" s="21" t="str">
        <f>'Var Vorgaben'!C94</f>
        <v>Gründdunger (Terbona)</v>
      </c>
      <c r="C17" s="934">
        <f>'Var Vorgaben'!C100</f>
        <v>0</v>
      </c>
      <c r="D17" s="189">
        <f>'Var Vorgaben'!C99</f>
        <v>0</v>
      </c>
      <c r="E17" s="32">
        <f>'Var Vorgaben'!$C$95*(1+Eingabeseite!C33)</f>
        <v>1.05</v>
      </c>
      <c r="F17" s="61">
        <f>D17*E17</f>
        <v>0</v>
      </c>
      <c r="G17" s="44">
        <f>F17/$F$68</f>
        <v>0</v>
      </c>
      <c r="H17" s="3"/>
      <c r="I17" s="21" t="str">
        <f>'Var Vorgaben'!C94</f>
        <v>Gründdunger (Terbona)</v>
      </c>
      <c r="J17" s="156">
        <f>'Var Vorgaben'!C102</f>
        <v>0</v>
      </c>
      <c r="K17" s="153">
        <f>'Var Vorgaben'!C101</f>
        <v>0</v>
      </c>
      <c r="L17" s="154">
        <f>'Var Vorgaben'!C95*(1+Eingabeseite!$C$32)</f>
        <v>1.05</v>
      </c>
      <c r="M17" s="40">
        <f>K17*L17</f>
        <v>0</v>
      </c>
      <c r="N17" s="44">
        <f>M17/$M$68</f>
        <v>0</v>
      </c>
      <c r="O17" s="3"/>
      <c r="P17" s="21" t="str">
        <f>'Var Vorgaben'!C94</f>
        <v>Gründdunger (Terbona)</v>
      </c>
      <c r="Q17" s="156">
        <f>'Var Vorgaben'!C104</f>
        <v>1</v>
      </c>
      <c r="R17" s="153">
        <f>'Var Vorgaben'!C103</f>
        <v>200</v>
      </c>
      <c r="S17" s="32">
        <f>'Var Vorgaben'!C95*(1+Eingabeseite!$C$32)</f>
        <v>1.05</v>
      </c>
      <c r="T17" s="40">
        <f>R17*S17</f>
        <v>210</v>
      </c>
      <c r="U17" s="44">
        <f>T17/$T$68</f>
        <v>2.9264389002176773E-3</v>
      </c>
      <c r="V17" s="3"/>
      <c r="W17" s="21" t="str">
        <f>'Var Vorgaben'!C94</f>
        <v>Gründdunger (Terbona)</v>
      </c>
      <c r="X17" s="156">
        <f>'Var Vorgaben'!C106</f>
        <v>1</v>
      </c>
      <c r="Y17" s="13">
        <f>'Var Vorgaben'!C105</f>
        <v>250</v>
      </c>
      <c r="Z17" s="154">
        <f>'Var Vorgaben'!$C$95*(1+Eingabeseite!$C$32)</f>
        <v>1.05</v>
      </c>
      <c r="AA17" s="40">
        <f>Y17*Z17</f>
        <v>262.5</v>
      </c>
      <c r="AB17" s="44">
        <f>AA17/$AA$68</f>
        <v>7.5793931591791718E-3</v>
      </c>
      <c r="AC17" s="3"/>
      <c r="AD17" s="21" t="str">
        <f>'Var Vorgaben'!C94</f>
        <v>Gründdunger (Terbona)</v>
      </c>
      <c r="AE17" s="156">
        <f>'Var Vorgaben'!C106</f>
        <v>1</v>
      </c>
      <c r="AF17" s="12">
        <f>'Var Vorgaben'!C105</f>
        <v>250</v>
      </c>
      <c r="AG17" s="32">
        <f>'Var Vorgaben'!$C$95*(1+Eingabeseite!$C$32)</f>
        <v>1.05</v>
      </c>
      <c r="AH17" s="40">
        <f>AF17*AG17</f>
        <v>262.5</v>
      </c>
      <c r="AI17" s="44">
        <f>AH17/$AH$68</f>
        <v>4.7658758844836592E-3</v>
      </c>
      <c r="AJ17" s="3"/>
      <c r="AK17" s="21" t="str">
        <f>'Var Vorgaben'!C94</f>
        <v>Gründdunger (Terbona)</v>
      </c>
      <c r="AL17" s="156">
        <f>'Var Vorgaben'!C106</f>
        <v>1</v>
      </c>
      <c r="AM17" s="12">
        <f>'Var Vorgaben'!C105</f>
        <v>250</v>
      </c>
      <c r="AN17" s="32">
        <f>'Var Vorgaben'!$C$95*(1+Eingabeseite!$C$32)</f>
        <v>1.05</v>
      </c>
      <c r="AO17" s="40">
        <f>AM17*AN17</f>
        <v>262.5</v>
      </c>
      <c r="AP17" s="44">
        <f>AO17/$AO$68</f>
        <v>4.1404070971536519E-3</v>
      </c>
      <c r="AQ17" s="3"/>
      <c r="AR17" s="21" t="str">
        <f>'Var Vorgaben'!C94</f>
        <v>Gründdunger (Terbona)</v>
      </c>
      <c r="AS17" s="156">
        <f>'Var Vorgaben'!C106</f>
        <v>1</v>
      </c>
      <c r="AT17" s="13">
        <f>'Var Vorgaben'!C105</f>
        <v>250</v>
      </c>
      <c r="AU17" s="154">
        <f>'Var Vorgaben'!$C$95*(1+Eingabeseite!$C$32)</f>
        <v>1.05</v>
      </c>
      <c r="AV17" s="40">
        <f>AT17*AU17</f>
        <v>262.5</v>
      </c>
      <c r="AW17" s="44">
        <f>AV17/$AV$68</f>
        <v>3.67582684543271E-3</v>
      </c>
      <c r="AX17" s="3"/>
      <c r="AY17" s="21" t="str">
        <f>'Var Vorgaben'!C94</f>
        <v>Gründdunger (Terbona)</v>
      </c>
      <c r="AZ17" s="156">
        <f>'Var Vorgaben'!C106</f>
        <v>1</v>
      </c>
      <c r="BA17" s="12">
        <f>'Var Vorgaben'!C105</f>
        <v>250</v>
      </c>
      <c r="BB17" s="32">
        <f>'Var Vorgaben'!$C$95*(1+Eingabeseite!$C$32)</f>
        <v>1.05</v>
      </c>
      <c r="BC17" s="40">
        <f>BA17*BB17</f>
        <v>262.5</v>
      </c>
      <c r="BD17" s="44">
        <f>BC17/$BC$68</f>
        <v>3.7063367078271478E-3</v>
      </c>
      <c r="BE17" s="3"/>
      <c r="BF17" s="21" t="str">
        <f>'Var Vorgaben'!C94</f>
        <v>Gründdunger (Terbona)</v>
      </c>
      <c r="BG17" s="156">
        <f>'Var Vorgaben'!C106</f>
        <v>1</v>
      </c>
      <c r="BH17" s="12">
        <f>'Var Vorgaben'!C105</f>
        <v>250</v>
      </c>
      <c r="BI17" s="32">
        <f>'Var Vorgaben'!$C$95*(1+Eingabeseite!$C$32)</f>
        <v>1.05</v>
      </c>
      <c r="BJ17" s="40">
        <f>BH17*BI17</f>
        <v>262.5</v>
      </c>
      <c r="BK17" s="44">
        <f>BJ17/$BJ$68</f>
        <v>3.7133699889988357E-3</v>
      </c>
      <c r="BL17" s="3"/>
      <c r="BM17" s="21" t="str">
        <f>'Var Vorgaben'!C94</f>
        <v>Gründdunger (Terbona)</v>
      </c>
      <c r="BN17" s="156">
        <f>'Var Vorgaben'!C106</f>
        <v>1</v>
      </c>
      <c r="BO17" s="12">
        <f>'Var Vorgaben'!C105</f>
        <v>250</v>
      </c>
      <c r="BP17" s="32">
        <f>'Var Vorgaben'!$C$95*(1+Eingabeseite!$C$32)</f>
        <v>1.05</v>
      </c>
      <c r="BQ17" s="40">
        <f>BO17*BP17</f>
        <v>262.5</v>
      </c>
      <c r="BR17" s="44">
        <f>BQ17/$BQ$68</f>
        <v>2.2114527450557853E-3</v>
      </c>
      <c r="BS17" s="3"/>
      <c r="BT17" s="21" t="str">
        <f>'Var Vorgaben'!C94</f>
        <v>Gründdunger (Terbona)</v>
      </c>
      <c r="BU17" s="156">
        <f>'Var Vorgaben'!C106</f>
        <v>1</v>
      </c>
      <c r="BV17" s="12">
        <f>'Var Vorgaben'!C105</f>
        <v>250</v>
      </c>
      <c r="BW17" s="32">
        <f>'Var Vorgaben'!$C$95*(1+Eingabeseite!$C$32)</f>
        <v>1.05</v>
      </c>
      <c r="BX17" s="40">
        <f>BV17*BW17</f>
        <v>262.5</v>
      </c>
      <c r="BY17" s="44">
        <f>BX17/$BX$68</f>
        <v>3.8788280829071932E-3</v>
      </c>
      <c r="BZ17" s="3"/>
      <c r="CA17" s="21" t="str">
        <f>'Var Vorgaben'!C94</f>
        <v>Gründdunger (Terbona)</v>
      </c>
      <c r="CB17" s="156">
        <f>'Var Vorgaben'!C106</f>
        <v>1</v>
      </c>
      <c r="CC17" s="12">
        <f>'Var Vorgaben'!C105</f>
        <v>250</v>
      </c>
      <c r="CD17" s="32">
        <f>'Var Vorgaben'!$C$95*(1+Eingabeseite!$C$32)</f>
        <v>1.05</v>
      </c>
      <c r="CE17" s="40">
        <f>CC17*CD17</f>
        <v>262.5</v>
      </c>
      <c r="CF17" s="44">
        <f>CE17/$CE$68</f>
        <v>3.885033006995821E-3</v>
      </c>
      <c r="CG17" s="3"/>
      <c r="CH17" s="21" t="str">
        <f>'Var Vorgaben'!C94</f>
        <v>Gründdunger (Terbona)</v>
      </c>
      <c r="CI17" s="156">
        <f>'Var Vorgaben'!C106</f>
        <v>1</v>
      </c>
      <c r="CJ17" s="12">
        <f>'Var Vorgaben'!C105</f>
        <v>250</v>
      </c>
      <c r="CK17" s="32">
        <f>'Var Vorgaben'!$C$95*(1+Eingabeseite!$C$32)</f>
        <v>1.05</v>
      </c>
      <c r="CL17" s="40">
        <f>CJ17*CK17</f>
        <v>262.5</v>
      </c>
      <c r="CM17" s="44">
        <f>CL17/$CL$68</f>
        <v>3.8650154346562258E-3</v>
      </c>
      <c r="CN17" s="3"/>
      <c r="CO17" s="21" t="str">
        <f>'Var Vorgaben'!C94</f>
        <v>Gründdunger (Terbona)</v>
      </c>
      <c r="CP17" s="156">
        <f>'Var Vorgaben'!C106</f>
        <v>1</v>
      </c>
      <c r="CQ17" s="12">
        <f>'Var Vorgaben'!C105</f>
        <v>250</v>
      </c>
      <c r="CR17" s="32">
        <f>'Var Vorgaben'!$C$95*(1+Eingabeseite!$C$32)</f>
        <v>1.05</v>
      </c>
      <c r="CS17" s="40">
        <f>CQ17*CR17</f>
        <v>262.5</v>
      </c>
      <c r="CT17" s="44">
        <f>CS17/$CS$68</f>
        <v>3.8974329343147321E-3</v>
      </c>
      <c r="CU17" s="3"/>
      <c r="CV17" s="21" t="str">
        <f>'Var Vorgaben'!C94</f>
        <v>Gründdunger (Terbona)</v>
      </c>
      <c r="CW17" s="156">
        <f>'Var Vorgaben'!C106</f>
        <v>1</v>
      </c>
      <c r="CX17" s="12">
        <f>'Var Vorgaben'!C105</f>
        <v>250</v>
      </c>
      <c r="CY17" s="32">
        <f>'Var Vorgaben'!$C$95*(1+Eingabeseite!$C$32)</f>
        <v>1.05</v>
      </c>
      <c r="CZ17" s="40">
        <f>CX17*CY17</f>
        <v>262.5</v>
      </c>
      <c r="DA17" s="44">
        <f>CZ17/$CZ$68</f>
        <v>4.0974508010684293E-3</v>
      </c>
      <c r="DB17" s="3"/>
      <c r="DC17" s="21" t="str">
        <f>'Var Vorgaben'!C94</f>
        <v>Gründdunger (Terbona)</v>
      </c>
      <c r="DD17" s="156">
        <f>'Var Vorgaben'!C106</f>
        <v>1</v>
      </c>
      <c r="DE17" s="12">
        <f>'Var Vorgaben'!C105</f>
        <v>250</v>
      </c>
      <c r="DF17" s="32">
        <f>'Var Vorgaben'!$C$95*(1+Eingabeseite!$C$32)</f>
        <v>1.05</v>
      </c>
      <c r="DG17" s="40">
        <f>DE17*DF17</f>
        <v>262.5</v>
      </c>
      <c r="DH17" s="44">
        <f>DG17/$DG$68</f>
        <v>3.9295680831117905E-3</v>
      </c>
    </row>
    <row r="18" spans="1:118" ht="13.5" thickBot="1" x14ac:dyDescent="0.35">
      <c r="C18" s="934"/>
      <c r="D18" s="189"/>
      <c r="F18" s="208"/>
      <c r="G18" s="44"/>
      <c r="H18" s="3"/>
      <c r="I18" s="21"/>
      <c r="J18" s="156"/>
      <c r="K18" s="153"/>
      <c r="L18" s="154"/>
      <c r="M18" s="208"/>
      <c r="N18" s="44"/>
      <c r="O18" s="3"/>
      <c r="P18" s="21"/>
      <c r="Q18" s="156"/>
      <c r="R18" s="153"/>
      <c r="S18" s="154"/>
      <c r="T18" s="40"/>
      <c r="U18" s="44"/>
      <c r="V18" s="3"/>
      <c r="W18" s="937" t="str">
        <f>'Var Vorgaben'!$D$94</f>
        <v>Kompost</v>
      </c>
      <c r="X18" s="531">
        <f>'Var Vorgaben'!$D$98</f>
        <v>1</v>
      </c>
      <c r="Y18" s="153">
        <f>'Var Vorgaben'!$D$105</f>
        <v>20000</v>
      </c>
      <c r="Z18" s="154">
        <f>'Var Vorgaben'!$D$95</f>
        <v>0.02</v>
      </c>
      <c r="AA18" s="41">
        <f>Y18*Z18</f>
        <v>400</v>
      </c>
      <c r="AB18" s="44"/>
      <c r="AC18" s="3"/>
      <c r="AD18" s="937" t="str">
        <f>'Var Vorgaben'!$D$94</f>
        <v>Kompost</v>
      </c>
      <c r="AE18" s="531">
        <v>0</v>
      </c>
      <c r="AF18" s="153">
        <f>'Var Vorgaben'!$D$105</f>
        <v>20000</v>
      </c>
      <c r="AG18" s="154"/>
      <c r="AH18" s="41">
        <f>AF18*AG18</f>
        <v>0</v>
      </c>
      <c r="AI18" s="44"/>
      <c r="AJ18" s="3"/>
      <c r="AK18" s="937" t="str">
        <f>'Var Vorgaben'!$D$94</f>
        <v>Kompost</v>
      </c>
      <c r="AL18" s="531"/>
      <c r="AM18" s="153">
        <f>'Var Vorgaben'!$D$105</f>
        <v>20000</v>
      </c>
      <c r="AN18" s="154"/>
      <c r="AO18" s="41">
        <f>AM18*AN18</f>
        <v>0</v>
      </c>
      <c r="AP18" s="44"/>
      <c r="AQ18" s="3"/>
      <c r="AR18" s="937" t="str">
        <f>'Var Vorgaben'!$D$94</f>
        <v>Kompost</v>
      </c>
      <c r="AS18" s="531">
        <f>'Var Vorgaben'!$D$98</f>
        <v>1</v>
      </c>
      <c r="AT18" s="153">
        <f>'Var Vorgaben'!$D$105</f>
        <v>20000</v>
      </c>
      <c r="AU18" s="154">
        <f>'Var Vorgaben'!$D$95</f>
        <v>0.02</v>
      </c>
      <c r="AV18" s="41">
        <f>AT18*AU18</f>
        <v>400</v>
      </c>
      <c r="AW18" s="44"/>
      <c r="AX18" s="3"/>
      <c r="AY18" s="937" t="str">
        <f>'Var Vorgaben'!$D$94</f>
        <v>Kompost</v>
      </c>
      <c r="AZ18" s="531">
        <f>'Var Vorgaben'!$D$98</f>
        <v>1</v>
      </c>
      <c r="BA18" s="153">
        <f>'Var Vorgaben'!$D$105</f>
        <v>20000</v>
      </c>
      <c r="BB18" s="154"/>
      <c r="BC18" s="41">
        <f>BA18*BB18</f>
        <v>0</v>
      </c>
      <c r="BD18" s="44"/>
      <c r="BE18" s="3"/>
      <c r="BF18" s="937" t="str">
        <f>'Var Vorgaben'!$D$94</f>
        <v>Kompost</v>
      </c>
      <c r="BG18" s="531">
        <f>'Var Vorgaben'!$D$98</f>
        <v>1</v>
      </c>
      <c r="BH18" s="153">
        <f>'Var Vorgaben'!$D$105</f>
        <v>20000</v>
      </c>
      <c r="BI18" s="154"/>
      <c r="BJ18" s="41">
        <f>BH18*BI18</f>
        <v>0</v>
      </c>
      <c r="BK18" s="44"/>
      <c r="BL18" s="3"/>
      <c r="BM18" s="937" t="str">
        <f>'Var Vorgaben'!$D$94</f>
        <v>Kompost</v>
      </c>
      <c r="BN18" s="531">
        <f>'Var Vorgaben'!$D$98</f>
        <v>1</v>
      </c>
      <c r="BO18" s="153">
        <f>'Var Vorgaben'!$D$105</f>
        <v>20000</v>
      </c>
      <c r="BP18" s="154">
        <f>'Var Vorgaben'!$D$95</f>
        <v>0.02</v>
      </c>
      <c r="BQ18" s="41">
        <f>BO18*BP18</f>
        <v>400</v>
      </c>
      <c r="BR18" s="44"/>
      <c r="BS18" s="3"/>
      <c r="BT18" s="937" t="str">
        <f>'Var Vorgaben'!$D$94</f>
        <v>Kompost</v>
      </c>
      <c r="BU18" s="531">
        <f>'Var Vorgaben'!$D$98</f>
        <v>1</v>
      </c>
      <c r="BV18" s="153">
        <f>'Var Vorgaben'!$D$105</f>
        <v>20000</v>
      </c>
      <c r="BW18" s="154"/>
      <c r="BX18" s="41">
        <f>BV18*BW18</f>
        <v>0</v>
      </c>
      <c r="BY18" s="44"/>
      <c r="BZ18" s="3"/>
      <c r="CA18" s="937" t="str">
        <f>'Var Vorgaben'!$D$94</f>
        <v>Kompost</v>
      </c>
      <c r="CB18" s="531">
        <f>'Var Vorgaben'!$D$98</f>
        <v>1</v>
      </c>
      <c r="CC18" s="153">
        <f>'Var Vorgaben'!$D$105</f>
        <v>20000</v>
      </c>
      <c r="CD18" s="154"/>
      <c r="CE18" s="41">
        <f>CC18*CD18</f>
        <v>0</v>
      </c>
      <c r="CF18" s="44"/>
      <c r="CG18" s="3"/>
      <c r="CH18" s="937" t="str">
        <f>'Var Vorgaben'!$D$94</f>
        <v>Kompost</v>
      </c>
      <c r="CI18" s="531">
        <f>'Var Vorgaben'!$D$98</f>
        <v>1</v>
      </c>
      <c r="CJ18" s="153">
        <f>'Var Vorgaben'!$D$105</f>
        <v>20000</v>
      </c>
      <c r="CK18" s="154">
        <f>'Var Vorgaben'!$D$95</f>
        <v>0.02</v>
      </c>
      <c r="CL18" s="41">
        <f>CJ18*CK18</f>
        <v>400</v>
      </c>
      <c r="CM18" s="44"/>
      <c r="CN18" s="3"/>
      <c r="CO18" s="937" t="str">
        <f>'Var Vorgaben'!$D$94</f>
        <v>Kompost</v>
      </c>
      <c r="CP18" s="531">
        <f>'Var Vorgaben'!$D$98</f>
        <v>1</v>
      </c>
      <c r="CQ18" s="153">
        <f>'Var Vorgaben'!$D$105</f>
        <v>20000</v>
      </c>
      <c r="CR18" s="154"/>
      <c r="CS18" s="41">
        <f>CQ18*CR18</f>
        <v>0</v>
      </c>
      <c r="CT18" s="44"/>
      <c r="CU18" s="3"/>
      <c r="CV18" s="937" t="str">
        <f>'Var Vorgaben'!$D$94</f>
        <v>Kompost</v>
      </c>
      <c r="CW18" s="531">
        <f>'Var Vorgaben'!$D$98</f>
        <v>1</v>
      </c>
      <c r="CX18" s="153">
        <f>'Var Vorgaben'!$D$105</f>
        <v>20000</v>
      </c>
      <c r="CY18" s="154"/>
      <c r="CZ18" s="41">
        <f>CX18*CY18</f>
        <v>0</v>
      </c>
      <c r="DA18" s="44"/>
      <c r="DB18" s="3"/>
      <c r="DC18" s="937" t="str">
        <f>'Var Vorgaben'!$D$94</f>
        <v>Kompost</v>
      </c>
      <c r="DD18" s="531">
        <f>'Var Vorgaben'!$D$98</f>
        <v>1</v>
      </c>
      <c r="DE18" s="153">
        <f>'Var Vorgaben'!$D$105</f>
        <v>20000</v>
      </c>
      <c r="DF18" s="154">
        <f>'Var Vorgaben'!$D$95</f>
        <v>0.02</v>
      </c>
      <c r="DG18" s="41"/>
      <c r="DH18" s="44"/>
    </row>
    <row r="19" spans="1:118" x14ac:dyDescent="0.3">
      <c r="C19" s="229">
        <f>SUM(C16:C17)</f>
        <v>0</v>
      </c>
      <c r="D19" s="47"/>
      <c r="E19" s="63"/>
      <c r="F19" s="82">
        <f>SUM(F16:F17)</f>
        <v>0</v>
      </c>
      <c r="G19" s="668">
        <f>F19/$F$68</f>
        <v>0</v>
      </c>
      <c r="H19" s="3"/>
      <c r="I19" s="21"/>
      <c r="J19" s="12">
        <f>SUM(J16:J17)</f>
        <v>1</v>
      </c>
      <c r="K19" s="12"/>
      <c r="L19" s="32"/>
      <c r="M19" s="35">
        <f>SUM(M16:M17)</f>
        <v>90</v>
      </c>
      <c r="N19" s="668">
        <f>M19/$M$68</f>
        <v>7.8547251287224267E-3</v>
      </c>
      <c r="O19" s="3"/>
      <c r="P19" s="21"/>
      <c r="Q19" s="12">
        <f>SUM(Q16:Q17)</f>
        <v>2</v>
      </c>
      <c r="R19" s="12"/>
      <c r="S19" s="32"/>
      <c r="T19" s="35">
        <f>SUM(T16:T18)</f>
        <v>390</v>
      </c>
      <c r="U19" s="668">
        <f>T19/$T$68</f>
        <v>5.4348151004042578E-3</v>
      </c>
      <c r="V19" s="3"/>
      <c r="W19" s="21"/>
      <c r="X19" s="12">
        <f>SUM(X16:X18)</f>
        <v>3</v>
      </c>
      <c r="Y19" s="12"/>
      <c r="Z19" s="32"/>
      <c r="AA19" s="35">
        <f>SUM(AA16:AA18)</f>
        <v>842.5</v>
      </c>
      <c r="AB19" s="668">
        <f>AA19/$AA$68</f>
        <v>2.4326242806127437E-2</v>
      </c>
      <c r="AC19" s="3"/>
      <c r="AD19" s="21"/>
      <c r="AE19" s="12">
        <f>SUM(AE16:AE18)</f>
        <v>2</v>
      </c>
      <c r="AF19" s="12"/>
      <c r="AG19" s="32"/>
      <c r="AH19" s="35">
        <f>SUM(AH16:AH18)</f>
        <v>442.5</v>
      </c>
      <c r="AI19" s="668">
        <f>AH19/$AH$68</f>
        <v>8.0339050624153099E-3</v>
      </c>
      <c r="AJ19" s="3"/>
      <c r="AK19" s="21"/>
      <c r="AL19" s="12">
        <f>SUM(AL16:AL18)</f>
        <v>2</v>
      </c>
      <c r="AM19" s="12"/>
      <c r="AN19" s="32"/>
      <c r="AO19" s="35">
        <f>SUM(AO16:AO18)</f>
        <v>442.5</v>
      </c>
      <c r="AP19" s="668">
        <f>AO19/$AO$68</f>
        <v>6.9795433923447283E-3</v>
      </c>
      <c r="AQ19" s="3"/>
      <c r="AR19" s="21"/>
      <c r="AS19" s="12">
        <f>SUM(AS16:AS18)</f>
        <v>3</v>
      </c>
      <c r="AT19" s="12"/>
      <c r="AU19" s="32"/>
      <c r="AV19" s="35">
        <f>SUM(AV16:AV18)</f>
        <v>842.5</v>
      </c>
      <c r="AW19" s="668">
        <f>AV19/$AV$68</f>
        <v>1.1797653780103079E-2</v>
      </c>
      <c r="AX19" s="3"/>
      <c r="AY19" s="21"/>
      <c r="AZ19" s="12">
        <f>SUM(AZ16:AZ17)</f>
        <v>2</v>
      </c>
      <c r="BA19" s="12"/>
      <c r="BB19" s="32"/>
      <c r="BC19" s="35">
        <f>SUM(BC16:BC18)</f>
        <v>442.5</v>
      </c>
      <c r="BD19" s="668">
        <f>BC19/$BC$68</f>
        <v>6.2478247360514775E-3</v>
      </c>
      <c r="BE19" s="3"/>
      <c r="BF19" s="21"/>
      <c r="BG19" s="12">
        <f>SUM(BG16:BG17)</f>
        <v>2</v>
      </c>
      <c r="BH19" s="12"/>
      <c r="BI19" s="32"/>
      <c r="BJ19" s="35">
        <f>SUM(BJ16:BJ18)</f>
        <v>442.5</v>
      </c>
      <c r="BK19" s="668">
        <f>BJ19/$BJ$68</f>
        <v>6.2596808385980375E-3</v>
      </c>
      <c r="BL19" s="3"/>
      <c r="BM19" s="21"/>
      <c r="BN19" s="12">
        <f>SUM(BN16:BN18)</f>
        <v>3</v>
      </c>
      <c r="BO19" s="12"/>
      <c r="BP19" s="32"/>
      <c r="BQ19" s="35">
        <f>SUM(BQ16:BQ18)</f>
        <v>842.5</v>
      </c>
      <c r="BR19" s="668">
        <f>BQ19/$BQ$68</f>
        <v>7.0977102388933297E-3</v>
      </c>
      <c r="BS19" s="3"/>
      <c r="BT19" s="21"/>
      <c r="BU19" s="12">
        <f>SUM(BU16:BU17)</f>
        <v>2</v>
      </c>
      <c r="BV19" s="12"/>
      <c r="BW19" s="32"/>
      <c r="BX19" s="35">
        <f>SUM(BX16:BX18)</f>
        <v>442.5</v>
      </c>
      <c r="BY19" s="668">
        <f>BX19/$BX$68</f>
        <v>6.5385959111864114E-3</v>
      </c>
      <c r="BZ19" s="3"/>
      <c r="CA19" s="21"/>
      <c r="CB19" s="12">
        <f>SUM(CB16:CB17)</f>
        <v>2</v>
      </c>
      <c r="CC19" s="12"/>
      <c r="CD19" s="32"/>
      <c r="CE19" s="35">
        <f>SUM(CE16:CE18)</f>
        <v>442.5</v>
      </c>
      <c r="CF19" s="668">
        <f>CE19/$CE$68</f>
        <v>6.5490556403643837E-3</v>
      </c>
      <c r="CG19" s="3"/>
      <c r="CH19" s="21"/>
      <c r="CI19" s="12">
        <f>SUM(CI16:CI18)</f>
        <v>3</v>
      </c>
      <c r="CJ19" s="12"/>
      <c r="CK19" s="32"/>
      <c r="CL19" s="35">
        <f>SUM(CL16:CL18)</f>
        <v>842.5</v>
      </c>
      <c r="CM19" s="668">
        <f>CL19/$CL$68</f>
        <v>1.2404859061706172E-2</v>
      </c>
      <c r="CN19" s="3"/>
      <c r="CO19" s="21"/>
      <c r="CP19" s="12">
        <f>SUM(CP16:CP17)</f>
        <v>2</v>
      </c>
      <c r="CQ19" s="12"/>
      <c r="CR19" s="32"/>
      <c r="CS19" s="35">
        <f>SUM(CS16:CS18)</f>
        <v>442.5</v>
      </c>
      <c r="CT19" s="668">
        <f>CS19/$CS$68</f>
        <v>6.5699583749876909E-3</v>
      </c>
      <c r="CU19" s="3"/>
      <c r="CV19" s="21"/>
      <c r="CW19" s="12">
        <f>SUM(CW16:CW17)</f>
        <v>2</v>
      </c>
      <c r="CX19" s="12"/>
      <c r="CY19" s="32"/>
      <c r="CZ19" s="35">
        <f>SUM(CZ16:CZ18)</f>
        <v>442.5</v>
      </c>
      <c r="DA19" s="668">
        <f>CZ19/$CZ$68</f>
        <v>6.9071313503724953E-3</v>
      </c>
      <c r="DB19" s="3"/>
      <c r="DC19" s="21"/>
      <c r="DD19" s="12">
        <f>SUM(DD16:DD17)</f>
        <v>2</v>
      </c>
      <c r="DE19" s="12"/>
      <c r="DF19" s="32"/>
      <c r="DG19" s="35">
        <f>SUM(DG16:DG18)</f>
        <v>442.5</v>
      </c>
      <c r="DH19" s="668">
        <f>DG19/$DG$68</f>
        <v>6.6241290543884463E-3</v>
      </c>
    </row>
    <row r="20" spans="1:118" ht="12.5" x14ac:dyDescent="0.25">
      <c r="A20" s="21"/>
      <c r="B20"/>
      <c r="E20" s="33"/>
      <c r="G20" s="44"/>
      <c r="N20" s="44"/>
      <c r="O20" s="149"/>
      <c r="Q20" s="12"/>
      <c r="R20" s="12"/>
      <c r="S20" s="33"/>
      <c r="T20" s="33"/>
      <c r="U20" s="44"/>
      <c r="V20" s="149"/>
      <c r="X20" s="12"/>
      <c r="Y20" s="12"/>
      <c r="Z20" s="33"/>
      <c r="AA20" s="33"/>
      <c r="AB20" s="44"/>
      <c r="AC20" s="149"/>
      <c r="AE20" s="12"/>
      <c r="AF20" s="12"/>
      <c r="AG20" s="33"/>
      <c r="AH20" s="33"/>
      <c r="AI20" s="44"/>
      <c r="AJ20" s="149"/>
      <c r="AL20" s="12"/>
      <c r="AM20" s="12"/>
      <c r="AN20" s="33"/>
      <c r="AO20" s="33"/>
      <c r="AP20" s="44"/>
      <c r="AQ20" s="149"/>
      <c r="AS20" s="12"/>
      <c r="AT20" s="12"/>
      <c r="AU20" s="33"/>
      <c r="AV20" s="33"/>
      <c r="AW20" s="44"/>
      <c r="AX20" s="149"/>
      <c r="AZ20" s="12"/>
      <c r="BA20" s="12"/>
      <c r="BB20" s="33"/>
      <c r="BC20" s="33"/>
      <c r="BD20" s="44"/>
      <c r="BE20" s="149"/>
      <c r="BG20" s="12"/>
      <c r="BH20" s="12"/>
      <c r="BI20" s="33"/>
      <c r="BJ20" s="33"/>
      <c r="BK20" s="44"/>
      <c r="BL20" s="149"/>
      <c r="BN20" s="12"/>
      <c r="BO20" s="12"/>
      <c r="BP20" s="33"/>
      <c r="BQ20" s="33"/>
      <c r="BR20" s="44"/>
      <c r="BS20" s="149"/>
      <c r="BU20" s="12"/>
      <c r="BV20" s="12"/>
      <c r="BW20" s="33"/>
      <c r="BX20" s="33"/>
      <c r="BY20" s="44"/>
      <c r="BZ20" s="149"/>
      <c r="CB20" s="12"/>
      <c r="CC20" s="12"/>
      <c r="CD20" s="33"/>
      <c r="CE20" s="33"/>
      <c r="CF20" s="44"/>
      <c r="CG20" s="149"/>
      <c r="CI20" s="12"/>
      <c r="CJ20" s="12"/>
      <c r="CK20" s="33"/>
      <c r="CL20" s="33"/>
      <c r="CM20" s="44"/>
      <c r="CN20" s="149"/>
      <c r="CP20" s="12"/>
      <c r="CQ20" s="12"/>
      <c r="CR20" s="33"/>
      <c r="CS20" s="33"/>
      <c r="CT20" s="44"/>
      <c r="CU20" s="149"/>
      <c r="CW20" s="12"/>
      <c r="CX20" s="12"/>
      <c r="CY20" s="33"/>
      <c r="CZ20" s="33"/>
      <c r="DA20" s="44"/>
      <c r="DB20" s="149"/>
      <c r="DD20" s="12"/>
      <c r="DE20" s="12"/>
      <c r="DF20" s="33"/>
      <c r="DG20" s="33"/>
      <c r="DH20" s="44"/>
    </row>
    <row r="21" spans="1:118" ht="12.5" x14ac:dyDescent="0.25">
      <c r="A21" s="21" t="str">
        <f>'Var Vorgaben'!$A$111</f>
        <v>Fungzide</v>
      </c>
      <c r="B21"/>
      <c r="E21" s="33"/>
      <c r="F21" s="33">
        <f>'Var Vorgaben'!B111*(1+Eingabeseite!$C$30)</f>
        <v>350</v>
      </c>
      <c r="G21" s="44"/>
      <c r="H21" s="21" t="str">
        <f>'Var Vorgaben'!$A$111</f>
        <v>Fungzide</v>
      </c>
      <c r="M21" s="33">
        <f>'Var Vorgaben'!C111*(1+Eingabeseite!$C$30)</f>
        <v>400</v>
      </c>
      <c r="N21" s="44"/>
      <c r="O21" s="21" t="str">
        <f>'Var Vorgaben'!$A$111</f>
        <v>Fungzide</v>
      </c>
      <c r="P21" s="12"/>
      <c r="R21"/>
      <c r="T21" s="33">
        <f>'Var Vorgaben'!$D$111*(1+Eingabeseite!$C$30)</f>
        <v>900</v>
      </c>
      <c r="U21" s="44"/>
      <c r="V21" s="21" t="str">
        <f>'Var Vorgaben'!$A$111</f>
        <v>Fungzide</v>
      </c>
      <c r="W21" s="12"/>
      <c r="AA21" s="33">
        <f>'Var Vorgaben'!$D$111*(1+Eingabeseite!$C$30)</f>
        <v>900</v>
      </c>
      <c r="AB21" s="44"/>
      <c r="AC21" s="21" t="str">
        <f>'Var Vorgaben'!$A$111</f>
        <v>Fungzide</v>
      </c>
      <c r="AD21" s="12"/>
      <c r="AH21" s="33">
        <f>'Var Vorgaben'!$D$111*(1+Eingabeseite!$C$30)</f>
        <v>900</v>
      </c>
      <c r="AI21" s="44"/>
      <c r="AJ21" s="21" t="str">
        <f>'Var Vorgaben'!$A$111</f>
        <v>Fungzide</v>
      </c>
      <c r="AK21" s="12"/>
      <c r="AO21" s="33">
        <f>'Var Vorgaben'!$D$111*(1+Eingabeseite!$C$30)</f>
        <v>900</v>
      </c>
      <c r="AP21" s="44"/>
      <c r="AQ21" s="21" t="str">
        <f>'Var Vorgaben'!$A$111</f>
        <v>Fungzide</v>
      </c>
      <c r="AR21" s="12"/>
      <c r="AV21" s="33">
        <f>'Var Vorgaben'!$D$111*(1+Eingabeseite!$C$30)</f>
        <v>900</v>
      </c>
      <c r="AW21" s="44"/>
      <c r="AX21" s="21" t="str">
        <f>'Var Vorgaben'!$A$111</f>
        <v>Fungzide</v>
      </c>
      <c r="AY21" s="12"/>
      <c r="BC21" s="33">
        <f>'Var Vorgaben'!$D$111*(1+Eingabeseite!$C$30)</f>
        <v>900</v>
      </c>
      <c r="BD21" s="44"/>
      <c r="BE21" s="21" t="str">
        <f>'Var Vorgaben'!$A$111</f>
        <v>Fungzide</v>
      </c>
      <c r="BF21" s="12"/>
      <c r="BJ21" s="33">
        <f>'Var Vorgaben'!$D$111*(1+Eingabeseite!$C$30)</f>
        <v>900</v>
      </c>
      <c r="BK21" s="44"/>
      <c r="BL21" s="21" t="str">
        <f>'Var Vorgaben'!$A$111</f>
        <v>Fungzide</v>
      </c>
      <c r="BM21" s="12"/>
      <c r="BQ21" s="33">
        <f>'Var Vorgaben'!$D$111*(1+Eingabeseite!$C$30)</f>
        <v>900</v>
      </c>
      <c r="BR21" s="44"/>
      <c r="BS21" s="21" t="str">
        <f>'Var Vorgaben'!$A$111</f>
        <v>Fungzide</v>
      </c>
      <c r="BT21" s="12"/>
      <c r="BX21" s="33">
        <f>'Var Vorgaben'!$D$111*(1+Eingabeseite!$C$30)</f>
        <v>900</v>
      </c>
      <c r="BY21" s="44"/>
      <c r="BZ21" s="21" t="str">
        <f>'Var Vorgaben'!$A$111</f>
        <v>Fungzide</v>
      </c>
      <c r="CA21" s="12"/>
      <c r="CE21" s="33">
        <f>'Var Vorgaben'!$D$111*(1+Eingabeseite!$C$30)</f>
        <v>900</v>
      </c>
      <c r="CF21" s="44"/>
      <c r="CG21" s="21" t="str">
        <f>'Var Vorgaben'!$A$111</f>
        <v>Fungzide</v>
      </c>
      <c r="CH21" s="12"/>
      <c r="CL21" s="33">
        <f>'Var Vorgaben'!$D$111*(1+Eingabeseite!$C$30)</f>
        <v>900</v>
      </c>
      <c r="CM21" s="44"/>
      <c r="CN21" s="21" t="str">
        <f>'Var Vorgaben'!$A$111</f>
        <v>Fungzide</v>
      </c>
      <c r="CO21" s="12"/>
      <c r="CS21" s="33">
        <f>'Var Vorgaben'!$D$111*(1+Eingabeseite!$C$30)</f>
        <v>900</v>
      </c>
      <c r="CT21" s="44"/>
      <c r="CU21" s="21" t="str">
        <f>'Var Vorgaben'!$A$111</f>
        <v>Fungzide</v>
      </c>
      <c r="CV21" s="12"/>
      <c r="CZ21" s="33">
        <f>'Var Vorgaben'!$D$111*(1+Eingabeseite!$C$30)</f>
        <v>900</v>
      </c>
      <c r="DA21" s="44">
        <f>CZ21/$CZ$68</f>
        <v>1.404840274652033E-2</v>
      </c>
      <c r="DB21" s="21" t="str">
        <f>'Var Vorgaben'!$A$111</f>
        <v>Fungzide</v>
      </c>
      <c r="DC21" s="12"/>
      <c r="DG21" s="33">
        <f>'Var Vorgaben'!$D$111*(1+Eingabeseite!$C$30)</f>
        <v>900</v>
      </c>
      <c r="DH21" s="44"/>
      <c r="DI21" s="21"/>
      <c r="DJ21" s="12"/>
      <c r="DN21" s="33"/>
    </row>
    <row r="22" spans="1:118" ht="12.5" x14ac:dyDescent="0.25">
      <c r="A22" s="21" t="str">
        <f>'Var Vorgaben'!$A$112</f>
        <v>Insektizide</v>
      </c>
      <c r="B22"/>
      <c r="E22" s="33"/>
      <c r="F22" s="33">
        <f>'Var Vorgaben'!B112*(1+Eingabeseite!$C$30)</f>
        <v>360</v>
      </c>
      <c r="G22" s="44"/>
      <c r="H22" s="21" t="str">
        <f>'Var Vorgaben'!$A$112</f>
        <v>Insektizide</v>
      </c>
      <c r="M22" s="33">
        <f>'Var Vorgaben'!C112*(1+Eingabeseite!$C$30)</f>
        <v>360</v>
      </c>
      <c r="N22" s="44"/>
      <c r="O22" s="21" t="str">
        <f>'Var Vorgaben'!$A$112</f>
        <v>Insektizide</v>
      </c>
      <c r="P22" s="12"/>
      <c r="R22"/>
      <c r="T22" s="33">
        <f>'Var Vorgaben'!$D$112*(1+Eingabeseite!$C$30)</f>
        <v>900</v>
      </c>
      <c r="U22" s="44"/>
      <c r="V22" s="21" t="str">
        <f>'Var Vorgaben'!$A$112</f>
        <v>Insektizide</v>
      </c>
      <c r="W22" s="12"/>
      <c r="AA22" s="33">
        <f>'Var Vorgaben'!$D$112*(1+Eingabeseite!$C$30)</f>
        <v>900</v>
      </c>
      <c r="AB22" s="44"/>
      <c r="AC22" s="21" t="str">
        <f>'Var Vorgaben'!$A$112</f>
        <v>Insektizide</v>
      </c>
      <c r="AD22" s="12"/>
      <c r="AH22" s="33">
        <f>'Var Vorgaben'!$D$112*(1+Eingabeseite!$C$30)</f>
        <v>900</v>
      </c>
      <c r="AI22" s="44"/>
      <c r="AJ22" s="21" t="str">
        <f>'Var Vorgaben'!$A$112</f>
        <v>Insektizide</v>
      </c>
      <c r="AK22" s="12"/>
      <c r="AO22" s="33">
        <f>'Var Vorgaben'!$D$112*(1+Eingabeseite!$C$30)</f>
        <v>900</v>
      </c>
      <c r="AP22" s="44"/>
      <c r="AQ22" s="21" t="str">
        <f>'Var Vorgaben'!$A$112</f>
        <v>Insektizide</v>
      </c>
      <c r="AR22" s="12"/>
      <c r="AV22" s="33">
        <f>'Var Vorgaben'!$D$112*(1+Eingabeseite!$C$30)</f>
        <v>900</v>
      </c>
      <c r="AW22" s="44"/>
      <c r="AX22" s="21" t="str">
        <f>'Var Vorgaben'!$A$112</f>
        <v>Insektizide</v>
      </c>
      <c r="AY22" s="12"/>
      <c r="BC22" s="33">
        <f>'Var Vorgaben'!$D$112*(1+Eingabeseite!$C$30)</f>
        <v>900</v>
      </c>
      <c r="BD22" s="44"/>
      <c r="BE22" s="21" t="str">
        <f>'Var Vorgaben'!$A$112</f>
        <v>Insektizide</v>
      </c>
      <c r="BF22" s="12"/>
      <c r="BJ22" s="33">
        <f>'Var Vorgaben'!$D$112*(1+Eingabeseite!$C$30)</f>
        <v>900</v>
      </c>
      <c r="BK22" s="44"/>
      <c r="BL22" s="21" t="str">
        <f>'Var Vorgaben'!$A$112</f>
        <v>Insektizide</v>
      </c>
      <c r="BM22" s="12"/>
      <c r="BQ22" s="33">
        <f>'Var Vorgaben'!$D$112*(1+Eingabeseite!$C$30)</f>
        <v>900</v>
      </c>
      <c r="BR22" s="44"/>
      <c r="BS22" s="21" t="str">
        <f>'Var Vorgaben'!$A$112</f>
        <v>Insektizide</v>
      </c>
      <c r="BT22" s="12"/>
      <c r="BX22" s="33">
        <f>'Var Vorgaben'!$D$112*(1+Eingabeseite!$C$30)</f>
        <v>900</v>
      </c>
      <c r="BY22" s="44"/>
      <c r="BZ22" s="21" t="str">
        <f>'Var Vorgaben'!$A$112</f>
        <v>Insektizide</v>
      </c>
      <c r="CA22" s="12"/>
      <c r="CE22" s="33">
        <f>'Var Vorgaben'!$D$112*(1+Eingabeseite!$C$30)</f>
        <v>900</v>
      </c>
      <c r="CF22" s="44"/>
      <c r="CG22" s="21" t="str">
        <f>'Var Vorgaben'!$A$112</f>
        <v>Insektizide</v>
      </c>
      <c r="CH22" s="12"/>
      <c r="CL22" s="33">
        <f>'Var Vorgaben'!$D$112*(1+Eingabeseite!$C$30)</f>
        <v>900</v>
      </c>
      <c r="CM22" s="44"/>
      <c r="CN22" s="21" t="str">
        <f>'Var Vorgaben'!$A$112</f>
        <v>Insektizide</v>
      </c>
      <c r="CO22" s="12"/>
      <c r="CS22" s="33">
        <f>'Var Vorgaben'!$D$112*(1+Eingabeseite!$C$30)</f>
        <v>900</v>
      </c>
      <c r="CT22" s="44"/>
      <c r="CU22" s="21" t="str">
        <f>'Var Vorgaben'!$A$112</f>
        <v>Insektizide</v>
      </c>
      <c r="CV22" s="12"/>
      <c r="CZ22" s="33">
        <f>'Var Vorgaben'!$D$112*(1+Eingabeseite!$C$30)</f>
        <v>900</v>
      </c>
      <c r="DA22" s="44">
        <f t="shared" ref="DA22:DA25" si="0">CZ22/$CZ$68</f>
        <v>1.404840274652033E-2</v>
      </c>
      <c r="DB22" s="21" t="str">
        <f>'Var Vorgaben'!$A$112</f>
        <v>Insektizide</v>
      </c>
      <c r="DC22" s="12"/>
      <c r="DG22" s="33">
        <f>'Var Vorgaben'!$D$112*(1+Eingabeseite!$C$30)</f>
        <v>900</v>
      </c>
      <c r="DH22" s="44"/>
      <c r="DI22" s="21"/>
      <c r="DJ22" s="12"/>
      <c r="DN22" s="33"/>
    </row>
    <row r="23" spans="1:118" ht="12.5" x14ac:dyDescent="0.25">
      <c r="A23" s="21" t="str">
        <f>'Var Vorgaben'!$A$113</f>
        <v>Herbizide</v>
      </c>
      <c r="B23"/>
      <c r="E23" s="33"/>
      <c r="F23" s="33">
        <f>'Var Vorgaben'!B113*(1+Eingabeseite!$C$30)</f>
        <v>0</v>
      </c>
      <c r="G23" s="44"/>
      <c r="H23" s="21" t="str">
        <f>'Var Vorgaben'!$A$113</f>
        <v>Herbizide</v>
      </c>
      <c r="I23"/>
      <c r="J23" s="12"/>
      <c r="K23" s="12"/>
      <c r="L23" s="33"/>
      <c r="M23" s="33">
        <f>'Var Vorgaben'!C113*(1+Eingabeseite!$C$30)</f>
        <v>0</v>
      </c>
      <c r="N23" s="44"/>
      <c r="O23" s="21" t="str">
        <f>'Var Vorgaben'!$A$113</f>
        <v>Herbizide</v>
      </c>
      <c r="Q23" s="12"/>
      <c r="R23" s="12"/>
      <c r="S23" s="33"/>
      <c r="T23" s="33">
        <f>'Var Vorgaben'!$D$113*(1+Eingabeseite!$C$30)</f>
        <v>500</v>
      </c>
      <c r="U23" s="44"/>
      <c r="V23" s="21" t="str">
        <f>'Var Vorgaben'!$A$113</f>
        <v>Herbizide</v>
      </c>
      <c r="X23" s="12"/>
      <c r="Y23" s="12"/>
      <c r="Z23" s="33"/>
      <c r="AA23" s="33">
        <f>'Var Vorgaben'!$D$113*(1+Eingabeseite!$C$30)</f>
        <v>500</v>
      </c>
      <c r="AB23" s="44"/>
      <c r="AC23" s="21" t="str">
        <f>'Var Vorgaben'!$A$113</f>
        <v>Herbizide</v>
      </c>
      <c r="AE23" s="12"/>
      <c r="AF23" s="12"/>
      <c r="AG23" s="33"/>
      <c r="AH23" s="33">
        <f>'Var Vorgaben'!$D$113*(1+Eingabeseite!$C$30)</f>
        <v>500</v>
      </c>
      <c r="AI23" s="44"/>
      <c r="AJ23" s="21" t="str">
        <f>'Var Vorgaben'!$A$113</f>
        <v>Herbizide</v>
      </c>
      <c r="AL23" s="12"/>
      <c r="AM23" s="12"/>
      <c r="AN23" s="33"/>
      <c r="AO23" s="33">
        <f>'Var Vorgaben'!$D$113*(1+Eingabeseite!$C$30)</f>
        <v>500</v>
      </c>
      <c r="AP23" s="44"/>
      <c r="AQ23" s="21" t="str">
        <f>'Var Vorgaben'!$A$113</f>
        <v>Herbizide</v>
      </c>
      <c r="AS23" s="12"/>
      <c r="AT23" s="12"/>
      <c r="AU23" s="33"/>
      <c r="AV23" s="33">
        <f>'Var Vorgaben'!$D$113*(1+Eingabeseite!$C$30)</f>
        <v>500</v>
      </c>
      <c r="AW23" s="44"/>
      <c r="AX23" s="21" t="str">
        <f>'Var Vorgaben'!$A$113</f>
        <v>Herbizide</v>
      </c>
      <c r="AZ23" s="12"/>
      <c r="BA23" s="12"/>
      <c r="BB23" s="33"/>
      <c r="BC23" s="33">
        <f>'Var Vorgaben'!$D$113*(1+Eingabeseite!$C$30)</f>
        <v>500</v>
      </c>
      <c r="BD23" s="44"/>
      <c r="BE23" s="21" t="str">
        <f>'Var Vorgaben'!$A$113</f>
        <v>Herbizide</v>
      </c>
      <c r="BG23" s="12"/>
      <c r="BH23" s="12"/>
      <c r="BI23" s="33"/>
      <c r="BJ23" s="33">
        <f>'Var Vorgaben'!$D$113*(1+Eingabeseite!$C$30)</f>
        <v>500</v>
      </c>
      <c r="BK23" s="44"/>
      <c r="BL23" s="21" t="str">
        <f>'Var Vorgaben'!$A$113</f>
        <v>Herbizide</v>
      </c>
      <c r="BN23" s="12"/>
      <c r="BO23" s="12"/>
      <c r="BP23" s="33"/>
      <c r="BQ23" s="33">
        <f>'Var Vorgaben'!$D$113*(1+Eingabeseite!$C$30)</f>
        <v>500</v>
      </c>
      <c r="BR23" s="44"/>
      <c r="BS23" s="21" t="str">
        <f>'Var Vorgaben'!$A$113</f>
        <v>Herbizide</v>
      </c>
      <c r="BU23" s="12"/>
      <c r="BV23" s="12"/>
      <c r="BW23" s="33"/>
      <c r="BX23" s="33">
        <f>'Var Vorgaben'!$D$113*(1+Eingabeseite!$C$30)</f>
        <v>500</v>
      </c>
      <c r="BY23" s="44"/>
      <c r="BZ23" s="21" t="str">
        <f>'Var Vorgaben'!$A$113</f>
        <v>Herbizide</v>
      </c>
      <c r="CB23" s="12"/>
      <c r="CC23" s="12"/>
      <c r="CD23" s="33"/>
      <c r="CE23" s="33">
        <f>'Var Vorgaben'!$D$113*(1+Eingabeseite!$C$30)</f>
        <v>500</v>
      </c>
      <c r="CF23" s="44"/>
      <c r="CG23" s="21" t="str">
        <f>'Var Vorgaben'!$A$113</f>
        <v>Herbizide</v>
      </c>
      <c r="CI23" s="12"/>
      <c r="CJ23" s="12"/>
      <c r="CK23" s="33"/>
      <c r="CL23" s="33">
        <f>'Var Vorgaben'!$D$113*(1+Eingabeseite!$C$30)</f>
        <v>500</v>
      </c>
      <c r="CM23" s="44"/>
      <c r="CN23" s="21" t="str">
        <f>'Var Vorgaben'!$A$113</f>
        <v>Herbizide</v>
      </c>
      <c r="CP23" s="12"/>
      <c r="CQ23" s="12"/>
      <c r="CR23" s="33"/>
      <c r="CS23" s="33">
        <f>'Var Vorgaben'!$D$113*(1+Eingabeseite!$C$30)</f>
        <v>500</v>
      </c>
      <c r="CT23" s="44"/>
      <c r="CU23" s="21" t="str">
        <f>'Var Vorgaben'!$A$113</f>
        <v>Herbizide</v>
      </c>
      <c r="CW23" s="12"/>
      <c r="CX23" s="12"/>
      <c r="CY23" s="33"/>
      <c r="CZ23" s="33">
        <f>'Var Vorgaben'!$D$113*(1+Eingabeseite!$C$30)</f>
        <v>500</v>
      </c>
      <c r="DA23" s="44">
        <f t="shared" si="0"/>
        <v>7.8046681925112941E-3</v>
      </c>
      <c r="DB23" s="21" t="str">
        <f>'Var Vorgaben'!$A$113</f>
        <v>Herbizide</v>
      </c>
      <c r="DD23" s="12"/>
      <c r="DE23" s="12"/>
      <c r="DF23" s="33"/>
      <c r="DG23" s="33">
        <f>'Var Vorgaben'!$D$113*(1+Eingabeseite!$C$30)</f>
        <v>500</v>
      </c>
      <c r="DH23" s="44"/>
      <c r="DI23" s="21"/>
      <c r="DK23" s="12"/>
      <c r="DL23" s="12"/>
      <c r="DM23" s="33"/>
      <c r="DN23" s="33"/>
    </row>
    <row r="24" spans="1:118" ht="12.5" x14ac:dyDescent="0.25">
      <c r="A24" s="21" t="str">
        <f>'Var Vorgaben'!$A$114</f>
        <v>Behangsregulierung</v>
      </c>
      <c r="D24" s="182"/>
      <c r="E24" s="33"/>
      <c r="F24" s="33">
        <f>'Var Vorgaben'!B114*(1+Eingabeseite!$C$30)</f>
        <v>0</v>
      </c>
      <c r="G24" s="44"/>
      <c r="H24" s="21" t="str">
        <f>'Var Vorgaben'!$A$114</f>
        <v>Behangsregulierung</v>
      </c>
      <c r="M24" s="33">
        <f>'Var Vorgaben'!C114*(1+Eingabeseite!$C$30)</f>
        <v>0</v>
      </c>
      <c r="N24" s="44"/>
      <c r="O24" s="21" t="str">
        <f>'Var Vorgaben'!$A$114</f>
        <v>Behangsregulierung</v>
      </c>
      <c r="P24" s="12"/>
      <c r="R24"/>
      <c r="T24" s="33">
        <f>'Var Vorgaben'!$D$114*(1+Eingabeseite!$C$30)</f>
        <v>100</v>
      </c>
      <c r="U24" s="44"/>
      <c r="V24" s="21" t="str">
        <f>'Var Vorgaben'!$A$114</f>
        <v>Behangsregulierung</v>
      </c>
      <c r="W24" s="12"/>
      <c r="AA24" s="33">
        <f>'Var Vorgaben'!$D$114*(1+Eingabeseite!$C$30)</f>
        <v>100</v>
      </c>
      <c r="AB24" s="44"/>
      <c r="AC24" s="21" t="str">
        <f>'Var Vorgaben'!$A$114</f>
        <v>Behangsregulierung</v>
      </c>
      <c r="AD24" s="12"/>
      <c r="AH24" s="33">
        <f>'Var Vorgaben'!$D$114*(1+Eingabeseite!$C$30)</f>
        <v>100</v>
      </c>
      <c r="AI24" s="44"/>
      <c r="AJ24" s="21" t="str">
        <f>'Var Vorgaben'!$A$114</f>
        <v>Behangsregulierung</v>
      </c>
      <c r="AK24" s="12"/>
      <c r="AO24" s="33">
        <f>'Var Vorgaben'!$D$114*(1+Eingabeseite!$C$30)</f>
        <v>100</v>
      </c>
      <c r="AP24" s="44"/>
      <c r="AQ24" s="21" t="str">
        <f>'Var Vorgaben'!$A$114</f>
        <v>Behangsregulierung</v>
      </c>
      <c r="AR24" s="12"/>
      <c r="AV24" s="33">
        <f>'Var Vorgaben'!$D$114*(1+Eingabeseite!$C$30)</f>
        <v>100</v>
      </c>
      <c r="AW24" s="44"/>
      <c r="AX24" s="21" t="str">
        <f>'Var Vorgaben'!$A$114</f>
        <v>Behangsregulierung</v>
      </c>
      <c r="AY24" s="12"/>
      <c r="BC24" s="33">
        <f>'Var Vorgaben'!$D$114*(1+Eingabeseite!$C$30)</f>
        <v>100</v>
      </c>
      <c r="BD24" s="44"/>
      <c r="BE24" s="21" t="str">
        <f>'Var Vorgaben'!$A$114</f>
        <v>Behangsregulierung</v>
      </c>
      <c r="BF24" s="12"/>
      <c r="BJ24" s="33">
        <f>'Var Vorgaben'!$D$114*(1+Eingabeseite!$C$30)</f>
        <v>100</v>
      </c>
      <c r="BK24" s="44"/>
      <c r="BL24" s="21" t="str">
        <f>'Var Vorgaben'!$A$114</f>
        <v>Behangsregulierung</v>
      </c>
      <c r="BM24" s="12"/>
      <c r="BQ24" s="33">
        <f>'Var Vorgaben'!$D$114*(1+Eingabeseite!$C$30)</f>
        <v>100</v>
      </c>
      <c r="BR24" s="44"/>
      <c r="BS24" s="21" t="str">
        <f>'Var Vorgaben'!$A$114</f>
        <v>Behangsregulierung</v>
      </c>
      <c r="BT24" s="12"/>
      <c r="BX24" s="33">
        <f>'Var Vorgaben'!$D$114*(1+Eingabeseite!$C$30)</f>
        <v>100</v>
      </c>
      <c r="BY24" s="44"/>
      <c r="BZ24" s="21" t="str">
        <f>'Var Vorgaben'!$A$114</f>
        <v>Behangsregulierung</v>
      </c>
      <c r="CA24" s="12"/>
      <c r="CE24" s="33">
        <f>'Var Vorgaben'!$D$114*(1+Eingabeseite!$C$30)</f>
        <v>100</v>
      </c>
      <c r="CF24" s="44"/>
      <c r="CG24" s="21" t="str">
        <f>'Var Vorgaben'!$A$114</f>
        <v>Behangsregulierung</v>
      </c>
      <c r="CH24" s="12"/>
      <c r="CL24" s="33">
        <f>'Var Vorgaben'!$D$114*(1+Eingabeseite!$C$30)</f>
        <v>100</v>
      </c>
      <c r="CM24" s="44"/>
      <c r="CN24" s="21" t="str">
        <f>'Var Vorgaben'!$A$114</f>
        <v>Behangsregulierung</v>
      </c>
      <c r="CO24" s="12"/>
      <c r="CS24" s="33">
        <f>'Var Vorgaben'!$D$114*(1+Eingabeseite!$C$30)</f>
        <v>100</v>
      </c>
      <c r="CT24" s="44"/>
      <c r="CU24" s="21" t="str">
        <f>'Var Vorgaben'!$A$114</f>
        <v>Behangsregulierung</v>
      </c>
      <c r="CV24" s="12"/>
      <c r="CZ24" s="33">
        <f>'Var Vorgaben'!$D$114*(1+Eingabeseite!$C$30)</f>
        <v>100</v>
      </c>
      <c r="DA24" s="44">
        <f t="shared" si="0"/>
        <v>1.5609336385022587E-3</v>
      </c>
      <c r="DB24" s="21" t="str">
        <f>'Var Vorgaben'!$A$114</f>
        <v>Behangsregulierung</v>
      </c>
      <c r="DC24" s="12"/>
      <c r="DG24" s="33">
        <f>'Var Vorgaben'!$D$114*(1+Eingabeseite!$C$30)</f>
        <v>100</v>
      </c>
      <c r="DH24" s="44"/>
      <c r="DI24" s="21"/>
      <c r="DJ24" s="12"/>
      <c r="DN24" s="33"/>
    </row>
    <row r="25" spans="1:118" thickBot="1" x14ac:dyDescent="0.3">
      <c r="A25" s="21" t="str">
        <f>'Var Vorgaben'!$A$115</f>
        <v>Blattdüngung</v>
      </c>
      <c r="B25"/>
      <c r="D25" s="673"/>
      <c r="E25" s="49"/>
      <c r="F25" s="666">
        <f>'Var Vorgaben'!B115*(1+Eingabeseite!$C$32)</f>
        <v>15</v>
      </c>
      <c r="G25" s="44"/>
      <c r="H25" s="21" t="str">
        <f>'Var Vorgaben'!$A$115</f>
        <v>Blattdüngung</v>
      </c>
      <c r="I25"/>
      <c r="J25" s="12"/>
      <c r="K25" s="12"/>
      <c r="L25" s="33"/>
      <c r="M25" s="41">
        <f>'Var Vorgaben'!C115*(1+Eingabeseite!$C$32)</f>
        <v>15</v>
      </c>
      <c r="N25" s="44"/>
      <c r="O25" s="21" t="str">
        <f>'Var Vorgaben'!$A$115</f>
        <v>Blattdüngung</v>
      </c>
      <c r="Q25" s="12"/>
      <c r="R25" s="12"/>
      <c r="S25" s="33"/>
      <c r="T25" s="41">
        <f>'Var Vorgaben'!$D$115*(1+Eingabeseite!$C$32)</f>
        <v>100</v>
      </c>
      <c r="U25" s="44"/>
      <c r="V25" s="21" t="str">
        <f>'Var Vorgaben'!$A$115</f>
        <v>Blattdüngung</v>
      </c>
      <c r="X25" s="12"/>
      <c r="Y25" s="12"/>
      <c r="Z25" s="33"/>
      <c r="AA25" s="41">
        <f>'Var Vorgaben'!$D$115*(1+Eingabeseite!$C$32)</f>
        <v>100</v>
      </c>
      <c r="AB25" s="44"/>
      <c r="AC25" s="21" t="str">
        <f>'Var Vorgaben'!$A$115</f>
        <v>Blattdüngung</v>
      </c>
      <c r="AE25" s="12"/>
      <c r="AF25" s="12"/>
      <c r="AG25" s="33"/>
      <c r="AH25" s="41">
        <f>'Var Vorgaben'!$D$115*(1+Eingabeseite!$C$32)</f>
        <v>100</v>
      </c>
      <c r="AI25" s="44"/>
      <c r="AJ25" s="21" t="str">
        <f>'Var Vorgaben'!$A$115</f>
        <v>Blattdüngung</v>
      </c>
      <c r="AL25" s="12"/>
      <c r="AM25" s="12"/>
      <c r="AN25" s="33"/>
      <c r="AO25" s="41">
        <f>'Var Vorgaben'!$D$115*(1+Eingabeseite!$C$32)</f>
        <v>100</v>
      </c>
      <c r="AP25" s="44"/>
      <c r="AQ25" s="21" t="str">
        <f>'Var Vorgaben'!$A$115</f>
        <v>Blattdüngung</v>
      </c>
      <c r="AS25" s="12"/>
      <c r="AT25" s="12"/>
      <c r="AU25" s="33"/>
      <c r="AV25" s="41">
        <f>'Var Vorgaben'!$D$115*(1+Eingabeseite!$C$32)</f>
        <v>100</v>
      </c>
      <c r="AW25" s="44"/>
      <c r="AX25" s="21" t="str">
        <f>'Var Vorgaben'!$A$115</f>
        <v>Blattdüngung</v>
      </c>
      <c r="AZ25" s="12"/>
      <c r="BA25" s="12"/>
      <c r="BB25" s="33"/>
      <c r="BC25" s="41">
        <f>'Var Vorgaben'!$D$115*(1+Eingabeseite!$C$32)</f>
        <v>100</v>
      </c>
      <c r="BD25" s="44"/>
      <c r="BE25" s="21" t="str">
        <f>'Var Vorgaben'!$A$115</f>
        <v>Blattdüngung</v>
      </c>
      <c r="BG25" s="12"/>
      <c r="BH25" s="12"/>
      <c r="BI25" s="33"/>
      <c r="BJ25" s="41">
        <f>'Var Vorgaben'!$D$115*(1+Eingabeseite!$C$32)</f>
        <v>100</v>
      </c>
      <c r="BK25" s="44"/>
      <c r="BL25" s="21" t="str">
        <f>'Var Vorgaben'!$A$115</f>
        <v>Blattdüngung</v>
      </c>
      <c r="BN25" s="12"/>
      <c r="BO25" s="12"/>
      <c r="BP25" s="33"/>
      <c r="BQ25" s="41">
        <f>'Var Vorgaben'!$D$115*(1+Eingabeseite!$C$32)</f>
        <v>100</v>
      </c>
      <c r="BR25" s="44"/>
      <c r="BS25" s="21" t="str">
        <f>'Var Vorgaben'!$A$115</f>
        <v>Blattdüngung</v>
      </c>
      <c r="BU25" s="12"/>
      <c r="BV25" s="12"/>
      <c r="BW25" s="33"/>
      <c r="BX25" s="41">
        <f>'Var Vorgaben'!$D$115*(1+Eingabeseite!$C$32)</f>
        <v>100</v>
      </c>
      <c r="BY25" s="44"/>
      <c r="BZ25" s="21" t="str">
        <f>'Var Vorgaben'!$A$115</f>
        <v>Blattdüngung</v>
      </c>
      <c r="CB25" s="12"/>
      <c r="CC25" s="12"/>
      <c r="CD25" s="33"/>
      <c r="CE25" s="41">
        <f>'Var Vorgaben'!$D$115*(1+Eingabeseite!$C$32)</f>
        <v>100</v>
      </c>
      <c r="CF25" s="44"/>
      <c r="CG25" s="21" t="str">
        <f>'Var Vorgaben'!$A$115</f>
        <v>Blattdüngung</v>
      </c>
      <c r="CI25" s="12"/>
      <c r="CJ25" s="12"/>
      <c r="CK25" s="33"/>
      <c r="CL25" s="41">
        <f>'Var Vorgaben'!$D$115*(1+Eingabeseite!$C$32)</f>
        <v>100</v>
      </c>
      <c r="CM25" s="44"/>
      <c r="CN25" s="21" t="str">
        <f>'Var Vorgaben'!$A$115</f>
        <v>Blattdüngung</v>
      </c>
      <c r="CP25" s="12"/>
      <c r="CQ25" s="12"/>
      <c r="CR25" s="33"/>
      <c r="CS25" s="41">
        <f>'Var Vorgaben'!$D$115*(1+Eingabeseite!$C$32)</f>
        <v>100</v>
      </c>
      <c r="CT25" s="44"/>
      <c r="CU25" s="21" t="str">
        <f>'Var Vorgaben'!$A$115</f>
        <v>Blattdüngung</v>
      </c>
      <c r="CW25" s="12"/>
      <c r="CX25" s="12"/>
      <c r="CY25" s="33"/>
      <c r="CZ25" s="41">
        <f>'Var Vorgaben'!$D$115*(1+Eingabeseite!$C$32)</f>
        <v>100</v>
      </c>
      <c r="DA25" s="44">
        <f t="shared" si="0"/>
        <v>1.5609336385022587E-3</v>
      </c>
      <c r="DB25" s="21" t="str">
        <f>'Var Vorgaben'!$A$115</f>
        <v>Blattdüngung</v>
      </c>
      <c r="DD25" s="12"/>
      <c r="DE25" s="12"/>
      <c r="DF25" s="33"/>
      <c r="DG25" s="41">
        <f>'Var Vorgaben'!$D$115*(1+Eingabeseite!$C$32)</f>
        <v>100</v>
      </c>
      <c r="DH25" s="44"/>
      <c r="DI25" s="21"/>
      <c r="DK25" s="12"/>
      <c r="DL25" s="12"/>
      <c r="DM25" s="33"/>
      <c r="DN25" s="41"/>
    </row>
    <row r="26" spans="1:118" x14ac:dyDescent="0.3">
      <c r="A26" s="1308"/>
      <c r="B26"/>
      <c r="E26" s="33"/>
      <c r="F26" s="33">
        <f>SUM(F21:F25)</f>
        <v>725</v>
      </c>
      <c r="G26" s="668">
        <f>F26/$F$68</f>
        <v>6.4824891946431262E-2</v>
      </c>
      <c r="I26"/>
      <c r="J26" s="12"/>
      <c r="K26" s="12"/>
      <c r="L26" s="33"/>
      <c r="M26" s="33">
        <f>SUM(M21:M25)</f>
        <v>775</v>
      </c>
      <c r="N26" s="668">
        <f>M26/$F$68</f>
        <v>6.9295574149633415E-2</v>
      </c>
      <c r="O26" s="12"/>
      <c r="Q26" s="12"/>
      <c r="R26" s="12"/>
      <c r="S26" s="33"/>
      <c r="T26" s="33">
        <f>SUM(T21:T25)</f>
        <v>2500</v>
      </c>
      <c r="U26" s="44">
        <f>T26/$AA$68</f>
        <v>7.2184696754087355E-2</v>
      </c>
      <c r="V26" s="12"/>
      <c r="X26" s="12"/>
      <c r="Y26" s="12"/>
      <c r="Z26" s="33"/>
      <c r="AA26" s="33">
        <f>SUM(AA21:AA25)</f>
        <v>2500</v>
      </c>
      <c r="AB26" s="44">
        <f>AA26/$AA$68</f>
        <v>7.2184696754087355E-2</v>
      </c>
      <c r="AC26" s="12"/>
      <c r="AE26" s="12"/>
      <c r="AF26" s="12"/>
      <c r="AG26" s="33"/>
      <c r="AH26" s="33">
        <f>SUM(AH21:AH25)</f>
        <v>2500</v>
      </c>
      <c r="AI26" s="44">
        <f>AH26/$DG$68</f>
        <v>3.7424457934398005E-2</v>
      </c>
      <c r="AJ26" s="12"/>
      <c r="AL26" s="12"/>
      <c r="AM26" s="12"/>
      <c r="AN26" s="33"/>
      <c r="AO26" s="33">
        <f>SUM(AO21:AO25)</f>
        <v>2500</v>
      </c>
      <c r="AP26" s="44">
        <f>AO26/$DG$68</f>
        <v>3.7424457934398005E-2</v>
      </c>
      <c r="AQ26" s="12"/>
      <c r="AS26" s="12"/>
      <c r="AT26" s="12"/>
      <c r="AU26" s="33"/>
      <c r="AV26" s="33">
        <f>SUM(AV21:AV25)</f>
        <v>2500</v>
      </c>
      <c r="AW26" s="44">
        <f>AV26/$DG$68</f>
        <v>3.7424457934398005E-2</v>
      </c>
      <c r="AX26" s="12"/>
      <c r="AZ26" s="12"/>
      <c r="BA26" s="12"/>
      <c r="BB26" s="33"/>
      <c r="BC26" s="33">
        <f>SUM(BC21:BC25)</f>
        <v>2500</v>
      </c>
      <c r="BD26" s="44">
        <f>BC26/$DG$68</f>
        <v>3.7424457934398005E-2</v>
      </c>
      <c r="BE26" s="12"/>
      <c r="BG26" s="12"/>
      <c r="BH26" s="12"/>
      <c r="BI26" s="33"/>
      <c r="BJ26" s="33">
        <f>SUM(BJ21:BJ25)</f>
        <v>2500</v>
      </c>
      <c r="BK26" s="44">
        <f>BJ26/$DG$68</f>
        <v>3.7424457934398005E-2</v>
      </c>
      <c r="BL26" s="12"/>
      <c r="BN26" s="12"/>
      <c r="BO26" s="12"/>
      <c r="BP26" s="33"/>
      <c r="BQ26" s="33">
        <f>SUM(BQ21:BQ25)</f>
        <v>2500</v>
      </c>
      <c r="BR26" s="44">
        <f>BQ26/$DG$68</f>
        <v>3.7424457934398005E-2</v>
      </c>
      <c r="BS26" s="12"/>
      <c r="BU26" s="12"/>
      <c r="BV26" s="12"/>
      <c r="BW26" s="33"/>
      <c r="BX26" s="33">
        <f>SUM(BX21:BX25)</f>
        <v>2500</v>
      </c>
      <c r="BY26" s="44">
        <f>BX26/$DG$68</f>
        <v>3.7424457934398005E-2</v>
      </c>
      <c r="BZ26" s="12"/>
      <c r="CB26" s="12"/>
      <c r="CC26" s="12"/>
      <c r="CD26" s="33"/>
      <c r="CE26" s="33">
        <f>SUM(CE21:CE25)</f>
        <v>2500</v>
      </c>
      <c r="CF26" s="44">
        <f>CE26/$DG$68</f>
        <v>3.7424457934398005E-2</v>
      </c>
      <c r="CG26" s="12"/>
      <c r="CI26" s="12"/>
      <c r="CJ26" s="12"/>
      <c r="CK26" s="33"/>
      <c r="CL26" s="33">
        <f>SUM(CL21:CL25)</f>
        <v>2500</v>
      </c>
      <c r="CM26" s="44">
        <f>CL26/$DG$68</f>
        <v>3.7424457934398005E-2</v>
      </c>
      <c r="CN26" s="12"/>
      <c r="CP26" s="12"/>
      <c r="CQ26" s="12"/>
      <c r="CR26" s="33"/>
      <c r="CS26" s="33">
        <f>SUM(CS21:CS25)</f>
        <v>2500</v>
      </c>
      <c r="CT26" s="44">
        <f>CS26/$DG$68</f>
        <v>3.7424457934398005E-2</v>
      </c>
      <c r="CU26" s="12"/>
      <c r="CW26" s="12"/>
      <c r="CX26" s="12"/>
      <c r="CY26" s="33"/>
      <c r="CZ26" s="33">
        <f>SUM(CZ21:CZ25)</f>
        <v>2500</v>
      </c>
      <c r="DA26" s="44">
        <f>CZ26/$DG$68</f>
        <v>3.7424457934398005E-2</v>
      </c>
      <c r="DB26" s="12"/>
      <c r="DD26" s="12"/>
      <c r="DE26" s="12"/>
      <c r="DF26" s="33"/>
      <c r="DG26" s="33">
        <f>SUM(DG21:DG25)</f>
        <v>2500</v>
      </c>
      <c r="DH26" s="44">
        <f>DG26/$DG$68</f>
        <v>3.7424457934398005E-2</v>
      </c>
      <c r="DI26" s="12"/>
      <c r="DK26" s="12"/>
      <c r="DL26" s="12"/>
      <c r="DM26" s="33"/>
      <c r="DN26" s="33"/>
    </row>
    <row r="27" spans="1:118" x14ac:dyDescent="0.3">
      <c r="B27" s="4"/>
      <c r="C27" s="47"/>
      <c r="D27" s="47"/>
      <c r="E27" s="63"/>
      <c r="G27" s="44">
        <f>F27/$F$68</f>
        <v>0</v>
      </c>
      <c r="I27" s="47"/>
      <c r="J27" s="1"/>
      <c r="K27" s="1"/>
      <c r="L27" s="1"/>
      <c r="M27" s="1"/>
      <c r="N27" s="44">
        <f>M27/$M$68</f>
        <v>0</v>
      </c>
      <c r="O27" s="94" t="s">
        <v>245</v>
      </c>
      <c r="P27" s="1"/>
      <c r="Q27" s="1"/>
      <c r="R27" s="48"/>
      <c r="S27" s="1"/>
      <c r="T27" s="801">
        <f>'Var Erstellung'!$F$112</f>
        <v>44745.5</v>
      </c>
      <c r="U27" s="277">
        <f>T27/$T$68</f>
        <v>0.623547484808048</v>
      </c>
      <c r="AB27" s="44">
        <f>AA27/$AA$68</f>
        <v>0</v>
      </c>
      <c r="AI27" s="44">
        <f>AH27/$AH$68</f>
        <v>0</v>
      </c>
      <c r="AP27" s="44">
        <f>AO27/$AO$68</f>
        <v>0</v>
      </c>
      <c r="AW27" s="44">
        <f>AV27/$AV$68</f>
        <v>0</v>
      </c>
      <c r="BD27" s="44">
        <f>BC27/$BC$68</f>
        <v>0</v>
      </c>
      <c r="BK27" s="44">
        <f>BJ27/$BJ$68</f>
        <v>0</v>
      </c>
      <c r="BL27" s="94" t="s">
        <v>245</v>
      </c>
      <c r="BM27" s="1"/>
      <c r="BN27" s="1"/>
      <c r="BO27" s="48"/>
      <c r="BP27" s="1"/>
      <c r="BQ27" s="801">
        <f>'Var Erstellung'!$F$112</f>
        <v>44745.5</v>
      </c>
      <c r="BR27" s="802">
        <f>BQ27/$BQ$68</f>
        <v>0.37696212877673768</v>
      </c>
      <c r="BY27" s="44">
        <f>BX27/$BX$68</f>
        <v>0</v>
      </c>
      <c r="CF27" s="44">
        <f>CE27/$CE$68</f>
        <v>0</v>
      </c>
      <c r="CM27" s="44">
        <f>CL27/$CL$68</f>
        <v>0</v>
      </c>
      <c r="CT27" s="44">
        <f>CS27/$CS$68</f>
        <v>0</v>
      </c>
      <c r="DA27" s="44">
        <f>CZ27/$CZ$68</f>
        <v>0</v>
      </c>
      <c r="DH27" s="44">
        <f>DG27/$DG$68</f>
        <v>0</v>
      </c>
    </row>
    <row r="28" spans="1:118" ht="18" customHeight="1" x14ac:dyDescent="0.3">
      <c r="A28" s="107" t="s">
        <v>186</v>
      </c>
      <c r="B28" s="112"/>
      <c r="C28" s="108"/>
      <c r="D28" s="112"/>
      <c r="E28" s="252"/>
      <c r="F28" s="82">
        <f>'Var Vorgaben'!E154</f>
        <v>0</v>
      </c>
      <c r="G28" s="668">
        <f>F28/$F$68</f>
        <v>0</v>
      </c>
      <c r="H28" s="107" t="s">
        <v>186</v>
      </c>
      <c r="I28" s="112"/>
      <c r="J28" s="108"/>
      <c r="K28" s="112"/>
      <c r="L28" s="252"/>
      <c r="M28" s="82">
        <f>'Var Vorgaben'!E155</f>
        <v>0</v>
      </c>
      <c r="N28" s="668">
        <f>M28/$M$68</f>
        <v>0</v>
      </c>
      <c r="O28" s="107" t="s">
        <v>186</v>
      </c>
      <c r="P28" s="112"/>
      <c r="Q28" s="108"/>
      <c r="R28" s="112"/>
      <c r="S28" s="252"/>
      <c r="T28" s="82">
        <f>'Var Vorgaben'!$E$153</f>
        <v>400</v>
      </c>
      <c r="U28" s="1314">
        <f t="shared" ref="U28:U36" si="1">T28/$T$68</f>
        <v>5.5741693337479567E-3</v>
      </c>
      <c r="V28" s="107" t="s">
        <v>186</v>
      </c>
      <c r="W28" s="112"/>
      <c r="X28" s="108"/>
      <c r="Y28" s="112"/>
      <c r="Z28" s="252"/>
      <c r="AA28" s="82">
        <f>'Var Vorgaben'!$E$153</f>
        <v>400</v>
      </c>
      <c r="AB28" s="1314">
        <f>AA28/$AA$68</f>
        <v>1.1549551480653975E-2</v>
      </c>
      <c r="AC28" s="107" t="s">
        <v>186</v>
      </c>
      <c r="AD28" s="112"/>
      <c r="AE28" s="108"/>
      <c r="AF28" s="112"/>
      <c r="AG28" s="252"/>
      <c r="AH28" s="82">
        <f>'Var Vorgaben'!$E$153</f>
        <v>400</v>
      </c>
      <c r="AI28" s="1314">
        <f>AH28/$AH$68</f>
        <v>7.2622870620703368E-3</v>
      </c>
      <c r="AJ28" s="107" t="s">
        <v>186</v>
      </c>
      <c r="AK28" s="112"/>
      <c r="AL28" s="108"/>
      <c r="AM28" s="112"/>
      <c r="AN28" s="252"/>
      <c r="AO28" s="82">
        <f>'Var Vorgaben'!$E$153</f>
        <v>400</v>
      </c>
      <c r="AP28" s="668">
        <f>AO28/$AO$68</f>
        <v>6.3091917670912798E-3</v>
      </c>
      <c r="AQ28" s="107" t="s">
        <v>186</v>
      </c>
      <c r="AR28" s="112"/>
      <c r="AS28" s="108"/>
      <c r="AT28" s="112"/>
      <c r="AU28" s="252"/>
      <c r="AV28" s="82">
        <f>'Var Vorgaben'!$E$153</f>
        <v>400</v>
      </c>
      <c r="AW28" s="668">
        <f>AV28/$AV$68</f>
        <v>5.6012599549450821E-3</v>
      </c>
      <c r="AX28" s="107" t="s">
        <v>186</v>
      </c>
      <c r="AY28" s="112"/>
      <c r="AZ28" s="108"/>
      <c r="BA28" s="112"/>
      <c r="BB28" s="252"/>
      <c r="BC28" s="82">
        <f>'Var Vorgaben'!$E$153</f>
        <v>400</v>
      </c>
      <c r="BD28" s="668">
        <f>BC28/$BC$68</f>
        <v>5.6477511738318442E-3</v>
      </c>
      <c r="BE28" s="107" t="s">
        <v>186</v>
      </c>
      <c r="BF28" s="112"/>
      <c r="BG28" s="108"/>
      <c r="BH28" s="112"/>
      <c r="BI28" s="252"/>
      <c r="BJ28" s="82">
        <f>'Var Vorgaben'!$E$153</f>
        <v>400</v>
      </c>
      <c r="BK28" s="668">
        <f>BJ28/$BJ$68</f>
        <v>5.6584685546648928E-3</v>
      </c>
      <c r="BL28" s="107" t="s">
        <v>186</v>
      </c>
      <c r="BM28" s="112"/>
      <c r="BN28" s="108"/>
      <c r="BO28" s="112"/>
      <c r="BP28" s="252"/>
      <c r="BQ28" s="82">
        <f>'Var Vorgaben'!$E$153</f>
        <v>400</v>
      </c>
      <c r="BR28" s="668">
        <f>BQ28/$BQ$68</f>
        <v>3.3698327543707205E-3</v>
      </c>
      <c r="BS28" s="107" t="s">
        <v>186</v>
      </c>
      <c r="BT28" s="112"/>
      <c r="BU28" s="108"/>
      <c r="BV28" s="112"/>
      <c r="BW28" s="252"/>
      <c r="BX28" s="82">
        <f>'Var Vorgaben'!$E$153</f>
        <v>400</v>
      </c>
      <c r="BY28" s="668">
        <f>BX28/$BX$68</f>
        <v>5.9105951739538178E-3</v>
      </c>
      <c r="BZ28" s="107" t="s">
        <v>186</v>
      </c>
      <c r="CA28" s="112"/>
      <c r="CB28" s="108"/>
      <c r="CC28" s="112"/>
      <c r="CD28" s="252"/>
      <c r="CE28" s="82">
        <f>'Var Vorgaben'!$E$153</f>
        <v>400</v>
      </c>
      <c r="CF28" s="668">
        <f>CE28/$CE$68</f>
        <v>5.9200502963745842E-3</v>
      </c>
      <c r="CG28" s="107" t="s">
        <v>186</v>
      </c>
      <c r="CH28" s="112"/>
      <c r="CI28" s="108"/>
      <c r="CJ28" s="112"/>
      <c r="CK28" s="252"/>
      <c r="CL28" s="82">
        <f>'Var Vorgaben'!$E$153</f>
        <v>400</v>
      </c>
      <c r="CM28" s="44">
        <f>CL28/$CL$68</f>
        <v>5.8895473289999637E-3</v>
      </c>
      <c r="CN28" s="107" t="s">
        <v>186</v>
      </c>
      <c r="CO28" s="112"/>
      <c r="CP28" s="108"/>
      <c r="CQ28" s="112"/>
      <c r="CR28" s="252"/>
      <c r="CS28" s="82">
        <f>'Var Vorgaben'!$E$153</f>
        <v>400</v>
      </c>
      <c r="CT28" s="668">
        <f>CS28/$CS$68</f>
        <v>5.938945423717687E-3</v>
      </c>
      <c r="CU28" s="107" t="s">
        <v>186</v>
      </c>
      <c r="CV28" s="112"/>
      <c r="CW28" s="108"/>
      <c r="CX28" s="112"/>
      <c r="CY28" s="252"/>
      <c r="CZ28" s="82">
        <f>'Var Vorgaben'!$E$153</f>
        <v>400</v>
      </c>
      <c r="DA28" s="668">
        <f>CZ28/$CZ$68</f>
        <v>6.2437345540090347E-3</v>
      </c>
      <c r="DB28" s="107" t="s">
        <v>186</v>
      </c>
      <c r="DC28" s="112"/>
      <c r="DD28" s="108"/>
      <c r="DE28" s="112"/>
      <c r="DF28" s="252"/>
      <c r="DG28" s="82">
        <f>'Var Vorgaben'!$E$153</f>
        <v>400</v>
      </c>
      <c r="DH28" s="668">
        <f>DG28/$DG$68</f>
        <v>5.9879132695036799E-3</v>
      </c>
    </row>
    <row r="29" spans="1:118" s="1" customFormat="1" ht="18" customHeight="1" x14ac:dyDescent="0.3">
      <c r="A29" s="107"/>
      <c r="B29" s="112"/>
      <c r="C29" s="108"/>
      <c r="D29" s="112"/>
      <c r="E29" s="252"/>
      <c r="F29" s="82"/>
      <c r="G29" s="829"/>
      <c r="H29" s="107"/>
      <c r="I29" s="112"/>
      <c r="J29" s="108"/>
      <c r="K29" s="112"/>
      <c r="L29" s="252"/>
      <c r="M29" s="82"/>
      <c r="N29" s="410"/>
      <c r="O29" s="107" t="s">
        <v>456</v>
      </c>
      <c r="P29" s="112"/>
      <c r="Q29" s="108"/>
      <c r="R29" s="112"/>
      <c r="S29" s="252"/>
      <c r="T29" s="82">
        <f>'Var Erstellung'!$F$117</f>
        <v>3660.8319999999994</v>
      </c>
      <c r="U29" s="1315">
        <f t="shared" si="1"/>
        <v>5.1015243676007987E-2</v>
      </c>
      <c r="V29" s="107"/>
      <c r="W29" s="112"/>
      <c r="X29" s="108"/>
      <c r="Y29" s="112"/>
      <c r="Z29" s="252"/>
      <c r="AA29" s="82"/>
      <c r="AB29" s="1315"/>
      <c r="AC29" s="107"/>
      <c r="AD29" s="112"/>
      <c r="AE29" s="108"/>
      <c r="AF29" s="112"/>
      <c r="AG29" s="252"/>
      <c r="AH29" s="82"/>
      <c r="AI29" s="1315"/>
      <c r="AJ29" s="107"/>
      <c r="AK29" s="112"/>
      <c r="AL29" s="108"/>
      <c r="AM29" s="112"/>
      <c r="AN29" s="252"/>
      <c r="AO29" s="82"/>
      <c r="AP29" s="410"/>
      <c r="AQ29" s="107"/>
      <c r="AR29" s="112"/>
      <c r="AS29" s="108"/>
      <c r="AT29" s="112"/>
      <c r="AU29" s="252"/>
      <c r="AV29" s="82"/>
      <c r="AW29" s="410"/>
      <c r="AX29" s="107"/>
      <c r="AY29" s="112"/>
      <c r="AZ29" s="108"/>
      <c r="BA29" s="112"/>
      <c r="BB29" s="252"/>
      <c r="BC29" s="82"/>
      <c r="BD29" s="410"/>
      <c r="BE29" s="107"/>
      <c r="BF29" s="112"/>
      <c r="BG29" s="108"/>
      <c r="BH29" s="112"/>
      <c r="BI29" s="252"/>
      <c r="BJ29" s="82"/>
      <c r="BK29" s="410"/>
      <c r="BL29" s="107" t="s">
        <v>456</v>
      </c>
      <c r="BM29" s="112"/>
      <c r="BN29" s="108"/>
      <c r="BO29" s="112"/>
      <c r="BP29" s="252"/>
      <c r="BQ29" s="82">
        <f>'Var Erstellung'!$F$117</f>
        <v>3660.8319999999994</v>
      </c>
      <c r="BR29" s="829">
        <f>BQ29/$T$68</f>
        <v>5.1015243676007987E-2</v>
      </c>
      <c r="BS29" s="107"/>
      <c r="BT29" s="112"/>
      <c r="BU29" s="108"/>
      <c r="BV29" s="112"/>
      <c r="BW29" s="252"/>
      <c r="BX29" s="82"/>
      <c r="BY29" s="410"/>
      <c r="BZ29" s="107"/>
      <c r="CA29" s="112"/>
      <c r="CB29" s="108"/>
      <c r="CC29" s="112"/>
      <c r="CD29" s="252"/>
      <c r="CE29" s="82"/>
      <c r="CF29" s="410"/>
      <c r="CG29" s="107"/>
      <c r="CH29" s="112"/>
      <c r="CI29" s="108"/>
      <c r="CJ29" s="112"/>
      <c r="CK29" s="252"/>
      <c r="CL29" s="82"/>
      <c r="CM29" s="410"/>
      <c r="CN29" s="107"/>
      <c r="CO29" s="112"/>
      <c r="CP29" s="108"/>
      <c r="CQ29" s="112"/>
      <c r="CR29" s="252"/>
      <c r="CS29" s="82"/>
      <c r="CT29" s="410"/>
      <c r="CU29" s="107"/>
      <c r="CV29" s="112"/>
      <c r="CW29" s="108"/>
      <c r="CX29" s="112"/>
      <c r="CY29" s="252"/>
      <c r="CZ29" s="82"/>
      <c r="DA29" s="410"/>
      <c r="DB29" s="107"/>
      <c r="DC29" s="112"/>
      <c r="DD29" s="108"/>
      <c r="DE29" s="112"/>
      <c r="DF29" s="252"/>
      <c r="DG29" s="82"/>
      <c r="DH29" s="410"/>
    </row>
    <row r="30" spans="1:118" ht="18" customHeight="1" x14ac:dyDescent="0.3">
      <c r="A30" s="64" t="s">
        <v>552</v>
      </c>
      <c r="B30" s="1" t="str">
        <f>'Var Vorgaben'!$F$32</f>
        <v>Tafelkirschen</v>
      </c>
      <c r="C30" s="4" t="s">
        <v>71</v>
      </c>
      <c r="D30" s="47"/>
      <c r="E30" s="63"/>
      <c r="F30" s="63">
        <f>'Var Vorgaben'!$G$32</f>
        <v>700</v>
      </c>
      <c r="G30" s="44">
        <f t="shared" ref="G30:G38" si="2">F30/$F$68</f>
        <v>6.2589550844830172E-2</v>
      </c>
      <c r="H30" s="64" t="str">
        <f>A30</f>
        <v>Abzüge und Branchenbeiträge</v>
      </c>
      <c r="I30" s="1" t="str">
        <f>'Var Vorgaben'!$F$32</f>
        <v>Tafelkirschen</v>
      </c>
      <c r="J30" s="4" t="s">
        <v>71</v>
      </c>
      <c r="K30" s="47"/>
      <c r="L30" s="63"/>
      <c r="M30" s="63">
        <f>'Var Vorgaben'!$G$32</f>
        <v>700</v>
      </c>
      <c r="N30" s="44"/>
      <c r="O30" s="64" t="str">
        <f>$H$30</f>
        <v>Abzüge und Branchenbeiträge</v>
      </c>
      <c r="P30" s="1" t="str">
        <f>'Var Vorgaben'!$F$32</f>
        <v>Tafelkirschen</v>
      </c>
      <c r="Q30" s="4" t="s">
        <v>71</v>
      </c>
      <c r="R30" s="47"/>
      <c r="S30" s="63"/>
      <c r="T30" s="63">
        <f>'Var Vorgaben'!$G$32</f>
        <v>700</v>
      </c>
      <c r="U30" s="1314">
        <f t="shared" si="1"/>
        <v>9.7547963340589242E-3</v>
      </c>
      <c r="V30" s="64" t="str">
        <f>$H$30</f>
        <v>Abzüge und Branchenbeiträge</v>
      </c>
      <c r="W30" s="1" t="str">
        <f>'Var Vorgaben'!$F$32</f>
        <v>Tafelkirschen</v>
      </c>
      <c r="X30" s="4" t="s">
        <v>71</v>
      </c>
      <c r="Y30" s="47"/>
      <c r="Z30" s="63"/>
      <c r="AA30" s="63">
        <f>'Var Vorgaben'!$G$32</f>
        <v>700</v>
      </c>
      <c r="AB30" s="1314">
        <f t="shared" ref="AB30:AB38" si="3">AA30/$AA$68</f>
        <v>2.0211715091144458E-2</v>
      </c>
      <c r="AC30" s="64" t="str">
        <f>$H$30</f>
        <v>Abzüge und Branchenbeiträge</v>
      </c>
      <c r="AD30" s="1" t="str">
        <f>'Var Vorgaben'!$F$32</f>
        <v>Tafelkirschen</v>
      </c>
      <c r="AE30" s="4" t="s">
        <v>71</v>
      </c>
      <c r="AF30" s="47"/>
      <c r="AG30" s="63"/>
      <c r="AH30" s="63">
        <f>'Var Vorgaben'!$G$32</f>
        <v>700</v>
      </c>
      <c r="AI30" s="1314">
        <f t="shared" ref="AI30:AI38" si="4">AH30/$AH$68</f>
        <v>1.270900235862309E-2</v>
      </c>
      <c r="AJ30" s="64" t="str">
        <f>$H$30</f>
        <v>Abzüge und Branchenbeiträge</v>
      </c>
      <c r="AK30" s="1" t="str">
        <f>'Var Vorgaben'!$F$32</f>
        <v>Tafelkirschen</v>
      </c>
      <c r="AL30" s="4" t="s">
        <v>71</v>
      </c>
      <c r="AM30" s="47"/>
      <c r="AN30" s="63"/>
      <c r="AO30" s="63">
        <f>'Var Vorgaben'!$G$32</f>
        <v>700</v>
      </c>
      <c r="AP30" s="44">
        <f t="shared" ref="AP30:AP38" si="5">AO30/$AO$68</f>
        <v>1.104108559240974E-2</v>
      </c>
      <c r="AQ30" s="64" t="str">
        <f>$H$30</f>
        <v>Abzüge und Branchenbeiträge</v>
      </c>
      <c r="AR30" s="1" t="str">
        <f>'Var Vorgaben'!$F$32</f>
        <v>Tafelkirschen</v>
      </c>
      <c r="AS30" s="4" t="s">
        <v>71</v>
      </c>
      <c r="AT30" s="47"/>
      <c r="AU30" s="63"/>
      <c r="AV30" s="63">
        <f>'Var Vorgaben'!$G$32</f>
        <v>700</v>
      </c>
      <c r="AW30" s="44">
        <f t="shared" ref="AW30:AW38" si="6">AV30/$AV$68</f>
        <v>9.8022049211538929E-3</v>
      </c>
      <c r="AX30" s="64" t="str">
        <f>$H$30</f>
        <v>Abzüge und Branchenbeiträge</v>
      </c>
      <c r="AY30" s="1" t="str">
        <f>'Var Vorgaben'!$F$32</f>
        <v>Tafelkirschen</v>
      </c>
      <c r="AZ30" s="4" t="s">
        <v>71</v>
      </c>
      <c r="BA30" s="47"/>
      <c r="BB30" s="63"/>
      <c r="BC30" s="63">
        <f>'Var Vorgaben'!$G$32</f>
        <v>700</v>
      </c>
      <c r="BD30" s="44">
        <f t="shared" ref="BD30:BD38" si="7">BC30/$BC$68</f>
        <v>9.8835645542057274E-3</v>
      </c>
      <c r="BE30" s="64" t="str">
        <f>$H$30</f>
        <v>Abzüge und Branchenbeiträge</v>
      </c>
      <c r="BF30" s="1" t="str">
        <f>'Var Vorgaben'!$F$32</f>
        <v>Tafelkirschen</v>
      </c>
      <c r="BG30" s="4" t="s">
        <v>71</v>
      </c>
      <c r="BH30" s="47"/>
      <c r="BI30" s="63"/>
      <c r="BJ30" s="63">
        <f>'Var Vorgaben'!$G$32</f>
        <v>700</v>
      </c>
      <c r="BK30" s="44">
        <f t="shared" ref="BK30:BK38" si="8">BJ30/$BJ$68</f>
        <v>9.9023199706635614E-3</v>
      </c>
      <c r="BL30" s="64" t="str">
        <f>$H$30</f>
        <v>Abzüge und Branchenbeiträge</v>
      </c>
      <c r="BM30" s="1" t="str">
        <f>'Var Vorgaben'!$F$32</f>
        <v>Tafelkirschen</v>
      </c>
      <c r="BN30" s="4" t="s">
        <v>71</v>
      </c>
      <c r="BO30" s="47"/>
      <c r="BP30" s="63"/>
      <c r="BQ30" s="63">
        <f>'Var Vorgaben'!$G$32</f>
        <v>700</v>
      </c>
      <c r="BR30" s="44">
        <f t="shared" ref="BR30:BR38" si="9">BQ30/$BQ$68</f>
        <v>5.8972073201487606E-3</v>
      </c>
      <c r="BS30" s="64" t="str">
        <f>$H$30</f>
        <v>Abzüge und Branchenbeiträge</v>
      </c>
      <c r="BT30" s="1" t="str">
        <f>'Var Vorgaben'!$F$32</f>
        <v>Tafelkirschen</v>
      </c>
      <c r="BU30" s="4" t="s">
        <v>71</v>
      </c>
      <c r="BV30" s="47"/>
      <c r="BW30" s="63"/>
      <c r="BX30" s="63">
        <f>'Var Vorgaben'!$G$32</f>
        <v>700</v>
      </c>
      <c r="BY30" s="44">
        <f t="shared" ref="BY30:BY38" si="10">BX30/$BX$68</f>
        <v>1.0343541554419182E-2</v>
      </c>
      <c r="BZ30" s="64" t="str">
        <f>$H$30</f>
        <v>Abzüge und Branchenbeiträge</v>
      </c>
      <c r="CA30" s="1" t="str">
        <f>'Var Vorgaben'!$F$32</f>
        <v>Tafelkirschen</v>
      </c>
      <c r="CB30" s="4" t="s">
        <v>71</v>
      </c>
      <c r="CC30" s="47"/>
      <c r="CE30" s="63">
        <f>'Var Vorgaben'!$G$32</f>
        <v>700</v>
      </c>
      <c r="CF30" s="44">
        <f>CE30/$BX$68</f>
        <v>1.0343541554419182E-2</v>
      </c>
      <c r="CG30" s="64" t="str">
        <f>$H$30</f>
        <v>Abzüge und Branchenbeiträge</v>
      </c>
      <c r="CH30" s="1" t="str">
        <f>'Var Vorgaben'!$F$32</f>
        <v>Tafelkirschen</v>
      </c>
      <c r="CI30" s="4" t="s">
        <v>71</v>
      </c>
      <c r="CJ30" s="47"/>
      <c r="CK30" s="63"/>
      <c r="CL30" s="63">
        <f>'Var Vorgaben'!$G$32</f>
        <v>700</v>
      </c>
      <c r="CM30" s="44">
        <f t="shared" ref="CM30:CM38" si="11">CL30/$CL$68</f>
        <v>1.0306707825749935E-2</v>
      </c>
      <c r="CN30" s="64" t="str">
        <f>$H$30</f>
        <v>Abzüge und Branchenbeiträge</v>
      </c>
      <c r="CO30" s="1" t="str">
        <f>'Var Vorgaben'!$F$32</f>
        <v>Tafelkirschen</v>
      </c>
      <c r="CP30" s="4" t="s">
        <v>71</v>
      </c>
      <c r="CQ30" s="47"/>
      <c r="CR30" s="63"/>
      <c r="CS30" s="63">
        <f>'Var Vorgaben'!$G$32</f>
        <v>700</v>
      </c>
      <c r="CT30" s="44">
        <f t="shared" ref="CT30:CT38" si="12">CS30/$CS$68</f>
        <v>1.0393154491505952E-2</v>
      </c>
      <c r="CU30" s="64" t="str">
        <f>$H$30</f>
        <v>Abzüge und Branchenbeiträge</v>
      </c>
      <c r="CV30" s="1" t="str">
        <f>'Var Vorgaben'!$F$32</f>
        <v>Tafelkirschen</v>
      </c>
      <c r="CW30" s="4" t="s">
        <v>71</v>
      </c>
      <c r="CX30" s="47"/>
      <c r="CY30" s="63"/>
      <c r="CZ30" s="63">
        <f>'Var Vorgaben'!$G$32</f>
        <v>700</v>
      </c>
      <c r="DA30" s="44">
        <f t="shared" ref="DA30:DA38" si="13">CZ30/$CZ$68</f>
        <v>1.0926535469515811E-2</v>
      </c>
      <c r="DB30" s="64" t="str">
        <f>$H$30</f>
        <v>Abzüge und Branchenbeiträge</v>
      </c>
      <c r="DC30" s="1" t="str">
        <f>'Var Vorgaben'!$F$32</f>
        <v>Tafelkirschen</v>
      </c>
      <c r="DD30" s="4" t="s">
        <v>71</v>
      </c>
      <c r="DE30" s="47"/>
      <c r="DF30" s="63"/>
      <c r="DG30" s="63">
        <f>'Var Vorgaben'!$G$32</f>
        <v>700</v>
      </c>
      <c r="DH30" s="44">
        <f t="shared" ref="DH30:DH38" si="14">DG30/$DG$68</f>
        <v>1.0478848221631441E-2</v>
      </c>
    </row>
    <row r="31" spans="1:118" ht="18" customHeight="1" x14ac:dyDescent="0.3">
      <c r="B31" s="4" t="str">
        <f>'Var Vorgaben'!$F$33</f>
        <v>Brennkirschen</v>
      </c>
      <c r="C31" s="4" t="s">
        <v>71</v>
      </c>
      <c r="D31" s="47"/>
      <c r="E31" s="63">
        <f>'Var Vorgaben'!$G$33</f>
        <v>2.57</v>
      </c>
      <c r="F31" s="120">
        <f>E31*D10/100</f>
        <v>0</v>
      </c>
      <c r="G31" s="44">
        <f t="shared" si="2"/>
        <v>0</v>
      </c>
      <c r="H31" s="18"/>
      <c r="I31" s="4" t="str">
        <f>'Var Vorgaben'!$F$33</f>
        <v>Brennkirschen</v>
      </c>
      <c r="J31" s="4" t="s">
        <v>71</v>
      </c>
      <c r="K31" s="47"/>
      <c r="L31" s="63">
        <f>'Var Vorgaben'!$G$33</f>
        <v>2.57</v>
      </c>
      <c r="M31" s="120">
        <f>L31*K10/100</f>
        <v>0</v>
      </c>
      <c r="N31" s="44">
        <f t="shared" ref="N31:N38" si="15">M31/$M$68</f>
        <v>0</v>
      </c>
      <c r="O31" s="18"/>
      <c r="P31" s="4" t="str">
        <f>'Var Vorgaben'!$F$33</f>
        <v>Brennkirschen</v>
      </c>
      <c r="Q31" s="4" t="s">
        <v>71</v>
      </c>
      <c r="R31" s="47"/>
      <c r="S31" s="63">
        <f>'Var Vorgaben'!$G$33</f>
        <v>2.57</v>
      </c>
      <c r="T31" s="120">
        <f>S31*R10/100</f>
        <v>0</v>
      </c>
      <c r="U31" s="1314">
        <f t="shared" si="1"/>
        <v>0</v>
      </c>
      <c r="V31" s="18"/>
      <c r="W31" s="4" t="str">
        <f>'Var Vorgaben'!$F$33</f>
        <v>Brennkirschen</v>
      </c>
      <c r="X31" s="4" t="s">
        <v>71</v>
      </c>
      <c r="Y31" s="47"/>
      <c r="Z31" s="63">
        <f>'Var Vorgaben'!$G$33</f>
        <v>2.57</v>
      </c>
      <c r="AA31" s="120">
        <f>Z31*Y11/100</f>
        <v>7.4058319039451126</v>
      </c>
      <c r="AB31" s="1314">
        <f t="shared" si="3"/>
        <v>2.138350920792093E-4</v>
      </c>
      <c r="AC31" s="18"/>
      <c r="AD31" s="4" t="str">
        <f>'Var Vorgaben'!$F$33</f>
        <v>Brennkirschen</v>
      </c>
      <c r="AE31" s="4" t="s">
        <v>71</v>
      </c>
      <c r="AF31" s="47"/>
      <c r="AG31" s="63">
        <f>'Var Vorgaben'!$G$33</f>
        <v>2.57</v>
      </c>
      <c r="AH31" s="120">
        <f>AG31*AF11/100</f>
        <v>16.626092624356776</v>
      </c>
      <c r="AI31" s="1314">
        <f t="shared" si="4"/>
        <v>3.0185864339662321E-4</v>
      </c>
      <c r="AJ31" s="18"/>
      <c r="AK31" s="4" t="str">
        <f>'Var Vorgaben'!$F$33</f>
        <v>Brennkirschen</v>
      </c>
      <c r="AL31" s="4" t="s">
        <v>71</v>
      </c>
      <c r="AM31" s="47"/>
      <c r="AN31" s="63">
        <f>'Var Vorgaben'!$G$33</f>
        <v>2.57</v>
      </c>
      <c r="AO31" s="120">
        <f>AN31*AM11/100</f>
        <v>21.476912521440827</v>
      </c>
      <c r="AP31" s="44">
        <f t="shared" si="5"/>
        <v>3.3875489915703521E-4</v>
      </c>
      <c r="AQ31" s="18"/>
      <c r="AR31" s="4" t="str">
        <f>'Var Vorgaben'!$F$33</f>
        <v>Brennkirschen</v>
      </c>
      <c r="AS31" s="4" t="s">
        <v>71</v>
      </c>
      <c r="AT31" s="47"/>
      <c r="AU31" s="63">
        <f>'Var Vorgaben'!$G$33</f>
        <v>2.57</v>
      </c>
      <c r="AV31" s="120">
        <f>AU31*AT11/100</f>
        <v>25.920411663807894</v>
      </c>
      <c r="AW31" s="44">
        <f t="shared" si="6"/>
        <v>3.6296740967044645E-4</v>
      </c>
      <c r="AX31" s="18"/>
      <c r="AY31" s="4" t="str">
        <f>'Var Vorgaben'!$F$33</f>
        <v>Brennkirschen</v>
      </c>
      <c r="AZ31" s="4" t="s">
        <v>71</v>
      </c>
      <c r="BA31" s="47"/>
      <c r="BB31" s="63">
        <f>'Var Vorgaben'!$G$33</f>
        <v>2.57</v>
      </c>
      <c r="BC31" s="120">
        <f>BB31*BA11/100</f>
        <v>25.920411663807894</v>
      </c>
      <c r="BD31" s="44">
        <f t="shared" si="7"/>
        <v>3.6598008850118914E-4</v>
      </c>
      <c r="BE31" s="18"/>
      <c r="BF31" s="4" t="str">
        <f>'Var Vorgaben'!$F$33</f>
        <v>Brennkirschen</v>
      </c>
      <c r="BG31" s="4" t="s">
        <v>71</v>
      </c>
      <c r="BH31" s="47"/>
      <c r="BI31" s="63">
        <f>'Var Vorgaben'!$G$33</f>
        <v>2.57</v>
      </c>
      <c r="BJ31" s="120">
        <f>BI31*BH11/100</f>
        <v>25.920411663807894</v>
      </c>
      <c r="BK31" s="44">
        <f t="shared" si="8"/>
        <v>3.666745858090652E-4</v>
      </c>
      <c r="BL31" s="18"/>
      <c r="BM31" s="4" t="str">
        <f>'Var Vorgaben'!$F$33</f>
        <v>Brennkirschen</v>
      </c>
      <c r="BN31" s="4" t="s">
        <v>71</v>
      </c>
      <c r="BO31" s="47"/>
      <c r="BP31" s="63">
        <f>'Var Vorgaben'!$G$33</f>
        <v>2.57</v>
      </c>
      <c r="BQ31" s="120">
        <f>BP31*BO11/100</f>
        <v>25.920411663807894</v>
      </c>
      <c r="BR31" s="44">
        <f t="shared" si="9"/>
        <v>2.1836863057868175E-4</v>
      </c>
      <c r="BS31" s="18"/>
      <c r="BT31" s="4" t="str">
        <f>'Var Vorgaben'!$F$33</f>
        <v>Brennkirschen</v>
      </c>
      <c r="BU31" s="4" t="s">
        <v>71</v>
      </c>
      <c r="BV31" s="47"/>
      <c r="BW31" s="63">
        <f>'Var Vorgaben'!$G$33</f>
        <v>2.57</v>
      </c>
      <c r="BX31" s="120">
        <f>BW31*BV11/100</f>
        <v>24.068953687821619</v>
      </c>
      <c r="BY31" s="44">
        <f t="shared" si="10"/>
        <v>3.5565460377339105E-4</v>
      </c>
      <c r="BZ31" s="18"/>
      <c r="CA31" s="4" t="str">
        <f>'Var Vorgaben'!$F$33</f>
        <v>Brennkirschen</v>
      </c>
      <c r="CB31" s="4" t="s">
        <v>71</v>
      </c>
      <c r="CC31" s="47"/>
      <c r="CD31" s="63">
        <f>'Var Vorgaben'!$G$33</f>
        <v>2.57</v>
      </c>
      <c r="CE31" s="120">
        <f>CD31*CC11/100</f>
        <v>24.068953687821619</v>
      </c>
      <c r="CF31" s="44">
        <f t="shared" ref="CF31:CF38" si="16">CE31/$CE$68</f>
        <v>3.5622354103253628E-4</v>
      </c>
      <c r="CG31" s="18"/>
      <c r="CH31" s="4" t="str">
        <f>'Var Vorgaben'!$F$33</f>
        <v>Brennkirschen</v>
      </c>
      <c r="CI31" s="4" t="s">
        <v>71</v>
      </c>
      <c r="CJ31" s="47"/>
      <c r="CK31" s="63">
        <f>'Var Vorgaben'!$G$33</f>
        <v>2.57</v>
      </c>
      <c r="CL31" s="120">
        <f>CK31*CJ11/100</f>
        <v>24.068953687821619</v>
      </c>
      <c r="CM31" s="44">
        <f t="shared" si="11"/>
        <v>3.5438810475983408E-4</v>
      </c>
      <c r="CN31" s="18"/>
      <c r="CO31" s="4" t="str">
        <f>'Var Vorgaben'!$F$33</f>
        <v>Brennkirschen</v>
      </c>
      <c r="CP31" s="4" t="s">
        <v>71</v>
      </c>
      <c r="CQ31" s="47"/>
      <c r="CR31" s="63">
        <f>'Var Vorgaben'!$G$33</f>
        <v>2.57</v>
      </c>
      <c r="CS31" s="120">
        <f>CR31*CQ11/100</f>
        <v>24.068953687821619</v>
      </c>
      <c r="CT31" s="44">
        <f t="shared" si="12"/>
        <v>3.5736050589490288E-4</v>
      </c>
      <c r="CU31" s="18"/>
      <c r="CV31" s="4" t="str">
        <f>'Var Vorgaben'!$F$33</f>
        <v>Brennkirschen</v>
      </c>
      <c r="CW31" s="4" t="s">
        <v>71</v>
      </c>
      <c r="CX31" s="47"/>
      <c r="CY31" s="63">
        <f>'Var Vorgaben'!$G$33</f>
        <v>2.57</v>
      </c>
      <c r="CZ31" s="120">
        <f>CY31*CX11/100</f>
        <v>22.21749571183534</v>
      </c>
      <c r="DA31" s="44">
        <f t="shared" si="13"/>
        <v>3.4680036419883469E-4</v>
      </c>
      <c r="DB31" s="18"/>
      <c r="DC31" s="4" t="str">
        <f>'Var Vorgaben'!$F$33</f>
        <v>Brennkirschen</v>
      </c>
      <c r="DD31" s="4" t="s">
        <v>71</v>
      </c>
      <c r="DE31" s="47"/>
      <c r="DF31" s="63">
        <f>'Var Vorgaben'!$G$33</f>
        <v>2.57</v>
      </c>
      <c r="DG31" s="120">
        <f>DF31*DE11/100</f>
        <v>20.366037735849059</v>
      </c>
      <c r="DH31" s="44">
        <f t="shared" si="14"/>
        <v>3.0487516901425818E-4</v>
      </c>
    </row>
    <row r="32" spans="1:118" ht="18" customHeight="1" thickBot="1" x14ac:dyDescent="0.3">
      <c r="A32" s="135"/>
      <c r="B32" t="str">
        <f>'Var Vorgaben'!$F$34</f>
        <v>Kalibrierungskosten</v>
      </c>
      <c r="C32" s="4" t="s">
        <v>553</v>
      </c>
      <c r="D32" s="1"/>
      <c r="E32" s="1252">
        <f>'Var Vorgaben'!$G$34</f>
        <v>0.65</v>
      </c>
      <c r="F32" s="663">
        <f>E32*D12</f>
        <v>0</v>
      </c>
      <c r="G32" s="44">
        <f t="shared" si="2"/>
        <v>0</v>
      </c>
      <c r="H32" s="135"/>
      <c r="I32" t="str">
        <f>'Var Vorgaben'!$F$34</f>
        <v>Kalibrierungskosten</v>
      </c>
      <c r="J32" s="4" t="s">
        <v>553</v>
      </c>
      <c r="K32" s="1"/>
      <c r="L32" s="1252">
        <f>'Var Vorgaben'!$G$34</f>
        <v>0.65</v>
      </c>
      <c r="M32" s="663">
        <f>L32*K12</f>
        <v>0</v>
      </c>
      <c r="N32" s="44">
        <f>M32/$M$68</f>
        <v>0</v>
      </c>
      <c r="O32" s="135"/>
      <c r="P32" t="str">
        <f>'Var Vorgaben'!$F$34</f>
        <v>Kalibrierungskosten</v>
      </c>
      <c r="Q32" s="4" t="s">
        <v>553</v>
      </c>
      <c r="R32" s="1"/>
      <c r="S32" s="1252">
        <f>'Var Vorgaben'!$G$34</f>
        <v>0.65</v>
      </c>
      <c r="T32" s="663">
        <f>S32*R12</f>
        <v>668.95368782161245</v>
      </c>
      <c r="U32" s="1314">
        <f t="shared" si="1"/>
        <v>9.322152830882089E-3</v>
      </c>
      <c r="V32" s="135"/>
      <c r="W32" t="str">
        <f>'Var Vorgaben'!$F$34</f>
        <v>Kalibrierungskosten</v>
      </c>
      <c r="X32" s="4" t="s">
        <v>553</v>
      </c>
      <c r="Y32" s="1"/>
      <c r="Z32" s="1252">
        <f>'Var Vorgaben'!$G$34</f>
        <v>0.65</v>
      </c>
      <c r="AA32" s="663">
        <f>Z32*Y12</f>
        <v>2675.8147512864498</v>
      </c>
      <c r="AB32" s="1314">
        <f t="shared" si="3"/>
        <v>7.7261150556690417E-2</v>
      </c>
      <c r="AC32" s="135"/>
      <c r="AD32" t="str">
        <f>'Var Vorgaben'!$F$34</f>
        <v>Kalibrierungskosten</v>
      </c>
      <c r="AE32" s="4" t="s">
        <v>553</v>
      </c>
      <c r="AF32" s="1"/>
      <c r="AG32" s="1252">
        <f>'Var Vorgaben'!$G$34</f>
        <v>0.65</v>
      </c>
      <c r="AH32" s="663">
        <f>AG32*AF12</f>
        <v>6007.2041166380786</v>
      </c>
      <c r="AI32" s="1314">
        <f t="shared" si="4"/>
        <v>0.10906510183869098</v>
      </c>
      <c r="AJ32" s="135"/>
      <c r="AK32" t="str">
        <f>'Var Vorgaben'!$F$34</f>
        <v>Kalibrierungskosten</v>
      </c>
      <c r="AL32" s="4" t="s">
        <v>553</v>
      </c>
      <c r="AM32" s="1"/>
      <c r="AN32" s="1252">
        <f>'Var Vorgaben'!$G$34</f>
        <v>0.65</v>
      </c>
      <c r="AO32" s="663">
        <f>AN32*AM12</f>
        <v>7759.8627787307041</v>
      </c>
      <c r="AP32" s="44">
        <f t="shared" si="5"/>
        <v>0.12239615589331454</v>
      </c>
      <c r="AQ32" s="135"/>
      <c r="AR32" t="str">
        <f>'Var Vorgaben'!$F$34</f>
        <v>Kalibrierungskosten</v>
      </c>
      <c r="AS32" s="4" t="s">
        <v>553</v>
      </c>
      <c r="AT32" s="1"/>
      <c r="AU32" s="1252">
        <f>'Var Vorgaben'!$G$34</f>
        <v>0.65</v>
      </c>
      <c r="AV32" s="663">
        <f>AU32*AT12</f>
        <v>9365.3516295025747</v>
      </c>
      <c r="AW32" s="44">
        <f t="shared" si="6"/>
        <v>0.1311444226157811</v>
      </c>
      <c r="AX32" s="135"/>
      <c r="AY32" t="str">
        <f>'Var Vorgaben'!$F$34</f>
        <v>Kalibrierungskosten</v>
      </c>
      <c r="AZ32" s="4" t="s">
        <v>553</v>
      </c>
      <c r="BA32" s="1"/>
      <c r="BB32" s="1252">
        <f>'Var Vorgaben'!$G$34</f>
        <v>0.65</v>
      </c>
      <c r="BC32" s="663">
        <f>BB32*BA12</f>
        <v>9365.3516295025747</v>
      </c>
      <c r="BD32" s="44">
        <f t="shared" si="7"/>
        <v>0.13223293914717785</v>
      </c>
      <c r="BE32" s="135"/>
      <c r="BF32" t="str">
        <f>'Var Vorgaben'!$F$34</f>
        <v>Kalibrierungskosten</v>
      </c>
      <c r="BG32" s="4" t="s">
        <v>553</v>
      </c>
      <c r="BH32" s="1"/>
      <c r="BI32" s="1252">
        <f>'Var Vorgaben'!$G$34</f>
        <v>0.65</v>
      </c>
      <c r="BJ32" s="663">
        <f>BI32*BH12</f>
        <v>9365.3516295025747</v>
      </c>
      <c r="BK32" s="44">
        <f t="shared" si="8"/>
        <v>0.13248386924729982</v>
      </c>
      <c r="BL32" s="135"/>
      <c r="BM32" t="str">
        <f>'Var Vorgaben'!$F$34</f>
        <v>Kalibrierungskosten</v>
      </c>
      <c r="BN32" s="4" t="s">
        <v>553</v>
      </c>
      <c r="BO32" s="1"/>
      <c r="BP32" s="1252">
        <f>'Var Vorgaben'!$G$34</f>
        <v>0.65</v>
      </c>
      <c r="BQ32" s="663">
        <f>BP32*BO12</f>
        <v>9365.3516295025747</v>
      </c>
      <c r="BR32" s="44">
        <f t="shared" si="9"/>
        <v>7.889917169324244E-2</v>
      </c>
      <c r="BS32" s="135"/>
      <c r="BT32" t="str">
        <f>'Var Vorgaben'!$F$34</f>
        <v>Kalibrierungskosten</v>
      </c>
      <c r="BU32" s="4" t="s">
        <v>553</v>
      </c>
      <c r="BV32" s="1"/>
      <c r="BW32" s="1252">
        <f>'Var Vorgaben'!$G$34</f>
        <v>0.65</v>
      </c>
      <c r="BX32" s="663">
        <f>BW32*BV12</f>
        <v>8696.3979416809616</v>
      </c>
      <c r="BY32" s="44">
        <f t="shared" si="10"/>
        <v>0.12850221926220351</v>
      </c>
      <c r="BZ32" s="135"/>
      <c r="CA32" t="str">
        <f>'Var Vorgaben'!$F$34</f>
        <v>Kalibrierungskosten</v>
      </c>
      <c r="CB32" s="4" t="s">
        <v>553</v>
      </c>
      <c r="CC32" s="1"/>
      <c r="CD32" s="1252">
        <f>'Var Vorgaben'!$G$34</f>
        <v>0.65</v>
      </c>
      <c r="CE32" s="663">
        <f>CD32*CC12</f>
        <v>8696.3979416809616</v>
      </c>
      <c r="CF32" s="44">
        <f t="shared" si="16"/>
        <v>0.12870778303009925</v>
      </c>
      <c r="CG32" s="135"/>
      <c r="CH32" t="str">
        <f>'Var Vorgaben'!$F$34</f>
        <v>Kalibrierungskosten</v>
      </c>
      <c r="CI32" s="4" t="s">
        <v>553</v>
      </c>
      <c r="CJ32" s="1"/>
      <c r="CK32" s="1252">
        <f>'Var Vorgaben'!$G$34</f>
        <v>0.65</v>
      </c>
      <c r="CL32" s="663">
        <f>CK32*CJ12</f>
        <v>8696.3979416809616</v>
      </c>
      <c r="CM32" s="44">
        <f t="shared" si="11"/>
        <v>0.12804461817336971</v>
      </c>
      <c r="CN32" s="135"/>
      <c r="CO32" t="str">
        <f>'Var Vorgaben'!$F$34</f>
        <v>Kalibrierungskosten</v>
      </c>
      <c r="CP32" s="4" t="s">
        <v>553</v>
      </c>
      <c r="CQ32" s="1"/>
      <c r="CR32" s="1252">
        <f>'Var Vorgaben'!$G$34</f>
        <v>0.65</v>
      </c>
      <c r="CS32" s="663">
        <f>CR32*CQ12</f>
        <v>8696.3979416809616</v>
      </c>
      <c r="CT32" s="44">
        <f t="shared" si="12"/>
        <v>0.12911858189643516</v>
      </c>
      <c r="CU32" s="135"/>
      <c r="CV32" t="str">
        <f>'Var Vorgaben'!$F$34</f>
        <v>Kalibrierungskosten</v>
      </c>
      <c r="CW32" s="4" t="s">
        <v>553</v>
      </c>
      <c r="CX32" s="1"/>
      <c r="CY32" s="1252">
        <f>'Var Vorgaben'!$G$34</f>
        <v>0.65</v>
      </c>
      <c r="CZ32" s="663">
        <f>CY32*CX12</f>
        <v>8027.4442538593503</v>
      </c>
      <c r="DA32" s="44">
        <f t="shared" si="13"/>
        <v>0.12530307767050725</v>
      </c>
      <c r="DB32" s="135"/>
      <c r="DC32" t="str">
        <f>'Var Vorgaben'!$F$34</f>
        <v>Kalibrierungskosten</v>
      </c>
      <c r="DD32" s="4" t="s">
        <v>553</v>
      </c>
      <c r="DE32" s="1"/>
      <c r="DF32" s="1252">
        <f>'Var Vorgaben'!$G$34</f>
        <v>0.65</v>
      </c>
      <c r="DG32" s="663">
        <f>DF32*DE12</f>
        <v>7358.4905660377372</v>
      </c>
      <c r="DH32" s="44">
        <f t="shared" si="14"/>
        <v>0.11015500825973754</v>
      </c>
    </row>
    <row r="33" spans="1:112" ht="15" customHeight="1" x14ac:dyDescent="0.3">
      <c r="A33" s="150"/>
      <c r="B33"/>
      <c r="C33" s="1"/>
      <c r="D33" s="1"/>
      <c r="E33" s="63"/>
      <c r="F33" s="82">
        <f>SUM(F30:F32)</f>
        <v>700</v>
      </c>
      <c r="G33" s="668">
        <f>F33/$F$68</f>
        <v>6.2589550844830172E-2</v>
      </c>
      <c r="H33" s="150"/>
      <c r="I33"/>
      <c r="J33" s="1"/>
      <c r="K33" s="1"/>
      <c r="L33" s="63"/>
      <c r="M33" s="82">
        <f>SUM(M30:M32)</f>
        <v>700</v>
      </c>
      <c r="N33" s="668">
        <f>M33/$M$68</f>
        <v>6.1092306556729987E-2</v>
      </c>
      <c r="O33" s="150"/>
      <c r="Q33" s="1"/>
      <c r="R33" s="1"/>
      <c r="S33" s="63"/>
      <c r="T33" s="82">
        <f>SUM(T30:T32)</f>
        <v>1368.9536878216124</v>
      </c>
      <c r="U33" s="1314">
        <f t="shared" si="1"/>
        <v>1.9076949164941015E-2</v>
      </c>
      <c r="V33" s="150"/>
      <c r="X33" s="1"/>
      <c r="Y33" s="1"/>
      <c r="Z33" s="63"/>
      <c r="AA33" s="82">
        <f>SUM(AA30:AA32)</f>
        <v>3383.2205831903948</v>
      </c>
      <c r="AB33" s="1314">
        <f t="shared" si="3"/>
        <v>9.7686700739914076E-2</v>
      </c>
      <c r="AC33" s="150"/>
      <c r="AE33" s="1"/>
      <c r="AF33" s="1"/>
      <c r="AG33" s="63"/>
      <c r="AH33" s="82">
        <f>SUM(AH30:AH32)</f>
        <v>6723.8302092624353</v>
      </c>
      <c r="AI33" s="1314">
        <f t="shared" si="4"/>
        <v>0.12207596284071068</v>
      </c>
      <c r="AJ33" s="150"/>
      <c r="AL33" s="1"/>
      <c r="AM33" s="1"/>
      <c r="AN33" s="63"/>
      <c r="AO33" s="82">
        <f>SUM(AO30:AO32)</f>
        <v>8481.3396912521457</v>
      </c>
      <c r="AP33" s="668">
        <f t="shared" si="5"/>
        <v>0.13377599638488133</v>
      </c>
      <c r="AQ33" s="150"/>
      <c r="AS33" s="1"/>
      <c r="AT33" s="1"/>
      <c r="AU33" s="63"/>
      <c r="AV33" s="82">
        <f>SUM(AV30:AV32)</f>
        <v>10091.272041166383</v>
      </c>
      <c r="AW33" s="668">
        <f t="shared" si="6"/>
        <v>0.14130959494660544</v>
      </c>
      <c r="AX33" s="150"/>
      <c r="AZ33" s="1"/>
      <c r="BA33" s="1"/>
      <c r="BB33" s="63"/>
      <c r="BC33" s="82">
        <f>SUM(BC30:BC32)</f>
        <v>10091.272041166383</v>
      </c>
      <c r="BD33" s="668">
        <f t="shared" si="7"/>
        <v>0.14248248378988479</v>
      </c>
      <c r="BE33" s="150"/>
      <c r="BG33" s="1"/>
      <c r="BH33" s="1"/>
      <c r="BI33" s="63"/>
      <c r="BJ33" s="82">
        <f>SUM(BJ30:BJ32)</f>
        <v>10091.272041166383</v>
      </c>
      <c r="BK33" s="668">
        <f t="shared" si="8"/>
        <v>0.14275286380377247</v>
      </c>
      <c r="BL33" s="150"/>
      <c r="BM33" s="1"/>
      <c r="BN33" s="1"/>
      <c r="BO33" s="1"/>
      <c r="BP33" s="63"/>
      <c r="BQ33" s="82">
        <f>SUM(BQ30:BQ32)</f>
        <v>10091.272041166383</v>
      </c>
      <c r="BR33" s="668">
        <f t="shared" si="9"/>
        <v>8.5014747643969879E-2</v>
      </c>
      <c r="BS33" s="150"/>
      <c r="BT33" s="1"/>
      <c r="BU33" s="1"/>
      <c r="BV33" s="1"/>
      <c r="BW33" s="63"/>
      <c r="BX33" s="82">
        <f>SUM(BX30:BX32)</f>
        <v>9420.4668953687833</v>
      </c>
      <c r="BY33" s="668">
        <f t="shared" si="10"/>
        <v>0.1392014154203961</v>
      </c>
      <c r="BZ33" s="150"/>
      <c r="CB33" s="1"/>
      <c r="CC33" s="1"/>
      <c r="CD33" s="63"/>
      <c r="CE33" s="82">
        <f>SUM(CE30:CE32)</f>
        <v>9420.4668953687833</v>
      </c>
      <c r="CF33" s="668">
        <f t="shared" si="16"/>
        <v>0.1394240945897873</v>
      </c>
      <c r="CG33" s="150"/>
      <c r="CH33" s="1"/>
      <c r="CI33" s="1"/>
      <c r="CJ33" s="1"/>
      <c r="CK33" s="63"/>
      <c r="CL33" s="82">
        <f>SUM(CL30:CL32)</f>
        <v>9420.4668953687833</v>
      </c>
      <c r="CM33" s="668">
        <f t="shared" si="11"/>
        <v>0.1387057141038795</v>
      </c>
      <c r="CN33" s="150"/>
      <c r="CP33" s="1"/>
      <c r="CQ33" s="1"/>
      <c r="CR33" s="63"/>
      <c r="CS33" s="82">
        <f>SUM(CS30:CS32)</f>
        <v>9420.4668953687833</v>
      </c>
      <c r="CT33" s="668">
        <f t="shared" si="12"/>
        <v>0.139869096893836</v>
      </c>
      <c r="CU33" s="150"/>
      <c r="CW33" s="1"/>
      <c r="CX33" s="1"/>
      <c r="CY33" s="63"/>
      <c r="CZ33" s="82">
        <f>SUM(CZ30:CZ32)</f>
        <v>8749.6617495711853</v>
      </c>
      <c r="DA33" s="668">
        <f t="shared" si="13"/>
        <v>0.13657641350422189</v>
      </c>
      <c r="DB33" s="150"/>
      <c r="DD33" s="1"/>
      <c r="DE33" s="1"/>
      <c r="DF33" s="63"/>
      <c r="DG33" s="82">
        <f>SUM(DG30:DG32)</f>
        <v>8078.8566037735864</v>
      </c>
      <c r="DH33" s="668">
        <f t="shared" si="14"/>
        <v>0.12093873165038324</v>
      </c>
    </row>
    <row r="34" spans="1:112" ht="14.25" customHeight="1" x14ac:dyDescent="0.3">
      <c r="A34" s="18" t="s">
        <v>231</v>
      </c>
      <c r="B34" s="442">
        <f>'Var Vorgaben'!$C$150</f>
        <v>498.75</v>
      </c>
      <c r="C34" s="443">
        <f>'Var Vorgaben'!$D$150*(1+Eingabeseite!$C$34)</f>
        <v>1.5</v>
      </c>
      <c r="D34" s="108" t="s">
        <v>230</v>
      </c>
      <c r="E34" s="63">
        <f>'Var Vorgaben'!$E$151</f>
        <v>50</v>
      </c>
      <c r="F34" s="121">
        <f>(B34*C34)+E34</f>
        <v>798.125</v>
      </c>
      <c r="G34" s="668">
        <f>F34/$F$68</f>
        <v>7.136326466861441E-2</v>
      </c>
      <c r="H34" s="18" t="s">
        <v>453</v>
      </c>
      <c r="I34" s="442">
        <f>'Var Vorgaben'!$C$150</f>
        <v>498.75</v>
      </c>
      <c r="J34" s="443">
        <f>'Var Vorgaben'!$D$150*(1+Eingabeseite!$C$34)</f>
        <v>1.5</v>
      </c>
      <c r="K34" s="108" t="s">
        <v>230</v>
      </c>
      <c r="L34" s="63">
        <f>'Var Vorgaben'!$E$151</f>
        <v>50</v>
      </c>
      <c r="M34" s="121">
        <f>(I34*J34)+L34</f>
        <v>798.125</v>
      </c>
      <c r="N34" s="668">
        <f>M34/$M$68</f>
        <v>6.9656138815128749E-2</v>
      </c>
      <c r="O34" s="18" t="s">
        <v>231</v>
      </c>
      <c r="P34" s="442">
        <f>'Var Vorgaben'!$C$150</f>
        <v>498.75</v>
      </c>
      <c r="Q34" s="443">
        <f>'Var Vorgaben'!$D$150*(1+Eingabeseite!$C$34)</f>
        <v>1.5</v>
      </c>
      <c r="R34" s="108" t="s">
        <v>230</v>
      </c>
      <c r="S34" s="63">
        <f>'Var Vorgaben'!$E$151</f>
        <v>50</v>
      </c>
      <c r="T34" s="121">
        <f>(P34*Q34)+S34</f>
        <v>798.125</v>
      </c>
      <c r="U34" s="1314">
        <f t="shared" si="1"/>
        <v>1.1122209748743969E-2</v>
      </c>
      <c r="V34" s="18" t="s">
        <v>450</v>
      </c>
      <c r="W34" s="442">
        <f>'Var Vorgaben'!$C$150</f>
        <v>498.75</v>
      </c>
      <c r="X34" s="443">
        <f>'Var Vorgaben'!$D$150*(1+Eingabeseite!$C$34)</f>
        <v>1.5</v>
      </c>
      <c r="Y34" s="108" t="s">
        <v>230</v>
      </c>
      <c r="Z34" s="63">
        <f>'Var Vorgaben'!$E$151</f>
        <v>50</v>
      </c>
      <c r="AA34" s="121">
        <f>(W34*X34)+Z34</f>
        <v>798.125</v>
      </c>
      <c r="AB34" s="1314">
        <f t="shared" si="3"/>
        <v>2.3044964438742387E-2</v>
      </c>
      <c r="AC34" s="18" t="s">
        <v>236</v>
      </c>
      <c r="AD34" s="442">
        <f>'Var Vorgaben'!$C$150</f>
        <v>498.75</v>
      </c>
      <c r="AE34" s="443">
        <f>'Var Vorgaben'!$D$150*(1+Eingabeseite!$C$34)</f>
        <v>1.5</v>
      </c>
      <c r="AF34" s="108" t="s">
        <v>230</v>
      </c>
      <c r="AG34" s="63">
        <f>'Var Vorgaben'!$E$151</f>
        <v>50</v>
      </c>
      <c r="AH34" s="121">
        <f>(AD34*AE34)+AG34</f>
        <v>798.125</v>
      </c>
      <c r="AI34" s="1314">
        <f t="shared" si="4"/>
        <v>1.449053215353722E-2</v>
      </c>
      <c r="AJ34" s="18" t="s">
        <v>236</v>
      </c>
      <c r="AK34" s="442">
        <f>'Var Vorgaben'!$C$150</f>
        <v>498.75</v>
      </c>
      <c r="AL34" s="443">
        <f>'Var Vorgaben'!$D$150*(1+Eingabeseite!$C$34)</f>
        <v>1.5</v>
      </c>
      <c r="AM34" s="108" t="s">
        <v>230</v>
      </c>
      <c r="AN34" s="63">
        <f>'Var Vorgaben'!$E$151</f>
        <v>50</v>
      </c>
      <c r="AO34" s="121">
        <f>(AK34*AL34)+AN34</f>
        <v>798.125</v>
      </c>
      <c r="AP34" s="668">
        <f t="shared" si="5"/>
        <v>1.2588809197774319E-2</v>
      </c>
      <c r="AQ34" s="18" t="s">
        <v>452</v>
      </c>
      <c r="AR34" s="442">
        <f>'Var Vorgaben'!$C$150</f>
        <v>498.75</v>
      </c>
      <c r="AS34" s="443">
        <f>'Var Vorgaben'!$D$150*(1+Eingabeseite!$C$34)</f>
        <v>1.5</v>
      </c>
      <c r="AT34" s="108" t="s">
        <v>230</v>
      </c>
      <c r="AU34" s="63">
        <f>'Var Vorgaben'!$E$151</f>
        <v>50</v>
      </c>
      <c r="AV34" s="121">
        <f>(AR34*AS34)+AU34</f>
        <v>798.125</v>
      </c>
      <c r="AW34" s="668">
        <f t="shared" si="6"/>
        <v>1.1176264003851358E-2</v>
      </c>
      <c r="AX34" s="18" t="s">
        <v>447</v>
      </c>
      <c r="AY34" s="442">
        <f>'Var Vorgaben'!$C$150</f>
        <v>498.75</v>
      </c>
      <c r="AZ34" s="443">
        <f>'Var Vorgaben'!$D$150*(1+Eingabeseite!$C$34)</f>
        <v>1.5</v>
      </c>
      <c r="BA34" s="108" t="s">
        <v>230</v>
      </c>
      <c r="BB34" s="63">
        <f>'Var Vorgaben'!$E$151</f>
        <v>50</v>
      </c>
      <c r="BC34" s="121">
        <f>(AY34*AZ34)+BB34</f>
        <v>798.125</v>
      </c>
      <c r="BD34" s="668">
        <f t="shared" si="7"/>
        <v>1.1269028514036352E-2</v>
      </c>
      <c r="BE34" s="18" t="s">
        <v>451</v>
      </c>
      <c r="BF34" s="442">
        <f>'Var Vorgaben'!$C$150</f>
        <v>498.75</v>
      </c>
      <c r="BG34" s="443">
        <f>'Var Vorgaben'!$D$150*(1+Eingabeseite!$C$34)</f>
        <v>1.5</v>
      </c>
      <c r="BH34" s="108" t="s">
        <v>230</v>
      </c>
      <c r="BI34" s="63">
        <f>'Var Vorgaben'!$E$151</f>
        <v>50</v>
      </c>
      <c r="BJ34" s="267">
        <f>(BF34*BG34)+BI34</f>
        <v>798.125</v>
      </c>
      <c r="BK34" s="668">
        <f t="shared" si="8"/>
        <v>1.1290413037979794E-2</v>
      </c>
      <c r="BL34" s="18" t="s">
        <v>450</v>
      </c>
      <c r="BM34" s="442">
        <f>'Var Vorgaben'!$C$150</f>
        <v>498.75</v>
      </c>
      <c r="BN34" s="443">
        <f>'Var Vorgaben'!$D$150*(1+Eingabeseite!$C$34)</f>
        <v>1.5</v>
      </c>
      <c r="BO34" s="108" t="s">
        <v>230</v>
      </c>
      <c r="BP34" s="63">
        <f>'Var Vorgaben'!$E$151</f>
        <v>50</v>
      </c>
      <c r="BQ34" s="121">
        <f>(BM34*BN34)+BP34</f>
        <v>798.125</v>
      </c>
      <c r="BR34" s="668">
        <f t="shared" si="9"/>
        <v>6.7238694177053282E-3</v>
      </c>
      <c r="BS34" s="18" t="s">
        <v>450</v>
      </c>
      <c r="BT34" s="442">
        <f>'Var Vorgaben'!$C$150</f>
        <v>498.75</v>
      </c>
      <c r="BU34" s="443">
        <f>'Var Vorgaben'!$D$150*(1+Eingabeseite!$C$34)</f>
        <v>1.5</v>
      </c>
      <c r="BV34" s="108" t="s">
        <v>230</v>
      </c>
      <c r="BW34" s="63">
        <f>'Var Vorgaben'!$E$151</f>
        <v>50</v>
      </c>
      <c r="BX34" s="121">
        <f>(BT34*BU34)+BW34</f>
        <v>798.125</v>
      </c>
      <c r="BY34" s="668">
        <f t="shared" si="10"/>
        <v>1.1793484433029728E-2</v>
      </c>
      <c r="BZ34" s="18" t="s">
        <v>449</v>
      </c>
      <c r="CA34" s="442">
        <f>'Var Vorgaben'!$C$150</f>
        <v>498.75</v>
      </c>
      <c r="CB34" s="443">
        <f>'Var Vorgaben'!$D$150*(1+Eingabeseite!$C$34)</f>
        <v>1.5</v>
      </c>
      <c r="CC34" s="108" t="s">
        <v>230</v>
      </c>
      <c r="CD34" s="63">
        <f>'Var Vorgaben'!$E$151</f>
        <v>50</v>
      </c>
      <c r="CE34" s="121">
        <f>(CA34*CB34)+CD34</f>
        <v>798.125</v>
      </c>
      <c r="CF34" s="668">
        <f t="shared" si="16"/>
        <v>1.1812350356984913E-2</v>
      </c>
      <c r="CG34" s="18" t="s">
        <v>448</v>
      </c>
      <c r="CH34" s="442">
        <f>'Var Vorgaben'!$C$150</f>
        <v>498.75</v>
      </c>
      <c r="CI34" s="443">
        <f>'Var Vorgaben'!$D$150*(1+Eingabeseite!$C$34)</f>
        <v>1.5</v>
      </c>
      <c r="CJ34" s="108" t="s">
        <v>230</v>
      </c>
      <c r="CK34" s="63">
        <f>'Var Vorgaben'!$E$151</f>
        <v>50</v>
      </c>
      <c r="CL34" s="121">
        <f>(CH34*CI34)+CK34</f>
        <v>798.125</v>
      </c>
      <c r="CM34" s="668">
        <f t="shared" si="11"/>
        <v>1.175148740489524E-2</v>
      </c>
      <c r="CN34" s="18" t="s">
        <v>446</v>
      </c>
      <c r="CO34" s="442">
        <f>'Var Vorgaben'!$C$150</f>
        <v>498.75</v>
      </c>
      <c r="CP34" s="443">
        <f>'Var Vorgaben'!$D$150*(1+Eingabeseite!$C$34)</f>
        <v>1.5</v>
      </c>
      <c r="CQ34" s="108" t="s">
        <v>230</v>
      </c>
      <c r="CR34" s="63">
        <f>'Var Vorgaben'!$E$151</f>
        <v>50</v>
      </c>
      <c r="CS34" s="121">
        <f>(CO34*CP34)+CR34</f>
        <v>798.125</v>
      </c>
      <c r="CT34" s="668">
        <f t="shared" si="12"/>
        <v>1.1850052040761698E-2</v>
      </c>
      <c r="CU34" s="18" t="s">
        <v>447</v>
      </c>
      <c r="CV34" s="442">
        <f>'Var Vorgaben'!$C$150</f>
        <v>498.75</v>
      </c>
      <c r="CW34" s="443">
        <f>'Var Vorgaben'!$D$150*(1+Eingabeseite!$C$34)</f>
        <v>1.5</v>
      </c>
      <c r="CX34" s="108" t="s">
        <v>230</v>
      </c>
      <c r="CY34" s="63">
        <f>'Var Vorgaben'!$E$151</f>
        <v>50</v>
      </c>
      <c r="CZ34" s="121">
        <f>(CV34*CW34)+CY34</f>
        <v>798.125</v>
      </c>
      <c r="DA34" s="668">
        <f t="shared" si="13"/>
        <v>1.2458201602296153E-2</v>
      </c>
      <c r="DB34" s="18" t="s">
        <v>447</v>
      </c>
      <c r="DC34" s="442">
        <f>'Var Vorgaben'!$C$150</f>
        <v>498.75</v>
      </c>
      <c r="DD34" s="443">
        <f>'Var Vorgaben'!$D$150*(1+Eingabeseite!$C$34)</f>
        <v>1.5</v>
      </c>
      <c r="DE34" s="108" t="s">
        <v>230</v>
      </c>
      <c r="DF34" s="63">
        <f>'Var Vorgaben'!$E$151</f>
        <v>50</v>
      </c>
      <c r="DG34" s="121">
        <f>(DC34*DD34)+DF34</f>
        <v>798.125</v>
      </c>
      <c r="DH34" s="668">
        <f t="shared" si="14"/>
        <v>1.1947758195556562E-2</v>
      </c>
    </row>
    <row r="35" spans="1:112" ht="15" customHeight="1" thickBot="1" x14ac:dyDescent="0.35">
      <c r="A35" s="79" t="s">
        <v>179</v>
      </c>
      <c r="B35" s="80"/>
      <c r="C35" s="234"/>
      <c r="D35" s="80"/>
      <c r="E35" s="233"/>
      <c r="F35" s="1312">
        <f>600</f>
        <v>600</v>
      </c>
      <c r="G35" s="668">
        <f>F35/$F$68</f>
        <v>5.3648186438425866E-2</v>
      </c>
      <c r="H35" s="79" t="s">
        <v>179</v>
      </c>
      <c r="I35" s="80"/>
      <c r="J35" s="234"/>
      <c r="K35" s="80"/>
      <c r="L35" s="233"/>
      <c r="M35" s="162">
        <f>600</f>
        <v>600</v>
      </c>
      <c r="N35" s="668">
        <f>M35/$M$68</f>
        <v>5.2364834191482849E-2</v>
      </c>
      <c r="O35" s="79" t="s">
        <v>179</v>
      </c>
      <c r="P35" s="80"/>
      <c r="Q35" s="234"/>
      <c r="R35" s="80"/>
      <c r="S35" s="233"/>
      <c r="T35" s="162">
        <f>600</f>
        <v>600</v>
      </c>
      <c r="U35" s="1314">
        <f t="shared" si="1"/>
        <v>8.3612540006219351E-3</v>
      </c>
      <c r="V35" s="79" t="s">
        <v>179</v>
      </c>
      <c r="W35" s="80"/>
      <c r="X35" s="234"/>
      <c r="Y35" s="80"/>
      <c r="Z35" s="233"/>
      <c r="AA35" s="665">
        <f>600</f>
        <v>600</v>
      </c>
      <c r="AB35" s="1314">
        <f t="shared" si="3"/>
        <v>1.7324327220980963E-2</v>
      </c>
      <c r="AC35" s="79" t="s">
        <v>179</v>
      </c>
      <c r="AD35" s="80"/>
      <c r="AE35" s="234"/>
      <c r="AF35" s="80"/>
      <c r="AG35" s="233"/>
      <c r="AH35" s="162">
        <f>600</f>
        <v>600</v>
      </c>
      <c r="AI35" s="1314">
        <f t="shared" ref="AI35:AI36" si="17">AH35/$AA$68</f>
        <v>1.7324327220980963E-2</v>
      </c>
      <c r="AJ35" s="79" t="s">
        <v>179</v>
      </c>
      <c r="AK35" s="80"/>
      <c r="AL35" s="234"/>
      <c r="AM35" s="80"/>
      <c r="AN35" s="233"/>
      <c r="AO35" s="162">
        <f>600</f>
        <v>600</v>
      </c>
      <c r="AP35" s="1314">
        <f t="shared" ref="AP35:AP36" si="18">AO35/$AA$68</f>
        <v>1.7324327220980963E-2</v>
      </c>
      <c r="AQ35" s="79" t="s">
        <v>179</v>
      </c>
      <c r="AR35" s="80"/>
      <c r="AS35" s="234"/>
      <c r="AT35" s="80"/>
      <c r="AU35" s="233"/>
      <c r="AV35" s="162">
        <f>600</f>
        <v>600</v>
      </c>
      <c r="AW35" s="1314">
        <f t="shared" ref="AW35:AW36" si="19">AV35/$AA$68</f>
        <v>1.7324327220980963E-2</v>
      </c>
      <c r="AX35" s="79" t="s">
        <v>179</v>
      </c>
      <c r="AY35" s="80"/>
      <c r="AZ35" s="234"/>
      <c r="BA35" s="80"/>
      <c r="BB35" s="233"/>
      <c r="BC35" s="162">
        <f>600</f>
        <v>600</v>
      </c>
      <c r="BD35" s="1314">
        <f t="shared" ref="BD35:BD36" si="20">BC35/$AA$68</f>
        <v>1.7324327220980963E-2</v>
      </c>
      <c r="BE35" s="79" t="s">
        <v>179</v>
      </c>
      <c r="BF35" s="80"/>
      <c r="BG35" s="234"/>
      <c r="BH35" s="80"/>
      <c r="BI35" s="233"/>
      <c r="BJ35" s="162">
        <f>600</f>
        <v>600</v>
      </c>
      <c r="BK35" s="1314">
        <f t="shared" ref="BK35:BK36" si="21">BJ35/$AA$68</f>
        <v>1.7324327220980963E-2</v>
      </c>
      <c r="BL35" s="79" t="s">
        <v>179</v>
      </c>
      <c r="BM35" s="80"/>
      <c r="BN35" s="234"/>
      <c r="BO35" s="80"/>
      <c r="BP35" s="233"/>
      <c r="BQ35" s="162">
        <f>600</f>
        <v>600</v>
      </c>
      <c r="BR35" s="1314">
        <f t="shared" ref="BR35:BR36" si="22">BQ35/$AA$68</f>
        <v>1.7324327220980963E-2</v>
      </c>
      <c r="BS35" s="79" t="s">
        <v>179</v>
      </c>
      <c r="BT35" s="80"/>
      <c r="BU35" s="234"/>
      <c r="BV35" s="80"/>
      <c r="BW35" s="233"/>
      <c r="BX35" s="162">
        <f>600</f>
        <v>600</v>
      </c>
      <c r="BY35" s="1314">
        <f t="shared" ref="BY35:BY36" si="23">BX35/$AA$68</f>
        <v>1.7324327220980963E-2</v>
      </c>
      <c r="BZ35" s="79" t="s">
        <v>179</v>
      </c>
      <c r="CA35" s="80"/>
      <c r="CB35" s="234"/>
      <c r="CC35" s="80"/>
      <c r="CD35" s="233"/>
      <c r="CE35" s="162">
        <f>600</f>
        <v>600</v>
      </c>
      <c r="CF35" s="1314">
        <f t="shared" ref="CF35:CF36" si="24">CE35/$AA$68</f>
        <v>1.7324327220980963E-2</v>
      </c>
      <c r="CG35" s="79" t="s">
        <v>179</v>
      </c>
      <c r="CH35" s="80"/>
      <c r="CI35" s="234"/>
      <c r="CJ35" s="80"/>
      <c r="CK35" s="233"/>
      <c r="CL35" s="162">
        <f>600</f>
        <v>600</v>
      </c>
      <c r="CM35" s="1314">
        <f t="shared" ref="CM35:CM36" si="25">CL35/$AA$68</f>
        <v>1.7324327220980963E-2</v>
      </c>
      <c r="CN35" s="79" t="s">
        <v>179</v>
      </c>
      <c r="CO35" s="80"/>
      <c r="CP35" s="234"/>
      <c r="CQ35" s="80"/>
      <c r="CR35" s="233"/>
      <c r="CS35" s="162">
        <f>600</f>
        <v>600</v>
      </c>
      <c r="CT35" s="1314">
        <f t="shared" ref="CT35:CT36" si="26">CS35/$AA$68</f>
        <v>1.7324327220980963E-2</v>
      </c>
      <c r="CU35" s="79" t="s">
        <v>179</v>
      </c>
      <c r="CV35" s="80"/>
      <c r="CW35" s="234"/>
      <c r="CX35" s="80"/>
      <c r="CY35" s="233"/>
      <c r="CZ35" s="162">
        <f>600</f>
        <v>600</v>
      </c>
      <c r="DA35" s="1314">
        <f t="shared" ref="DA35:DA36" si="27">CZ35/$AA$68</f>
        <v>1.7324327220980963E-2</v>
      </c>
      <c r="DB35" s="79" t="s">
        <v>179</v>
      </c>
      <c r="DC35" s="80"/>
      <c r="DD35" s="234"/>
      <c r="DE35" s="80"/>
      <c r="DF35" s="233"/>
      <c r="DG35" s="162">
        <f>600</f>
        <v>600</v>
      </c>
      <c r="DH35" s="1314">
        <f t="shared" ref="DH35:DH36" si="28">DG35/$AA$68</f>
        <v>1.7324327220980963E-2</v>
      </c>
    </row>
    <row r="36" spans="1:112" ht="15" customHeight="1" x14ac:dyDescent="0.3">
      <c r="A36" s="79" t="str">
        <f>'Var Vorgaben'!$A$159</f>
        <v>Frostbekämpfung - Forstversicherung</v>
      </c>
      <c r="B36" s="80"/>
      <c r="C36" s="234"/>
      <c r="D36" s="80"/>
      <c r="E36" s="233"/>
      <c r="F36" s="1312">
        <v>0</v>
      </c>
      <c r="G36" s="668">
        <f>F36/$F$68</f>
        <v>0</v>
      </c>
      <c r="H36" s="79" t="str">
        <f>'Var Vorgaben'!$A$159</f>
        <v>Frostbekämpfung - Forstversicherung</v>
      </c>
      <c r="I36" s="80"/>
      <c r="J36" s="234"/>
      <c r="K36" s="80"/>
      <c r="L36" s="233"/>
      <c r="M36" s="1312">
        <v>0</v>
      </c>
      <c r="N36" s="668">
        <f t="shared" si="15"/>
        <v>0</v>
      </c>
      <c r="O36" s="79" t="str">
        <f>'Var Vorgaben'!$A$159</f>
        <v>Frostbekämpfung - Forstversicherung</v>
      </c>
      <c r="P36" s="80"/>
      <c r="Q36" s="234"/>
      <c r="R36" s="80"/>
      <c r="S36" s="233"/>
      <c r="T36" s="1312">
        <v>0</v>
      </c>
      <c r="U36" s="1314">
        <f t="shared" si="1"/>
        <v>0</v>
      </c>
      <c r="V36" s="79" t="str">
        <f>'Var Vorgaben'!$A$159</f>
        <v>Frostbekämpfung - Forstversicherung</v>
      </c>
      <c r="W36" s="80"/>
      <c r="X36" s="234"/>
      <c r="Y36" s="80"/>
      <c r="Z36" s="233"/>
      <c r="AA36" s="1312">
        <v>0</v>
      </c>
      <c r="AB36" s="1314">
        <f t="shared" si="3"/>
        <v>0</v>
      </c>
      <c r="AC36" s="79" t="str">
        <f>'Var Vorgaben'!$A$159</f>
        <v>Frostbekämpfung - Forstversicherung</v>
      </c>
      <c r="AD36" s="80"/>
      <c r="AE36" s="234"/>
      <c r="AF36" s="80"/>
      <c r="AG36" s="233"/>
      <c r="AH36" s="1312">
        <f>'Var Vorgaben'!$B$159</f>
        <v>5000</v>
      </c>
      <c r="AI36" s="1314">
        <f t="shared" si="17"/>
        <v>0.14436939350817471</v>
      </c>
      <c r="AJ36" s="79" t="str">
        <f>'Var Vorgaben'!$A$159</f>
        <v>Frostbekämpfung - Forstversicherung</v>
      </c>
      <c r="AK36" s="80"/>
      <c r="AL36" s="234"/>
      <c r="AM36" s="80"/>
      <c r="AN36" s="233"/>
      <c r="AO36" s="1312">
        <f>'Var Vorgaben'!$B$159</f>
        <v>5000</v>
      </c>
      <c r="AP36" s="1314">
        <f t="shared" si="18"/>
        <v>0.14436939350817471</v>
      </c>
      <c r="AQ36" s="79" t="str">
        <f>'Var Vorgaben'!$A$159</f>
        <v>Frostbekämpfung - Forstversicherung</v>
      </c>
      <c r="AR36" s="80"/>
      <c r="AS36" s="234"/>
      <c r="AT36" s="80"/>
      <c r="AU36" s="233"/>
      <c r="AV36" s="1312">
        <f>'Var Vorgaben'!$B$159</f>
        <v>5000</v>
      </c>
      <c r="AW36" s="1314">
        <f t="shared" si="19"/>
        <v>0.14436939350817471</v>
      </c>
      <c r="AX36" s="79" t="str">
        <f>'Var Vorgaben'!$A$159</f>
        <v>Frostbekämpfung - Forstversicherung</v>
      </c>
      <c r="AY36" s="80"/>
      <c r="AZ36" s="234"/>
      <c r="BA36" s="80"/>
      <c r="BB36" s="233"/>
      <c r="BC36" s="1312">
        <f>'Var Vorgaben'!$B$159</f>
        <v>5000</v>
      </c>
      <c r="BD36" s="1314">
        <f t="shared" si="20"/>
        <v>0.14436939350817471</v>
      </c>
      <c r="BE36" s="79" t="str">
        <f>'Var Vorgaben'!$A$159</f>
        <v>Frostbekämpfung - Forstversicherung</v>
      </c>
      <c r="BF36" s="80"/>
      <c r="BG36" s="234"/>
      <c r="BH36" s="80"/>
      <c r="BI36" s="233"/>
      <c r="BJ36" s="1312">
        <f>'Var Vorgaben'!$B$159</f>
        <v>5000</v>
      </c>
      <c r="BK36" s="1314">
        <f t="shared" si="21"/>
        <v>0.14436939350817471</v>
      </c>
      <c r="BL36" s="79" t="str">
        <f>'Var Vorgaben'!$A$159</f>
        <v>Frostbekämpfung - Forstversicherung</v>
      </c>
      <c r="BM36" s="80"/>
      <c r="BN36" s="234"/>
      <c r="BO36" s="80"/>
      <c r="BP36" s="233"/>
      <c r="BQ36" s="1312">
        <f>'Var Vorgaben'!$B$159</f>
        <v>5000</v>
      </c>
      <c r="BR36" s="1314">
        <f t="shared" si="22"/>
        <v>0.14436939350817471</v>
      </c>
      <c r="BS36" s="79" t="str">
        <f>'Var Vorgaben'!$A$159</f>
        <v>Frostbekämpfung - Forstversicherung</v>
      </c>
      <c r="BT36" s="80"/>
      <c r="BU36" s="234"/>
      <c r="BV36" s="80"/>
      <c r="BW36" s="233"/>
      <c r="BX36" s="1312">
        <f>'Var Vorgaben'!$B$159</f>
        <v>5000</v>
      </c>
      <c r="BY36" s="1314">
        <f t="shared" si="23"/>
        <v>0.14436939350817471</v>
      </c>
      <c r="BZ36" s="79" t="str">
        <f>'Var Vorgaben'!$A$159</f>
        <v>Frostbekämpfung - Forstversicherung</v>
      </c>
      <c r="CA36" s="80"/>
      <c r="CB36" s="234"/>
      <c r="CC36" s="80"/>
      <c r="CD36" s="233"/>
      <c r="CE36" s="1312">
        <f>'Var Vorgaben'!$B$159</f>
        <v>5000</v>
      </c>
      <c r="CF36" s="1314">
        <f t="shared" si="24"/>
        <v>0.14436939350817471</v>
      </c>
      <c r="CG36" s="79" t="str">
        <f>'Var Vorgaben'!$A$159</f>
        <v>Frostbekämpfung - Forstversicherung</v>
      </c>
      <c r="CH36" s="80"/>
      <c r="CI36" s="234"/>
      <c r="CJ36" s="80"/>
      <c r="CK36" s="233"/>
      <c r="CL36" s="1312">
        <f>'Var Vorgaben'!$B$159</f>
        <v>5000</v>
      </c>
      <c r="CM36" s="1314">
        <f t="shared" si="25"/>
        <v>0.14436939350817471</v>
      </c>
      <c r="CN36" s="79" t="str">
        <f>'Var Vorgaben'!$A$159</f>
        <v>Frostbekämpfung - Forstversicherung</v>
      </c>
      <c r="CO36" s="80"/>
      <c r="CP36" s="234"/>
      <c r="CQ36" s="80"/>
      <c r="CR36" s="233"/>
      <c r="CS36" s="1312">
        <f>'Var Vorgaben'!$B$159</f>
        <v>5000</v>
      </c>
      <c r="CT36" s="1314">
        <f t="shared" si="26"/>
        <v>0.14436939350817471</v>
      </c>
      <c r="CU36" s="79" t="str">
        <f>'Var Vorgaben'!$A$159</f>
        <v>Frostbekämpfung - Forstversicherung</v>
      </c>
      <c r="CV36" s="80"/>
      <c r="CW36" s="234"/>
      <c r="CX36" s="80"/>
      <c r="CY36" s="233"/>
      <c r="CZ36" s="1312">
        <f>'Var Vorgaben'!$B$159</f>
        <v>5000</v>
      </c>
      <c r="DA36" s="1314">
        <f t="shared" si="27"/>
        <v>0.14436939350817471</v>
      </c>
      <c r="DB36" s="79" t="str">
        <f>'Var Vorgaben'!$A$159</f>
        <v>Frostbekämpfung - Forstversicherung</v>
      </c>
      <c r="DC36" s="80"/>
      <c r="DD36" s="234"/>
      <c r="DE36" s="80"/>
      <c r="DF36" s="233"/>
      <c r="DG36" s="1312">
        <f>'Var Vorgaben'!$B$159</f>
        <v>5000</v>
      </c>
      <c r="DH36" s="1314">
        <f t="shared" si="28"/>
        <v>0.14436939350817471</v>
      </c>
    </row>
    <row r="37" spans="1:112" s="907" customFormat="1" ht="18.75" customHeight="1" x14ac:dyDescent="0.3">
      <c r="A37" s="604" t="s">
        <v>357</v>
      </c>
      <c r="B37" s="605"/>
      <c r="C37" s="610"/>
      <c r="D37" s="610"/>
      <c r="E37" s="611"/>
      <c r="F37" s="667">
        <f>F19+F26+F28+F33+F34+F35+F36</f>
        <v>2823.125</v>
      </c>
      <c r="G37" s="1313">
        <f>G35+G26+G27+G34+G33+G28+G19+G36</f>
        <v>0.25242589389830172</v>
      </c>
      <c r="H37" s="604" t="s">
        <v>357</v>
      </c>
      <c r="I37" s="605"/>
      <c r="J37" s="610"/>
      <c r="K37" s="610"/>
      <c r="L37" s="611"/>
      <c r="M37" s="667">
        <f>M19+M26+M28+M33+M34+M35+M36</f>
        <v>2963.125</v>
      </c>
      <c r="N37" s="1313">
        <f>N35+N26+N27+N34+N33+N28+N19+N36</f>
        <v>0.26026357884169743</v>
      </c>
      <c r="O37" s="604" t="s">
        <v>357</v>
      </c>
      <c r="P37" s="605"/>
      <c r="Q37" s="610"/>
      <c r="R37" s="610"/>
      <c r="S37" s="611"/>
      <c r="T37" s="667">
        <f>T19+T26+T27+T28+T33+T34+T35+T36</f>
        <v>50802.578687821609</v>
      </c>
      <c r="U37" s="1313">
        <f>U35+U26+U27+U34+U33+U28+U19+U36</f>
        <v>0.74530157891059445</v>
      </c>
      <c r="V37" s="604" t="s">
        <v>357</v>
      </c>
      <c r="W37" s="605"/>
      <c r="X37" s="610"/>
      <c r="Y37" s="610"/>
      <c r="Z37" s="611"/>
      <c r="AA37" s="667">
        <f>AA19+AA26+AA27+AA28+AA33+AA34+AA35+AA36</f>
        <v>8523.8455831903957</v>
      </c>
      <c r="AB37" s="1313">
        <f>AB35+AB26+AB27+AB34+AB33+AB28+AB19+AB36</f>
        <v>0.24611648344050621</v>
      </c>
      <c r="AC37" s="604" t="s">
        <v>357</v>
      </c>
      <c r="AD37" s="605"/>
      <c r="AE37" s="610"/>
      <c r="AF37" s="610"/>
      <c r="AG37" s="611"/>
      <c r="AH37" s="667">
        <f>AH19+AH26+AH27+AH28+AH33+AH34+AH35+AH36</f>
        <v>16464.455209262436</v>
      </c>
      <c r="AI37" s="1313">
        <f>AI35+AI26+AI27+AI34+AI33+AI28+AI19+AI36</f>
        <v>0.35098086578228721</v>
      </c>
      <c r="AJ37" s="604" t="s">
        <v>357</v>
      </c>
      <c r="AK37" s="605"/>
      <c r="AL37" s="610"/>
      <c r="AM37" s="610"/>
      <c r="AN37" s="611"/>
      <c r="AO37" s="667">
        <f>AO19+AO26+AO27+AO28+AO33+AO34+AO35+AO36</f>
        <v>18221.964691252146</v>
      </c>
      <c r="AP37" s="1313">
        <f>AP35+AP26+AP27+AP34+AP33+AP28+AP19+AP36</f>
        <v>0.35877171940564534</v>
      </c>
      <c r="AQ37" s="604" t="s">
        <v>357</v>
      </c>
      <c r="AR37" s="605"/>
      <c r="AS37" s="610"/>
      <c r="AT37" s="610"/>
      <c r="AU37" s="611"/>
      <c r="AV37" s="667">
        <f>AV19+AV26+AV27+AV28+AV33+AV34+AV35+AV36</f>
        <v>20231.897041166383</v>
      </c>
      <c r="AW37" s="1313">
        <f>AW35+AW26+AW27+AW34+AW33+AW28+AW19+AW36</f>
        <v>0.36900295134905864</v>
      </c>
      <c r="AX37" s="604" t="s">
        <v>357</v>
      </c>
      <c r="AY37" s="605"/>
      <c r="AZ37" s="610"/>
      <c r="BA37" s="610"/>
      <c r="BB37" s="611"/>
      <c r="BC37" s="667">
        <f>BC19+BC26+BC27+BC28+BC33+BC34+BC35+BC36</f>
        <v>19831.897041166383</v>
      </c>
      <c r="BD37" s="1313">
        <f>BD35+BD26+BD27+BD34+BD33+BD28+BD19+BD36</f>
        <v>0.36476526687735811</v>
      </c>
      <c r="BE37" s="604" t="s">
        <v>357</v>
      </c>
      <c r="BF37" s="605"/>
      <c r="BG37" s="610"/>
      <c r="BH37" s="610"/>
      <c r="BI37" s="611"/>
      <c r="BJ37" s="667">
        <f>BJ19+BJ26+BJ27+BJ28+BJ33+BJ34+BJ35+BJ36</f>
        <v>19831.897041166383</v>
      </c>
      <c r="BK37" s="1313">
        <f>BK35+BK26+BK27+BK34+BK33+BK28+BK19+BK36</f>
        <v>0.36507960489856889</v>
      </c>
      <c r="BL37" s="604" t="s">
        <v>357</v>
      </c>
      <c r="BM37" s="605"/>
      <c r="BN37" s="610"/>
      <c r="BO37" s="610"/>
      <c r="BP37" s="611"/>
      <c r="BQ37" s="667">
        <f>BQ19+BQ26+BQ27+BQ28+BQ33+BQ34+BQ35+BQ36</f>
        <v>64977.397041166383</v>
      </c>
      <c r="BR37" s="1313">
        <f>BR35+BR26+BR27+BR34+BR33+BR28+BR19+BR36</f>
        <v>0.67828646749523069</v>
      </c>
      <c r="BS37" s="604" t="s">
        <v>357</v>
      </c>
      <c r="BT37" s="605"/>
      <c r="BU37" s="610"/>
      <c r="BV37" s="610"/>
      <c r="BW37" s="611"/>
      <c r="BX37" s="667">
        <f>BX19+BX26+BX27+BX28+BX33+BX34+BX35+BX36</f>
        <v>19161.091895368783</v>
      </c>
      <c r="BY37" s="1313">
        <f>BY35+BY26+BY27+BY34+BY33+BY28+BY19+BY36</f>
        <v>0.36256226960211974</v>
      </c>
      <c r="BZ37" s="604" t="s">
        <v>357</v>
      </c>
      <c r="CA37" s="605"/>
      <c r="CB37" s="610"/>
      <c r="CC37" s="610"/>
      <c r="CD37" s="611"/>
      <c r="CE37" s="667">
        <f>CE19+CE26+CE27+CE28+CE33+CE34+CE35+CE36</f>
        <v>19161.091895368783</v>
      </c>
      <c r="CF37" s="1313">
        <f>CF35+CF26+CF27+CF34+CF33+CF28+CF19+CF36</f>
        <v>0.36282372954706488</v>
      </c>
      <c r="CG37" s="604" t="s">
        <v>357</v>
      </c>
      <c r="CH37" s="605"/>
      <c r="CI37" s="610"/>
      <c r="CJ37" s="610"/>
      <c r="CK37" s="611"/>
      <c r="CL37" s="667">
        <f>CL19+CL26+CL27+CL28+CL33+CL34+CL35+CL36</f>
        <v>19561.091895368783</v>
      </c>
      <c r="CM37" s="1313">
        <f>CM35+CM26+CM27+CM34+CM33+CM28+CM19+CM36</f>
        <v>0.3678697865630346</v>
      </c>
      <c r="CN37" s="604" t="s">
        <v>357</v>
      </c>
      <c r="CO37" s="605"/>
      <c r="CP37" s="610"/>
      <c r="CQ37" s="610"/>
      <c r="CR37" s="611"/>
      <c r="CS37" s="667">
        <f>CS19+CS26+CS27+CS28+CS33+CS34+CS35+CS36</f>
        <v>19161.091895368783</v>
      </c>
      <c r="CT37" s="1313">
        <f>CT35+CT26+CT27+CT34+CT33+CT28+CT19+CT36</f>
        <v>0.36334623139685673</v>
      </c>
      <c r="CU37" s="604" t="s">
        <v>357</v>
      </c>
      <c r="CV37" s="605"/>
      <c r="CW37" s="610"/>
      <c r="CX37" s="610"/>
      <c r="CY37" s="611"/>
      <c r="CZ37" s="667">
        <f>CZ19+CZ26+CZ27+CZ28+CZ33+CZ34+CZ35+CZ36</f>
        <v>18490.286749571183</v>
      </c>
      <c r="DA37" s="1313">
        <f>DA35+DA26+DA27+DA34+DA33+DA28+DA19+DA36</f>
        <v>0.36130365967445321</v>
      </c>
      <c r="DB37" s="604" t="s">
        <v>357</v>
      </c>
      <c r="DC37" s="605"/>
      <c r="DD37" s="610"/>
      <c r="DE37" s="610"/>
      <c r="DF37" s="611"/>
      <c r="DG37" s="667">
        <f>DG19+DG26+DG27+DG28+DG33+DG34+DG35+DG36</f>
        <v>17819.481603773587</v>
      </c>
      <c r="DH37" s="1313">
        <f>DH35+DH26+DH27+DH34+DH33+DH28+DH19+DH36</f>
        <v>0.34461671083338563</v>
      </c>
    </row>
    <row r="38" spans="1:112" ht="18.75" customHeight="1" x14ac:dyDescent="0.3">
      <c r="A38" s="18" t="s">
        <v>109</v>
      </c>
      <c r="B38"/>
      <c r="C38" s="112" t="s">
        <v>72</v>
      </c>
      <c r="D38" s="151">
        <v>30</v>
      </c>
      <c r="E38" s="95">
        <v>21</v>
      </c>
      <c r="F38" s="82">
        <f>D38*E38</f>
        <v>630</v>
      </c>
      <c r="G38" s="668">
        <f t="shared" si="2"/>
        <v>5.6330595760347157E-2</v>
      </c>
      <c r="H38" s="18" t="s">
        <v>109</v>
      </c>
      <c r="I38"/>
      <c r="J38" s="112" t="s">
        <v>72</v>
      </c>
      <c r="K38" s="151">
        <v>30</v>
      </c>
      <c r="L38" s="63">
        <f>$E$38</f>
        <v>21</v>
      </c>
      <c r="M38" s="82">
        <f>K38*L38*0.5</f>
        <v>315</v>
      </c>
      <c r="N38" s="668">
        <f t="shared" si="15"/>
        <v>2.7491537950528496E-2</v>
      </c>
      <c r="O38" s="18" t="s">
        <v>109</v>
      </c>
      <c r="Q38" s="112" t="s">
        <v>72</v>
      </c>
      <c r="R38" s="151">
        <v>30</v>
      </c>
      <c r="S38" s="63">
        <f>$E$38</f>
        <v>21</v>
      </c>
      <c r="T38" s="82">
        <f>R38*S38</f>
        <v>630</v>
      </c>
      <c r="U38" s="668">
        <f>T38/$T$68</f>
        <v>8.7793167006530309E-3</v>
      </c>
      <c r="V38" s="18" t="s">
        <v>216</v>
      </c>
      <c r="X38" s="112" t="s">
        <v>72</v>
      </c>
      <c r="Y38" s="151">
        <v>30</v>
      </c>
      <c r="Z38" s="63">
        <f>$E$38</f>
        <v>21</v>
      </c>
      <c r="AA38" s="82">
        <f>Y38*Z38</f>
        <v>630</v>
      </c>
      <c r="AB38" s="668">
        <f t="shared" si="3"/>
        <v>1.8190543582030011E-2</v>
      </c>
      <c r="AC38" s="18" t="s">
        <v>216</v>
      </c>
      <c r="AE38" s="112" t="s">
        <v>72</v>
      </c>
      <c r="AF38" s="151">
        <v>30</v>
      </c>
      <c r="AG38" s="63">
        <f>$E$38</f>
        <v>21</v>
      </c>
      <c r="AH38" s="82">
        <f>AF38*AG38</f>
        <v>630</v>
      </c>
      <c r="AI38" s="668">
        <f t="shared" si="4"/>
        <v>1.1438102122760781E-2</v>
      </c>
      <c r="AJ38" s="18" t="s">
        <v>216</v>
      </c>
      <c r="AL38" s="112" t="s">
        <v>72</v>
      </c>
      <c r="AM38" s="151">
        <v>30</v>
      </c>
      <c r="AN38" s="63">
        <f>$E$38</f>
        <v>21</v>
      </c>
      <c r="AO38" s="82">
        <f>AM38*AN38</f>
        <v>630</v>
      </c>
      <c r="AP38" s="668">
        <f t="shared" si="5"/>
        <v>9.936977033168766E-3</v>
      </c>
      <c r="AQ38" s="18" t="s">
        <v>216</v>
      </c>
      <c r="AS38" s="112" t="s">
        <v>72</v>
      </c>
      <c r="AT38" s="151">
        <v>30</v>
      </c>
      <c r="AU38" s="63">
        <f>$E$38</f>
        <v>21</v>
      </c>
      <c r="AV38" s="82">
        <f>AT38*AU38</f>
        <v>630</v>
      </c>
      <c r="AW38" s="668">
        <f t="shared" si="6"/>
        <v>8.8219844290385041E-3</v>
      </c>
      <c r="AX38" s="18" t="s">
        <v>216</v>
      </c>
      <c r="AZ38" s="112" t="s">
        <v>72</v>
      </c>
      <c r="BA38" s="151">
        <v>30</v>
      </c>
      <c r="BB38" s="63">
        <f>$E$38</f>
        <v>21</v>
      </c>
      <c r="BC38" s="82">
        <f>BA38*BB38</f>
        <v>630</v>
      </c>
      <c r="BD38" s="668">
        <f t="shared" si="7"/>
        <v>8.8952080987851553E-3</v>
      </c>
      <c r="BE38" s="18" t="s">
        <v>216</v>
      </c>
      <c r="BG38" s="112" t="s">
        <v>72</v>
      </c>
      <c r="BH38" s="151">
        <v>30</v>
      </c>
      <c r="BI38" s="63">
        <f>$E$38</f>
        <v>21</v>
      </c>
      <c r="BJ38" s="82">
        <f>BH38*BI38</f>
        <v>630</v>
      </c>
      <c r="BK38" s="668">
        <f t="shared" si="8"/>
        <v>8.9120879735972054E-3</v>
      </c>
      <c r="BL38" s="18" t="s">
        <v>216</v>
      </c>
      <c r="BN38" s="112" t="s">
        <v>72</v>
      </c>
      <c r="BO38" s="151">
        <v>30</v>
      </c>
      <c r="BP38" s="63">
        <f>$E$38</f>
        <v>21</v>
      </c>
      <c r="BQ38" s="82">
        <f>BO38*BP38</f>
        <v>630</v>
      </c>
      <c r="BR38" s="668">
        <f t="shared" si="9"/>
        <v>5.3074865881338846E-3</v>
      </c>
      <c r="BS38" s="18" t="s">
        <v>216</v>
      </c>
      <c r="BU38" s="112" t="s">
        <v>72</v>
      </c>
      <c r="BV38" s="151">
        <v>30</v>
      </c>
      <c r="BW38" s="63">
        <f>$E$38</f>
        <v>21</v>
      </c>
      <c r="BX38" s="82">
        <f>BV38*BW38</f>
        <v>630</v>
      </c>
      <c r="BY38" s="668">
        <f t="shared" si="10"/>
        <v>9.3091873989772627E-3</v>
      </c>
      <c r="BZ38" s="18" t="s">
        <v>216</v>
      </c>
      <c r="CB38" s="112" t="s">
        <v>72</v>
      </c>
      <c r="CC38" s="151">
        <v>30</v>
      </c>
      <c r="CD38" s="63">
        <f>$E$38</f>
        <v>21</v>
      </c>
      <c r="CE38" s="82">
        <f>CC38*CD38</f>
        <v>630</v>
      </c>
      <c r="CF38" s="668">
        <f t="shared" si="16"/>
        <v>9.3240792167899704E-3</v>
      </c>
      <c r="CG38" s="18" t="s">
        <v>216</v>
      </c>
      <c r="CI38" s="112" t="s">
        <v>72</v>
      </c>
      <c r="CJ38" s="151">
        <v>30</v>
      </c>
      <c r="CK38" s="63">
        <f>$E$38</f>
        <v>21</v>
      </c>
      <c r="CL38" s="82">
        <f>CJ38*CK38</f>
        <v>630</v>
      </c>
      <c r="CM38" s="668">
        <f t="shared" si="11"/>
        <v>9.2760370431749419E-3</v>
      </c>
      <c r="CN38" s="18" t="s">
        <v>216</v>
      </c>
      <c r="CP38" s="112" t="s">
        <v>72</v>
      </c>
      <c r="CQ38" s="151">
        <v>30</v>
      </c>
      <c r="CR38" s="63">
        <f>$E$38</f>
        <v>21</v>
      </c>
      <c r="CS38" s="82">
        <f>CQ38*CR38</f>
        <v>630</v>
      </c>
      <c r="CT38" s="668">
        <f t="shared" si="12"/>
        <v>9.3538390423553563E-3</v>
      </c>
      <c r="CU38" s="18" t="s">
        <v>216</v>
      </c>
      <c r="CW38" s="112" t="s">
        <v>72</v>
      </c>
      <c r="CX38" s="151">
        <v>30</v>
      </c>
      <c r="CY38" s="63">
        <f>$E$38</f>
        <v>21</v>
      </c>
      <c r="CZ38" s="82">
        <f>CX38*CY38</f>
        <v>630</v>
      </c>
      <c r="DA38" s="668">
        <f t="shared" si="13"/>
        <v>9.8338819225642308E-3</v>
      </c>
      <c r="DB38" s="18" t="s">
        <v>216</v>
      </c>
      <c r="DD38" s="112" t="s">
        <v>72</v>
      </c>
      <c r="DE38" s="151">
        <v>30</v>
      </c>
      <c r="DF38" s="63">
        <f>$E$38</f>
        <v>21</v>
      </c>
      <c r="DG38" s="82">
        <f>DE38*DF38</f>
        <v>630</v>
      </c>
      <c r="DH38" s="668">
        <f t="shared" si="14"/>
        <v>9.4309633994682958E-3</v>
      </c>
    </row>
    <row r="39" spans="1:112" ht="17.5" customHeight="1" x14ac:dyDescent="0.25">
      <c r="A39"/>
      <c r="B39"/>
      <c r="C39" s="50" t="s">
        <v>18</v>
      </c>
      <c r="D39" s="123" t="s">
        <v>27</v>
      </c>
      <c r="E39" s="10" t="s">
        <v>73</v>
      </c>
      <c r="F39" s="124" t="s">
        <v>29</v>
      </c>
      <c r="G39" s="44"/>
      <c r="H39"/>
      <c r="I39"/>
      <c r="J39" s="50" t="s">
        <v>18</v>
      </c>
      <c r="K39" s="123" t="s">
        <v>27</v>
      </c>
      <c r="L39" s="10" t="s">
        <v>73</v>
      </c>
      <c r="M39" s="124" t="s">
        <v>29</v>
      </c>
      <c r="N39" s="44"/>
      <c r="Q39" s="50" t="s">
        <v>18</v>
      </c>
      <c r="R39" s="123" t="s">
        <v>27</v>
      </c>
      <c r="S39" s="10" t="s">
        <v>73</v>
      </c>
      <c r="T39" s="124" t="s">
        <v>29</v>
      </c>
      <c r="U39" s="44"/>
      <c r="X39" s="50" t="s">
        <v>18</v>
      </c>
      <c r="Y39" s="123" t="s">
        <v>27</v>
      </c>
      <c r="Z39" s="10" t="s">
        <v>73</v>
      </c>
      <c r="AA39" s="124" t="s">
        <v>29</v>
      </c>
      <c r="AB39" s="44"/>
      <c r="AE39" s="50" t="s">
        <v>18</v>
      </c>
      <c r="AF39" s="123" t="s">
        <v>27</v>
      </c>
      <c r="AG39" s="10" t="s">
        <v>73</v>
      </c>
      <c r="AH39" s="124" t="s">
        <v>29</v>
      </c>
      <c r="AI39" s="44"/>
      <c r="AL39" s="50" t="s">
        <v>18</v>
      </c>
      <c r="AM39" s="123" t="s">
        <v>27</v>
      </c>
      <c r="AN39" s="10" t="s">
        <v>73</v>
      </c>
      <c r="AO39" s="124" t="s">
        <v>29</v>
      </c>
      <c r="AP39" s="44"/>
      <c r="AS39" s="50" t="s">
        <v>18</v>
      </c>
      <c r="AT39" s="123" t="s">
        <v>27</v>
      </c>
      <c r="AU39" s="10" t="s">
        <v>73</v>
      </c>
      <c r="AV39" s="124" t="s">
        <v>29</v>
      </c>
      <c r="AW39" s="44"/>
      <c r="AZ39" s="50" t="s">
        <v>18</v>
      </c>
      <c r="BA39" s="123" t="s">
        <v>27</v>
      </c>
      <c r="BB39" s="10" t="s">
        <v>73</v>
      </c>
      <c r="BC39" s="124" t="s">
        <v>29</v>
      </c>
      <c r="BD39" s="44"/>
      <c r="BG39" s="50" t="s">
        <v>18</v>
      </c>
      <c r="BH39" s="123" t="s">
        <v>27</v>
      </c>
      <c r="BI39" s="10" t="s">
        <v>73</v>
      </c>
      <c r="BJ39" s="124" t="s">
        <v>29</v>
      </c>
      <c r="BK39" s="44"/>
      <c r="BN39" s="50" t="s">
        <v>18</v>
      </c>
      <c r="BO39" s="123" t="s">
        <v>27</v>
      </c>
      <c r="BP39" s="10" t="s">
        <v>73</v>
      </c>
      <c r="BQ39" s="124" t="s">
        <v>29</v>
      </c>
      <c r="BR39" s="44"/>
      <c r="BU39" s="50" t="s">
        <v>18</v>
      </c>
      <c r="BV39" s="123" t="s">
        <v>27</v>
      </c>
      <c r="BW39" s="10" t="s">
        <v>73</v>
      </c>
      <c r="BX39" s="124" t="s">
        <v>29</v>
      </c>
      <c r="BY39" s="44"/>
      <c r="CB39" s="50" t="s">
        <v>18</v>
      </c>
      <c r="CC39" s="123" t="s">
        <v>27</v>
      </c>
      <c r="CD39" s="10" t="s">
        <v>73</v>
      </c>
      <c r="CE39" s="124" t="s">
        <v>29</v>
      </c>
      <c r="CF39" s="44"/>
      <c r="CI39" s="50" t="s">
        <v>18</v>
      </c>
      <c r="CJ39" s="123" t="s">
        <v>27</v>
      </c>
      <c r="CK39" s="10" t="s">
        <v>73</v>
      </c>
      <c r="CL39" s="124" t="s">
        <v>29</v>
      </c>
      <c r="CM39" s="44"/>
      <c r="CP39" s="50" t="s">
        <v>18</v>
      </c>
      <c r="CQ39" s="123" t="s">
        <v>27</v>
      </c>
      <c r="CR39" s="10" t="s">
        <v>73</v>
      </c>
      <c r="CS39" s="124" t="s">
        <v>29</v>
      </c>
      <c r="CT39" s="44"/>
      <c r="CW39" s="50" t="s">
        <v>18</v>
      </c>
      <c r="CX39" s="123" t="s">
        <v>27</v>
      </c>
      <c r="CY39" s="10" t="s">
        <v>73</v>
      </c>
      <c r="CZ39" s="124" t="s">
        <v>29</v>
      </c>
      <c r="DA39" s="44"/>
      <c r="DD39" s="50" t="s">
        <v>18</v>
      </c>
      <c r="DE39" s="123" t="s">
        <v>27</v>
      </c>
      <c r="DF39" s="10" t="s">
        <v>73</v>
      </c>
      <c r="DG39" s="124" t="s">
        <v>29</v>
      </c>
      <c r="DH39" s="44"/>
    </row>
    <row r="40" spans="1:112" x14ac:dyDescent="0.3">
      <c r="A40" s="18" t="s">
        <v>133</v>
      </c>
      <c r="B40" s="21" t="str">
        <f>'Var Vorgaben'!$B$130</f>
        <v>Anbaugebläsepritze 1000 l</v>
      </c>
      <c r="C40" s="374">
        <f>'Var Vorgaben'!$B$117</f>
        <v>4</v>
      </c>
      <c r="D40" s="48">
        <f>'Var Vorgaben'!$C$130</f>
        <v>1</v>
      </c>
      <c r="E40" s="63">
        <f>'Var Vorgaben'!$D$130*(1+Eingabeseite!C28)</f>
        <v>37</v>
      </c>
      <c r="F40" s="45">
        <f>C40*D40*E40</f>
        <v>148</v>
      </c>
      <c r="G40" s="44">
        <f t="shared" ref="G40:G51" si="29">F40/$F$68</f>
        <v>1.3233219321478381E-2</v>
      </c>
      <c r="H40" s="18" t="s">
        <v>133</v>
      </c>
      <c r="I40" s="21" t="str">
        <f>'Var Vorgaben'!$B$130</f>
        <v>Anbaugebläsepritze 1000 l</v>
      </c>
      <c r="J40" s="374">
        <f>'Var Vorgaben'!$C$117</f>
        <v>6</v>
      </c>
      <c r="K40" s="48">
        <f>'Var Vorgaben'!$C$130</f>
        <v>1</v>
      </c>
      <c r="L40" s="63">
        <f>'Var Vorgaben'!$D$130*(1+Eingabeseite!C28)</f>
        <v>37</v>
      </c>
      <c r="M40" s="45">
        <f>J40*K40*L40</f>
        <v>222</v>
      </c>
      <c r="N40" s="44">
        <f t="shared" ref="N40:N51" si="30">M40/$M$68</f>
        <v>1.9374988650848652E-2</v>
      </c>
      <c r="O40" s="18" t="s">
        <v>133</v>
      </c>
      <c r="P40" s="21" t="str">
        <f>'Var Vorgaben'!$B$130</f>
        <v>Anbaugebläsepritze 1000 l</v>
      </c>
      <c r="Q40" s="374">
        <f>'Var Vorgaben'!$D$117</f>
        <v>16</v>
      </c>
      <c r="R40" s="48">
        <f>'Var Vorgaben'!$C$130</f>
        <v>1</v>
      </c>
      <c r="S40" s="63">
        <f>'Var Vorgaben'!$D$130*(1+Eingabeseite!C28)</f>
        <v>37</v>
      </c>
      <c r="T40" s="45">
        <f>Q40*R40*S40</f>
        <v>592</v>
      </c>
      <c r="U40" s="44">
        <f t="shared" ref="U40:U51" si="31">T40/$T$68</f>
        <v>8.2497706139469749E-3</v>
      </c>
      <c r="V40" s="18" t="s">
        <v>133</v>
      </c>
      <c r="W40" s="21" t="str">
        <f>'Var Vorgaben'!$B$130</f>
        <v>Anbaugebläsepritze 1000 l</v>
      </c>
      <c r="X40" s="374">
        <f>'Var Vorgaben'!$D$117</f>
        <v>16</v>
      </c>
      <c r="Y40" s="48">
        <f>'Var Vorgaben'!$C$130</f>
        <v>1</v>
      </c>
      <c r="Z40" s="63">
        <f>'Var Vorgaben'!$D$130*(1+Eingabeseite!$C$28)</f>
        <v>37</v>
      </c>
      <c r="AA40" s="45">
        <f>X40*Y40*Z40</f>
        <v>592</v>
      </c>
      <c r="AB40" s="44">
        <f t="shared" ref="AB40:AB51" si="32">AA40/$AA$68</f>
        <v>1.7093336191367884E-2</v>
      </c>
      <c r="AC40" s="18" t="s">
        <v>133</v>
      </c>
      <c r="AD40" s="21" t="str">
        <f>'Var Vorgaben'!$B$130</f>
        <v>Anbaugebläsepritze 1000 l</v>
      </c>
      <c r="AE40" s="374">
        <f>'Var Vorgaben'!$D$117</f>
        <v>16</v>
      </c>
      <c r="AF40" s="48">
        <f>'Var Vorgaben'!$C$130</f>
        <v>1</v>
      </c>
      <c r="AG40" s="63">
        <f>'Var Vorgaben'!$D$130*(1+Eingabeseite!$C$28)</f>
        <v>37</v>
      </c>
      <c r="AH40" s="45">
        <f>AE40*AF40*AG40</f>
        <v>592</v>
      </c>
      <c r="AI40" s="44">
        <f t="shared" ref="AI40:AI51" si="33">AH40/$AH$68</f>
        <v>1.0748184851864099E-2</v>
      </c>
      <c r="AJ40" s="18" t="s">
        <v>133</v>
      </c>
      <c r="AK40" s="21" t="str">
        <f>'Var Vorgaben'!$B$130</f>
        <v>Anbaugebläsepritze 1000 l</v>
      </c>
      <c r="AL40" s="374">
        <f>'Var Vorgaben'!$D$117</f>
        <v>16</v>
      </c>
      <c r="AM40" s="48">
        <f>'Var Vorgaben'!$C$130</f>
        <v>1</v>
      </c>
      <c r="AN40" s="63">
        <f>'Var Vorgaben'!$D$130*(1+Eingabeseite!$C$28)</f>
        <v>37</v>
      </c>
      <c r="AO40" s="45">
        <f>AL40*AM40*AN40</f>
        <v>592</v>
      </c>
      <c r="AP40" s="44">
        <f t="shared" ref="AP40:AP51" si="34">AO40/$AO$68</f>
        <v>9.3376038152950935E-3</v>
      </c>
      <c r="AQ40" s="18" t="s">
        <v>133</v>
      </c>
      <c r="AR40" s="21" t="str">
        <f>'Var Vorgaben'!$B$130</f>
        <v>Anbaugebläsepritze 1000 l</v>
      </c>
      <c r="AS40" s="374">
        <f>'Var Vorgaben'!$D$117</f>
        <v>16</v>
      </c>
      <c r="AT40" s="48">
        <f>'Var Vorgaben'!$C$130</f>
        <v>1</v>
      </c>
      <c r="AU40" s="63">
        <f>'Var Vorgaben'!$D$130*(1+Eingabeseite!$C$28)</f>
        <v>37</v>
      </c>
      <c r="AV40" s="45">
        <f>AS40*AT40*AU40</f>
        <v>592</v>
      </c>
      <c r="AW40" s="44">
        <f t="shared" ref="AW40:AW51" si="35">AV40/$AV$68</f>
        <v>8.2898647333187209E-3</v>
      </c>
      <c r="AX40" s="18" t="s">
        <v>133</v>
      </c>
      <c r="AY40" s="4" t="str">
        <f>'Var Vorgaben'!$B$130</f>
        <v>Anbaugebläsepritze 1000 l</v>
      </c>
      <c r="AZ40" s="374">
        <f>'Var Vorgaben'!$D$117</f>
        <v>16</v>
      </c>
      <c r="BA40" s="48">
        <f>'Var Vorgaben'!$C$130</f>
        <v>1</v>
      </c>
      <c r="BB40" s="63">
        <f>'Var Vorgaben'!$D$130*(1+Eingabeseite!$C$28)</f>
        <v>37</v>
      </c>
      <c r="BC40" s="45">
        <f>AZ40*BA40*BB40</f>
        <v>592</v>
      </c>
      <c r="BD40" s="44">
        <f t="shared" ref="BD40:BD51" si="36">BC40/$BC$68</f>
        <v>8.3586717372711294E-3</v>
      </c>
      <c r="BE40" s="18" t="s">
        <v>133</v>
      </c>
      <c r="BF40" s="4" t="str">
        <f>'Var Vorgaben'!$B$130</f>
        <v>Anbaugebläsepritze 1000 l</v>
      </c>
      <c r="BG40" s="374">
        <f>'Var Vorgaben'!$D$117</f>
        <v>16</v>
      </c>
      <c r="BH40" s="48">
        <f>'Var Vorgaben'!$C$130</f>
        <v>1</v>
      </c>
      <c r="BI40" s="63">
        <f>'Var Vorgaben'!$D$130*(1+Eingabeseite!$C$28)</f>
        <v>37</v>
      </c>
      <c r="BJ40" s="45">
        <f>BG40*BH40*BI40</f>
        <v>592</v>
      </c>
      <c r="BK40" s="44">
        <f t="shared" ref="BK40:BK51" si="37">BJ40/$BJ$68</f>
        <v>8.3745334609040406E-3</v>
      </c>
      <c r="BL40" s="18" t="s">
        <v>133</v>
      </c>
      <c r="BM40" s="21" t="str">
        <f>'Var Vorgaben'!$B$130</f>
        <v>Anbaugebläsepritze 1000 l</v>
      </c>
      <c r="BN40" s="374">
        <f>'Var Vorgaben'!$D$117</f>
        <v>16</v>
      </c>
      <c r="BO40" s="48">
        <f>'Var Vorgaben'!$C$130</f>
        <v>1</v>
      </c>
      <c r="BP40" s="63">
        <f>'Var Vorgaben'!$D$130*(1+Eingabeseite!$C$28)</f>
        <v>37</v>
      </c>
      <c r="BQ40" s="45">
        <f>BN40*BO40*BP40</f>
        <v>592</v>
      </c>
      <c r="BR40" s="44">
        <f t="shared" ref="BR40:BR51" si="38">BQ40/$BQ$68</f>
        <v>4.9873524764686662E-3</v>
      </c>
      <c r="BS40" s="18" t="s">
        <v>133</v>
      </c>
      <c r="BT40" s="4" t="str">
        <f>'Var Vorgaben'!$B$130</f>
        <v>Anbaugebläsepritze 1000 l</v>
      </c>
      <c r="BU40" s="374">
        <f>'Var Vorgaben'!$D$117</f>
        <v>16</v>
      </c>
      <c r="BV40" s="48">
        <f>'Var Vorgaben'!$C$130</f>
        <v>1</v>
      </c>
      <c r="BW40" s="63">
        <f>'Var Vorgaben'!$D$130*(1+Eingabeseite!$C$28)</f>
        <v>37</v>
      </c>
      <c r="BX40" s="45">
        <f>BU40*BV40*BW40</f>
        <v>592</v>
      </c>
      <c r="BY40" s="44">
        <f t="shared" ref="BY40:BY51" si="39">BX40/$BX$68</f>
        <v>8.7476808574516503E-3</v>
      </c>
      <c r="BZ40" s="18" t="s">
        <v>133</v>
      </c>
      <c r="CA40" s="21" t="str">
        <f>'Var Vorgaben'!$B$130</f>
        <v>Anbaugebläsepritze 1000 l</v>
      </c>
      <c r="CB40" s="374">
        <f>'Var Vorgaben'!$D$117</f>
        <v>16</v>
      </c>
      <c r="CC40" s="48">
        <f>'Var Vorgaben'!$C$130</f>
        <v>1</v>
      </c>
      <c r="CD40" s="63">
        <f>'Var Vorgaben'!$D$130*(1+Eingabeseite!$C$28)</f>
        <v>37</v>
      </c>
      <c r="CE40" s="45">
        <f>CB40*CC40*CD40</f>
        <v>592</v>
      </c>
      <c r="CF40" s="44">
        <f t="shared" ref="CF40:CF51" si="40">CE40/$CE$68</f>
        <v>8.7616744386343846E-3</v>
      </c>
      <c r="CG40" s="18" t="s">
        <v>133</v>
      </c>
      <c r="CH40" s="21" t="str">
        <f>'Var Vorgaben'!$B$130</f>
        <v>Anbaugebläsepritze 1000 l</v>
      </c>
      <c r="CI40" s="374">
        <f>'Var Vorgaben'!$D$117</f>
        <v>16</v>
      </c>
      <c r="CJ40" s="48">
        <f>'Var Vorgaben'!$C$130</f>
        <v>1</v>
      </c>
      <c r="CK40" s="63">
        <f>'Var Vorgaben'!$D$130*(1+Eingabeseite!$C$28)</f>
        <v>37</v>
      </c>
      <c r="CL40" s="45">
        <f>CI40*CJ40*CK40</f>
        <v>592</v>
      </c>
      <c r="CM40" s="44">
        <f t="shared" ref="CM40:CM51" si="41">CL40/$CL$68</f>
        <v>8.7165300469199455E-3</v>
      </c>
      <c r="CN40" s="18" t="s">
        <v>133</v>
      </c>
      <c r="CO40" s="4" t="str">
        <f>'Var Vorgaben'!$B$130</f>
        <v>Anbaugebläsepritze 1000 l</v>
      </c>
      <c r="CP40" s="374">
        <f>'Var Vorgaben'!$D$117</f>
        <v>16</v>
      </c>
      <c r="CQ40" s="48">
        <f>'Var Vorgaben'!$C$130</f>
        <v>1</v>
      </c>
      <c r="CR40" s="63">
        <f>'Var Vorgaben'!$D$130*(1+Eingabeseite!$C$28)</f>
        <v>37</v>
      </c>
      <c r="CS40" s="45">
        <f>CP40*CQ40*CR40</f>
        <v>592</v>
      </c>
      <c r="CT40" s="44">
        <f t="shared" ref="CT40:CT51" si="42">CS40/$CS$68</f>
        <v>8.7896392271021775E-3</v>
      </c>
      <c r="CU40" s="18" t="s">
        <v>133</v>
      </c>
      <c r="CV40" s="21" t="str">
        <f>'Var Vorgaben'!$B$130</f>
        <v>Anbaugebläsepritze 1000 l</v>
      </c>
      <c r="CW40" s="374">
        <f>'Var Vorgaben'!$D$117</f>
        <v>16</v>
      </c>
      <c r="CX40" s="48">
        <f>'Var Vorgaben'!$C$130</f>
        <v>1</v>
      </c>
      <c r="CY40" s="63">
        <f>'Var Vorgaben'!$D$130*(1+Eingabeseite!$C$28)</f>
        <v>37</v>
      </c>
      <c r="CZ40" s="45">
        <f>CW40*CX40*CY40</f>
        <v>592</v>
      </c>
      <c r="DA40" s="44">
        <f t="shared" ref="DA40:DA51" si="43">CZ40/$CZ$68</f>
        <v>9.2407271399333711E-3</v>
      </c>
      <c r="DB40" s="18" t="s">
        <v>133</v>
      </c>
      <c r="DC40" s="4" t="str">
        <f>'Var Vorgaben'!$B$130</f>
        <v>Anbaugebläsepritze 1000 l</v>
      </c>
      <c r="DD40" s="374">
        <f>'Var Vorgaben'!$D$117</f>
        <v>16</v>
      </c>
      <c r="DE40" s="48">
        <f>'Var Vorgaben'!$C$130</f>
        <v>1</v>
      </c>
      <c r="DF40" s="63">
        <f>'Var Vorgaben'!$D$130*(1+Eingabeseite!$C$28)</f>
        <v>37</v>
      </c>
      <c r="DG40" s="45">
        <f>DD40*DE40*DF40</f>
        <v>592</v>
      </c>
      <c r="DH40" s="44">
        <f t="shared" ref="DH40:DH51" si="44">DG40/$DG$68</f>
        <v>8.8621116388654473E-3</v>
      </c>
    </row>
    <row r="41" spans="1:112" x14ac:dyDescent="0.3">
      <c r="B41" s="21" t="str">
        <f>'Var Vorgaben'!$B$131</f>
        <v>Herbizidibalken + Herbizidfass</v>
      </c>
      <c r="C41" s="374">
        <f>'Var Vorgaben'!$B$118</f>
        <v>2</v>
      </c>
      <c r="D41" s="48">
        <f>'Var Vorgaben'!$C$131</f>
        <v>1</v>
      </c>
      <c r="E41" s="63">
        <f>'Var Vorgaben'!$D$131*(1+Eingabeseite!C28)</f>
        <v>69</v>
      </c>
      <c r="F41" s="45">
        <f>C41*D41*E41</f>
        <v>138</v>
      </c>
      <c r="G41" s="44">
        <f t="shared" si="29"/>
        <v>1.2339082880837949E-2</v>
      </c>
      <c r="H41" s="18"/>
      <c r="I41" s="21" t="str">
        <f>'Var Vorgaben'!$B$131</f>
        <v>Herbizidibalken + Herbizidfass</v>
      </c>
      <c r="J41" s="374">
        <f>'Var Vorgaben'!$C$118</f>
        <v>2</v>
      </c>
      <c r="K41" s="48">
        <f>'Var Vorgaben'!$C$131</f>
        <v>1</v>
      </c>
      <c r="L41" s="63">
        <f>'Var Vorgaben'!$D$131*(1+Eingabeseite!C28)</f>
        <v>69</v>
      </c>
      <c r="M41" s="45">
        <f>J41*K41*L41</f>
        <v>138</v>
      </c>
      <c r="N41" s="44">
        <f t="shared" si="30"/>
        <v>1.2043911864041055E-2</v>
      </c>
      <c r="O41" s="18"/>
      <c r="P41" s="21" t="str">
        <f>'Var Vorgaben'!$B$131</f>
        <v>Herbizidibalken + Herbizidfass</v>
      </c>
      <c r="Q41" s="374">
        <f>'Var Vorgaben'!$D$118</f>
        <v>3</v>
      </c>
      <c r="R41" s="48">
        <f>'Var Vorgaben'!$C$131</f>
        <v>1</v>
      </c>
      <c r="S41" s="63">
        <f>'Var Vorgaben'!$D$131*(1+Eingabeseite!C28)</f>
        <v>69</v>
      </c>
      <c r="T41" s="45">
        <f>Q41*R41*S41</f>
        <v>207</v>
      </c>
      <c r="U41" s="44">
        <f t="shared" si="31"/>
        <v>2.8846326302145674E-3</v>
      </c>
      <c r="V41" s="18"/>
      <c r="W41" s="21" t="str">
        <f>'Var Vorgaben'!$B$131</f>
        <v>Herbizidibalken + Herbizidfass</v>
      </c>
      <c r="X41" s="374">
        <f>'Var Vorgaben'!$D$118</f>
        <v>3</v>
      </c>
      <c r="Y41" s="48">
        <f>'Var Vorgaben'!$C$131</f>
        <v>1</v>
      </c>
      <c r="Z41" s="63">
        <f>'Var Vorgaben'!$D$131*(1+Eingabeseite!$C$28)</f>
        <v>69</v>
      </c>
      <c r="AA41" s="45">
        <f>X41*Y41*Z41</f>
        <v>207</v>
      </c>
      <c r="AB41" s="44">
        <f t="shared" si="32"/>
        <v>5.9768928912384322E-3</v>
      </c>
      <c r="AC41" s="18"/>
      <c r="AD41" s="21" t="str">
        <f>'Var Vorgaben'!$B$131</f>
        <v>Herbizidibalken + Herbizidfass</v>
      </c>
      <c r="AE41" s="374">
        <f>'Var Vorgaben'!$D$118</f>
        <v>3</v>
      </c>
      <c r="AF41" s="48">
        <f>'Var Vorgaben'!$C$131</f>
        <v>1</v>
      </c>
      <c r="AG41" s="63">
        <f>'Var Vorgaben'!$D$131*(1+Eingabeseite!$C$28)</f>
        <v>69</v>
      </c>
      <c r="AH41" s="45">
        <f>AE41*AF41*AG41</f>
        <v>207</v>
      </c>
      <c r="AI41" s="44">
        <f t="shared" si="33"/>
        <v>3.7582335546213993E-3</v>
      </c>
      <c r="AJ41" s="18"/>
      <c r="AK41" s="21" t="str">
        <f>'Var Vorgaben'!$B$131</f>
        <v>Herbizidibalken + Herbizidfass</v>
      </c>
      <c r="AL41" s="374">
        <f>'Var Vorgaben'!$D$118</f>
        <v>3</v>
      </c>
      <c r="AM41" s="48">
        <f>'Var Vorgaben'!$C$131</f>
        <v>1</v>
      </c>
      <c r="AN41" s="63">
        <f>'Var Vorgaben'!$D$131*(1+Eingabeseite!$C$28)</f>
        <v>69</v>
      </c>
      <c r="AO41" s="45">
        <f>AL41*AM41*AN41</f>
        <v>207</v>
      </c>
      <c r="AP41" s="44">
        <f t="shared" si="34"/>
        <v>3.2650067394697372E-3</v>
      </c>
      <c r="AQ41" s="18"/>
      <c r="AR41" s="21" t="str">
        <f>'Var Vorgaben'!$B$131</f>
        <v>Herbizidibalken + Herbizidfass</v>
      </c>
      <c r="AS41" s="374">
        <f>'Var Vorgaben'!$D$118</f>
        <v>3</v>
      </c>
      <c r="AT41" s="48">
        <f>'Var Vorgaben'!$C$131</f>
        <v>1</v>
      </c>
      <c r="AU41" s="63">
        <f>'Var Vorgaben'!$D$131*(1+Eingabeseite!$C$28)</f>
        <v>69</v>
      </c>
      <c r="AV41" s="45">
        <f>AS41*AT41*AU41</f>
        <v>207</v>
      </c>
      <c r="AW41" s="44">
        <f t="shared" si="35"/>
        <v>2.8986520266840797E-3</v>
      </c>
      <c r="AX41" s="18"/>
      <c r="AY41" s="4" t="str">
        <f>'Var Vorgaben'!$B$131</f>
        <v>Herbizidibalken + Herbizidfass</v>
      </c>
      <c r="AZ41" s="374">
        <f>'Var Vorgaben'!$D$118</f>
        <v>3</v>
      </c>
      <c r="BA41" s="48">
        <f>'Var Vorgaben'!$C$131</f>
        <v>1</v>
      </c>
      <c r="BB41" s="63">
        <f>'Var Vorgaben'!$D$131*(1+Eingabeseite!$C$28)</f>
        <v>69</v>
      </c>
      <c r="BC41" s="45">
        <f>AZ41*BA41*BB41</f>
        <v>207</v>
      </c>
      <c r="BD41" s="44">
        <f t="shared" si="36"/>
        <v>2.9227112324579797E-3</v>
      </c>
      <c r="BE41" s="18"/>
      <c r="BF41" s="4" t="str">
        <f>'Var Vorgaben'!$B$131</f>
        <v>Herbizidibalken + Herbizidfass</v>
      </c>
      <c r="BG41" s="374">
        <f>'Var Vorgaben'!$D$118</f>
        <v>3</v>
      </c>
      <c r="BH41" s="48">
        <f>'Var Vorgaben'!$C$131</f>
        <v>1</v>
      </c>
      <c r="BI41" s="63">
        <f>'Var Vorgaben'!$D$131*(1+Eingabeseite!$C$28)</f>
        <v>69</v>
      </c>
      <c r="BJ41" s="45">
        <f>BG41*BH41*BI41</f>
        <v>207</v>
      </c>
      <c r="BK41" s="44">
        <f t="shared" si="37"/>
        <v>2.9282574770390819E-3</v>
      </c>
      <c r="BL41" s="18"/>
      <c r="BM41" s="21" t="str">
        <f>'Var Vorgaben'!$B$131</f>
        <v>Herbizidibalken + Herbizidfass</v>
      </c>
      <c r="BN41" s="374">
        <f>'Var Vorgaben'!$D$118</f>
        <v>3</v>
      </c>
      <c r="BO41" s="48">
        <f>'Var Vorgaben'!$C$131</f>
        <v>1</v>
      </c>
      <c r="BP41" s="63">
        <f>'Var Vorgaben'!$D$131*(1+Eingabeseite!$C$28)</f>
        <v>69</v>
      </c>
      <c r="BQ41" s="45">
        <f>BN41*BO41*BP41</f>
        <v>207</v>
      </c>
      <c r="BR41" s="44">
        <f t="shared" si="38"/>
        <v>1.7438884503868477E-3</v>
      </c>
      <c r="BS41" s="18"/>
      <c r="BT41" s="4" t="str">
        <f>'Var Vorgaben'!$B$131</f>
        <v>Herbizidibalken + Herbizidfass</v>
      </c>
      <c r="BU41" s="374">
        <f>'Var Vorgaben'!$D$118</f>
        <v>3</v>
      </c>
      <c r="BV41" s="48">
        <f>'Var Vorgaben'!$C$131</f>
        <v>1</v>
      </c>
      <c r="BW41" s="63">
        <f>'Var Vorgaben'!$D$131*(1+Eingabeseite!$C$28)</f>
        <v>69</v>
      </c>
      <c r="BX41" s="45">
        <f>BU41*BV41*BW41</f>
        <v>207</v>
      </c>
      <c r="BY41" s="44">
        <f t="shared" si="39"/>
        <v>3.0587330025211011E-3</v>
      </c>
      <c r="BZ41" s="18"/>
      <c r="CA41" s="21" t="str">
        <f>'Var Vorgaben'!$B$131</f>
        <v>Herbizidibalken + Herbizidfass</v>
      </c>
      <c r="CB41" s="374">
        <f>'Var Vorgaben'!$D$118</f>
        <v>3</v>
      </c>
      <c r="CC41" s="48">
        <f>'Var Vorgaben'!$C$131</f>
        <v>1</v>
      </c>
      <c r="CD41" s="63">
        <f>'Var Vorgaben'!$D$131*(1+Eingabeseite!$C$28)</f>
        <v>69</v>
      </c>
      <c r="CE41" s="45">
        <f>CB41*CC41*CD41</f>
        <v>207</v>
      </c>
      <c r="CF41" s="44">
        <f t="shared" si="40"/>
        <v>3.0636260283738474E-3</v>
      </c>
      <c r="CG41" s="18"/>
      <c r="CH41" s="21" t="str">
        <f>'Var Vorgaben'!$B$131</f>
        <v>Herbizidibalken + Herbizidfass</v>
      </c>
      <c r="CI41" s="374">
        <f>'Var Vorgaben'!$D$118</f>
        <v>3</v>
      </c>
      <c r="CJ41" s="48">
        <f>'Var Vorgaben'!$C$131</f>
        <v>1</v>
      </c>
      <c r="CK41" s="63">
        <f>'Var Vorgaben'!$D$131*(1+Eingabeseite!$C$28)</f>
        <v>69</v>
      </c>
      <c r="CL41" s="45">
        <f>CI41*CJ41*CK41</f>
        <v>207</v>
      </c>
      <c r="CM41" s="44">
        <f t="shared" si="41"/>
        <v>3.047840742757481E-3</v>
      </c>
      <c r="CN41" s="18"/>
      <c r="CO41" s="4" t="str">
        <f>'Var Vorgaben'!$B$131</f>
        <v>Herbizidibalken + Herbizidfass</v>
      </c>
      <c r="CP41" s="374">
        <f>'Var Vorgaben'!$D$118</f>
        <v>3</v>
      </c>
      <c r="CQ41" s="48">
        <f>'Var Vorgaben'!$C$131</f>
        <v>1</v>
      </c>
      <c r="CR41" s="63">
        <f>'Var Vorgaben'!$D$131*(1+Eingabeseite!$C$28)</f>
        <v>69</v>
      </c>
      <c r="CS41" s="45">
        <f>CP41*CQ41*CR41</f>
        <v>207</v>
      </c>
      <c r="CT41" s="44">
        <f t="shared" si="42"/>
        <v>3.073404256773903E-3</v>
      </c>
      <c r="CU41" s="18"/>
      <c r="CV41" s="21" t="str">
        <f>'Var Vorgaben'!$B$131</f>
        <v>Herbizidibalken + Herbizidfass</v>
      </c>
      <c r="CW41" s="374">
        <f>'Var Vorgaben'!$D$118</f>
        <v>3</v>
      </c>
      <c r="CX41" s="48">
        <f>'Var Vorgaben'!$C$131</f>
        <v>1</v>
      </c>
      <c r="CY41" s="63">
        <f>'Var Vorgaben'!$D$131*(1+Eingabeseite!$C$28)</f>
        <v>69</v>
      </c>
      <c r="CZ41" s="45">
        <f>CW41*CX41*CY41</f>
        <v>207</v>
      </c>
      <c r="DA41" s="44">
        <f t="shared" si="43"/>
        <v>3.2311326316996755E-3</v>
      </c>
      <c r="DB41" s="18"/>
      <c r="DC41" s="4" t="str">
        <f>'Var Vorgaben'!$B$131</f>
        <v>Herbizidibalken + Herbizidfass</v>
      </c>
      <c r="DD41" s="374">
        <f>'Var Vorgaben'!$D$118</f>
        <v>3</v>
      </c>
      <c r="DE41" s="48">
        <f>'Var Vorgaben'!$C$131</f>
        <v>1</v>
      </c>
      <c r="DF41" s="63">
        <f>'Var Vorgaben'!$D$131*(1+Eingabeseite!$C$28)</f>
        <v>69</v>
      </c>
      <c r="DG41" s="45">
        <f>DD41*DE41*DF41</f>
        <v>207</v>
      </c>
      <c r="DH41" s="44">
        <f t="shared" si="44"/>
        <v>3.0987451169681548E-3</v>
      </c>
    </row>
    <row r="42" spans="1:112" x14ac:dyDescent="0.3">
      <c r="B42" s="21" t="str">
        <f>'Var Vorgaben'!$B$132</f>
        <v>Düngerstreuer Einkasten 2.5 m</v>
      </c>
      <c r="C42" s="374">
        <f>C19</f>
        <v>0</v>
      </c>
      <c r="D42" s="48">
        <f>'Var Vorgaben'!$C$132</f>
        <v>1</v>
      </c>
      <c r="E42" s="63">
        <f>'Var Vorgaben'!$D$132*(1+Eingabeseite!C28)</f>
        <v>18</v>
      </c>
      <c r="F42" s="45">
        <f>C42*D42*E42</f>
        <v>0</v>
      </c>
      <c r="G42" s="44">
        <f t="shared" si="29"/>
        <v>0</v>
      </c>
      <c r="H42" s="18"/>
      <c r="I42" s="21" t="str">
        <f>'Var Vorgaben'!$B$132</f>
        <v>Düngerstreuer Einkasten 2.5 m</v>
      </c>
      <c r="J42" s="374">
        <f>J19</f>
        <v>1</v>
      </c>
      <c r="K42" s="48">
        <f>'Var Vorgaben'!$C$132</f>
        <v>1</v>
      </c>
      <c r="L42" s="63">
        <f>'Var Vorgaben'!$D$132*(1+Eingabeseite!C28)</f>
        <v>18</v>
      </c>
      <c r="M42" s="45">
        <f>J42*K42*L42</f>
        <v>18</v>
      </c>
      <c r="N42" s="44">
        <f t="shared" si="30"/>
        <v>1.5709450257444853E-3</v>
      </c>
      <c r="O42" s="18"/>
      <c r="P42" s="21" t="str">
        <f>'Var Vorgaben'!$B$132</f>
        <v>Düngerstreuer Einkasten 2.5 m</v>
      </c>
      <c r="Q42" s="374">
        <f>Q19</f>
        <v>2</v>
      </c>
      <c r="R42" s="48">
        <f>'Var Vorgaben'!$C$132</f>
        <v>1</v>
      </c>
      <c r="S42" s="63">
        <f>'Var Vorgaben'!$D$132*(1+Eingabeseite!C28)</f>
        <v>18</v>
      </c>
      <c r="T42" s="45">
        <f>Q42*R42*S42</f>
        <v>36</v>
      </c>
      <c r="U42" s="44">
        <f t="shared" si="31"/>
        <v>5.0167524003731612E-4</v>
      </c>
      <c r="V42" s="18"/>
      <c r="W42" s="21" t="str">
        <f>'Var Vorgaben'!$B$132</f>
        <v>Düngerstreuer Einkasten 2.5 m</v>
      </c>
      <c r="X42" s="374">
        <f>X19</f>
        <v>3</v>
      </c>
      <c r="Y42" s="48">
        <f>'Var Vorgaben'!$C$132</f>
        <v>1</v>
      </c>
      <c r="Z42" s="63">
        <f>'Var Vorgaben'!$D$132*(1+Eingabeseite!$C$28)</f>
        <v>18</v>
      </c>
      <c r="AA42" s="45">
        <f>X42*Y42*Z42</f>
        <v>54</v>
      </c>
      <c r="AB42" s="44">
        <f t="shared" si="32"/>
        <v>1.5591894498882867E-3</v>
      </c>
      <c r="AC42" s="18"/>
      <c r="AD42" s="21" t="str">
        <f>'Var Vorgaben'!$B$132</f>
        <v>Düngerstreuer Einkasten 2.5 m</v>
      </c>
      <c r="AE42" s="374">
        <f>AE19</f>
        <v>2</v>
      </c>
      <c r="AF42" s="48">
        <f>'Var Vorgaben'!$C$132</f>
        <v>1</v>
      </c>
      <c r="AG42" s="63">
        <f>'Var Vorgaben'!$D$132*(1+Eingabeseite!$C$28)</f>
        <v>18</v>
      </c>
      <c r="AH42" s="45">
        <f>AE42*AF42*AG42</f>
        <v>36</v>
      </c>
      <c r="AI42" s="44">
        <f t="shared" si="33"/>
        <v>6.536058355863303E-4</v>
      </c>
      <c r="AJ42" s="18"/>
      <c r="AK42" s="21" t="str">
        <f>'Var Vorgaben'!$B$132</f>
        <v>Düngerstreuer Einkasten 2.5 m</v>
      </c>
      <c r="AL42" s="374">
        <f>AL19</f>
        <v>2</v>
      </c>
      <c r="AM42" s="48">
        <f>'Var Vorgaben'!$C$132</f>
        <v>1</v>
      </c>
      <c r="AN42" s="63">
        <f>'Var Vorgaben'!$D$132*(1+Eingabeseite!$C$28)</f>
        <v>18</v>
      </c>
      <c r="AO42" s="45">
        <f>AL42*AM42*AN42</f>
        <v>36</v>
      </c>
      <c r="AP42" s="44">
        <f t="shared" si="34"/>
        <v>5.6782725903821516E-4</v>
      </c>
      <c r="AQ42" s="18"/>
      <c r="AR42" s="21" t="str">
        <f>'Var Vorgaben'!$B$132</f>
        <v>Düngerstreuer Einkasten 2.5 m</v>
      </c>
      <c r="AS42" s="374">
        <f>AS19</f>
        <v>3</v>
      </c>
      <c r="AT42" s="48">
        <f>'Var Vorgaben'!$C$132</f>
        <v>1</v>
      </c>
      <c r="AU42" s="63">
        <f>'Var Vorgaben'!$D$132*(1+Eingabeseite!$C$28)</f>
        <v>18</v>
      </c>
      <c r="AV42" s="45">
        <f>AS42*AT42*AU42</f>
        <v>54</v>
      </c>
      <c r="AW42" s="44">
        <f t="shared" si="35"/>
        <v>7.5617009391758608E-4</v>
      </c>
      <c r="AX42" s="18"/>
      <c r="AY42" s="4" t="str">
        <f>'Var Vorgaben'!$B$132</f>
        <v>Düngerstreuer Einkasten 2.5 m</v>
      </c>
      <c r="AZ42" s="374">
        <f>AZ19</f>
        <v>2</v>
      </c>
      <c r="BA42" s="48">
        <f>'Var Vorgaben'!$C$132</f>
        <v>1</v>
      </c>
      <c r="BB42" s="63">
        <f>'Var Vorgaben'!$D$132*(1+Eingabeseite!$C$28)</f>
        <v>18</v>
      </c>
      <c r="BC42" s="45">
        <f>AZ42*BA42*BB42</f>
        <v>36</v>
      </c>
      <c r="BD42" s="44">
        <f t="shared" si="36"/>
        <v>5.0829760564486597E-4</v>
      </c>
      <c r="BE42" s="18"/>
      <c r="BF42" s="4" t="str">
        <f>'Var Vorgaben'!$B$132</f>
        <v>Düngerstreuer Einkasten 2.5 m</v>
      </c>
      <c r="BG42" s="374">
        <f>BG19</f>
        <v>2</v>
      </c>
      <c r="BH42" s="48">
        <f>'Var Vorgaben'!$C$132</f>
        <v>1</v>
      </c>
      <c r="BI42" s="63">
        <f>'Var Vorgaben'!$D$132*(1+Eingabeseite!$C$28)</f>
        <v>18</v>
      </c>
      <c r="BJ42" s="45">
        <f>BG42*BH42*BI42</f>
        <v>36</v>
      </c>
      <c r="BK42" s="44">
        <f t="shared" si="37"/>
        <v>5.0926216991984037E-4</v>
      </c>
      <c r="BL42" s="18"/>
      <c r="BM42" s="21" t="str">
        <f>'Var Vorgaben'!$B$132</f>
        <v>Düngerstreuer Einkasten 2.5 m</v>
      </c>
      <c r="BN42" s="374">
        <f>BN19</f>
        <v>3</v>
      </c>
      <c r="BO42" s="48">
        <f>'Var Vorgaben'!$C$132</f>
        <v>1</v>
      </c>
      <c r="BP42" s="63">
        <f>'Var Vorgaben'!$D$132*(1+Eingabeseite!$C$28)</f>
        <v>18</v>
      </c>
      <c r="BQ42" s="45">
        <f>BN42*BO42*BP42</f>
        <v>54</v>
      </c>
      <c r="BR42" s="44">
        <f t="shared" si="38"/>
        <v>4.5492742184004726E-4</v>
      </c>
      <c r="BS42" s="18"/>
      <c r="BT42" s="4" t="str">
        <f>'Var Vorgaben'!$B$132</f>
        <v>Düngerstreuer Einkasten 2.5 m</v>
      </c>
      <c r="BU42" s="374">
        <f>BU19</f>
        <v>2</v>
      </c>
      <c r="BV42" s="48">
        <f>'Var Vorgaben'!$C$132</f>
        <v>1</v>
      </c>
      <c r="BW42" s="63">
        <f>'Var Vorgaben'!$D$132*(1+Eingabeseite!$C$28)</f>
        <v>18</v>
      </c>
      <c r="BX42" s="45">
        <f>BU42*BV42*BW42</f>
        <v>36</v>
      </c>
      <c r="BY42" s="44">
        <f t="shared" si="39"/>
        <v>5.3195356565584361E-4</v>
      </c>
      <c r="BZ42" s="18"/>
      <c r="CA42" s="21" t="str">
        <f>'Var Vorgaben'!$B$132</f>
        <v>Düngerstreuer Einkasten 2.5 m</v>
      </c>
      <c r="CB42" s="374">
        <f>CB19</f>
        <v>2</v>
      </c>
      <c r="CC42" s="48">
        <f>'Var Vorgaben'!$C$132</f>
        <v>1</v>
      </c>
      <c r="CD42" s="63">
        <f>'Var Vorgaben'!$D$132*(1+Eingabeseite!$C$28)</f>
        <v>18</v>
      </c>
      <c r="CE42" s="45">
        <f>CB42*CC42*CD42</f>
        <v>36</v>
      </c>
      <c r="CF42" s="44">
        <f t="shared" si="40"/>
        <v>5.3280452667371257E-4</v>
      </c>
      <c r="CG42" s="18"/>
      <c r="CH42" s="21" t="str">
        <f>'Var Vorgaben'!$B$132</f>
        <v>Düngerstreuer Einkasten 2.5 m</v>
      </c>
      <c r="CI42" s="374">
        <f>CI19</f>
        <v>3</v>
      </c>
      <c r="CJ42" s="48">
        <f>'Var Vorgaben'!$C$132</f>
        <v>1</v>
      </c>
      <c r="CK42" s="63">
        <f>'Var Vorgaben'!$D$132*(1+Eingabeseite!$C$28)</f>
        <v>18</v>
      </c>
      <c r="CL42" s="45">
        <f>CI42*CJ42*CK42</f>
        <v>54</v>
      </c>
      <c r="CM42" s="44">
        <f t="shared" si="41"/>
        <v>7.9508888941499511E-4</v>
      </c>
      <c r="CN42" s="18"/>
      <c r="CO42" s="4" t="str">
        <f>'Var Vorgaben'!$B$132</f>
        <v>Düngerstreuer Einkasten 2.5 m</v>
      </c>
      <c r="CP42" s="374">
        <f>CP19</f>
        <v>2</v>
      </c>
      <c r="CQ42" s="48">
        <f>'Var Vorgaben'!$C$132</f>
        <v>1</v>
      </c>
      <c r="CR42" s="63">
        <f>'Var Vorgaben'!$D$132*(1+Eingabeseite!$C$28)</f>
        <v>18</v>
      </c>
      <c r="CS42" s="45">
        <f>CP42*CQ42*CR42</f>
        <v>36</v>
      </c>
      <c r="CT42" s="44">
        <f t="shared" si="42"/>
        <v>5.3450508813459186E-4</v>
      </c>
      <c r="CU42" s="18"/>
      <c r="CV42" s="21" t="str">
        <f>'Var Vorgaben'!$B$132</f>
        <v>Düngerstreuer Einkasten 2.5 m</v>
      </c>
      <c r="CW42" s="374">
        <f>CW19</f>
        <v>2</v>
      </c>
      <c r="CX42" s="48">
        <f>'Var Vorgaben'!$C$132</f>
        <v>1</v>
      </c>
      <c r="CY42" s="63">
        <f>'Var Vorgaben'!$D$132*(1+Eingabeseite!$C$28)</f>
        <v>18</v>
      </c>
      <c r="CZ42" s="45">
        <f>CW42*CX42*CY42</f>
        <v>36</v>
      </c>
      <c r="DA42" s="44">
        <f t="shared" si="43"/>
        <v>5.6193610986081312E-4</v>
      </c>
      <c r="DB42" s="18"/>
      <c r="DC42" s="4" t="str">
        <f>'Var Vorgaben'!$B$132</f>
        <v>Düngerstreuer Einkasten 2.5 m</v>
      </c>
      <c r="DD42" s="374">
        <f>DD19</f>
        <v>2</v>
      </c>
      <c r="DE42" s="48">
        <f>'Var Vorgaben'!$C$132</f>
        <v>1</v>
      </c>
      <c r="DF42" s="63">
        <f>'Var Vorgaben'!$D$132*(1+Eingabeseite!$C$28)</f>
        <v>18</v>
      </c>
      <c r="DG42" s="45">
        <f>DD42*DE42*DF42</f>
        <v>36</v>
      </c>
      <c r="DH42" s="44">
        <f t="shared" si="44"/>
        <v>5.3891219425533123E-4</v>
      </c>
    </row>
    <row r="43" spans="1:112" ht="12.5" x14ac:dyDescent="0.25">
      <c r="A43" s="87"/>
      <c r="B43" s="21" t="str">
        <f>'Var Vorgaben'!$B$133</f>
        <v>Pneuwagen 2achsig, 3t (Ernte)</v>
      </c>
      <c r="C43" s="427">
        <f>'Var Vorgaben'!$C$133</f>
        <v>0.1</v>
      </c>
      <c r="D43" s="48">
        <f>C43*C44</f>
        <v>0</v>
      </c>
      <c r="E43" s="63">
        <f>'Var Vorgaben'!$D$133*(1+Eingabeseite!C28)</f>
        <v>25</v>
      </c>
      <c r="F43" s="45">
        <f>D43*E43</f>
        <v>0</v>
      </c>
      <c r="G43" s="44">
        <f t="shared" si="29"/>
        <v>0</v>
      </c>
      <c r="H43" s="87"/>
      <c r="I43" s="21" t="str">
        <f>'Var Vorgaben'!$B$133</f>
        <v>Pneuwagen 2achsig, 3t (Ernte)</v>
      </c>
      <c r="J43" s="427">
        <f>'Var Vorgaben'!$C$133</f>
        <v>0.1</v>
      </c>
      <c r="K43" s="48">
        <f>J43*J44</f>
        <v>0</v>
      </c>
      <c r="L43" s="63">
        <f>'Var Vorgaben'!$D$133*(1+Eingabeseite!C28)</f>
        <v>25</v>
      </c>
      <c r="M43" s="45">
        <f>K43*L43</f>
        <v>0</v>
      </c>
      <c r="N43" s="44">
        <f t="shared" si="30"/>
        <v>0</v>
      </c>
      <c r="O43" s="87"/>
      <c r="P43" s="21" t="str">
        <f>'Var Vorgaben'!$B$133</f>
        <v>Pneuwagen 2achsig, 3t (Ernte)</v>
      </c>
      <c r="Q43" s="427">
        <f>'Var Vorgaben'!$C$133</f>
        <v>0.1</v>
      </c>
      <c r="R43" s="48">
        <f>Q43*Q44</f>
        <v>8.5763293310463151</v>
      </c>
      <c r="S43" s="63">
        <f>'Var Vorgaben'!$D$133*(1+Eingabeseite!C28)</f>
        <v>25</v>
      </c>
      <c r="T43" s="45">
        <f>R43*S43</f>
        <v>214.40823327615789</v>
      </c>
      <c r="U43" s="44">
        <f t="shared" si="31"/>
        <v>2.9878694970775937E-3</v>
      </c>
      <c r="V43" s="87"/>
      <c r="W43" s="21" t="str">
        <f>'Var Vorgaben'!$B$133</f>
        <v>Pneuwagen 2achsig, 3t (Ernte)</v>
      </c>
      <c r="X43" s="427">
        <f>'Var Vorgaben'!$C$133</f>
        <v>0.1</v>
      </c>
      <c r="Y43" s="48">
        <f>X43*X44</f>
        <v>34.30531732418526</v>
      </c>
      <c r="Z43" s="63">
        <f>'Var Vorgaben'!$D$133*(1+Eingabeseite!$C$28)</f>
        <v>25</v>
      </c>
      <c r="AA43" s="45">
        <f>Y43*Z43</f>
        <v>857.63293310463155</v>
      </c>
      <c r="AB43" s="44">
        <f t="shared" si="32"/>
        <v>2.4763189280990524E-2</v>
      </c>
      <c r="AC43" s="87"/>
      <c r="AD43" s="21" t="str">
        <f>'Var Vorgaben'!$B$133</f>
        <v>Pneuwagen 2achsig, 3t (Ernte)</v>
      </c>
      <c r="AE43" s="427">
        <f>'Var Vorgaben'!$C$133</f>
        <v>0.1</v>
      </c>
      <c r="AF43" s="48">
        <f>AE43*AE44</f>
        <v>77.015437392795889</v>
      </c>
      <c r="AG43" s="63">
        <f>'Var Vorgaben'!$D$133*(1+Eingabeseite!$C$28)</f>
        <v>25</v>
      </c>
      <c r="AH43" s="45">
        <f>AF43*AG43</f>
        <v>1925.3859348198971</v>
      </c>
      <c r="AI43" s="44">
        <f t="shared" si="33"/>
        <v>3.4956763409836854E-2</v>
      </c>
      <c r="AJ43" s="87"/>
      <c r="AK43" s="21" t="str">
        <f>'Var Vorgaben'!$B$133</f>
        <v>Pneuwagen 2achsig, 3t (Ernte)</v>
      </c>
      <c r="AL43" s="427">
        <f>'Var Vorgaben'!$C$133</f>
        <v>0.1</v>
      </c>
      <c r="AM43" s="48">
        <f>AL43*AL44</f>
        <v>99.485420240137231</v>
      </c>
      <c r="AN43" s="63">
        <f>'Var Vorgaben'!$D$133*(1+Eingabeseite!$C$28)</f>
        <v>25</v>
      </c>
      <c r="AO43" s="45">
        <f>AM43*AN43</f>
        <v>2487.1355060034307</v>
      </c>
      <c r="AP43" s="44">
        <f t="shared" si="34"/>
        <v>3.922953714529312E-2</v>
      </c>
      <c r="AQ43" s="87"/>
      <c r="AR43" s="21" t="str">
        <f>'Var Vorgaben'!$B$133</f>
        <v>Pneuwagen 2achsig, 3t (Ernte)</v>
      </c>
      <c r="AS43" s="427">
        <f>'Var Vorgaben'!$C$133</f>
        <v>0.1</v>
      </c>
      <c r="AT43" s="48">
        <f>AS43*AS44</f>
        <v>120.06861063464838</v>
      </c>
      <c r="AU43" s="63">
        <f>'Var Vorgaben'!$D$133*(1+Eingabeseite!$C$28)</f>
        <v>25</v>
      </c>
      <c r="AV43" s="45">
        <f>AT43*AU43</f>
        <v>3001.7152658662094</v>
      </c>
      <c r="AW43" s="44">
        <f t="shared" si="35"/>
        <v>4.203346878710932E-2</v>
      </c>
      <c r="AX43" s="87"/>
      <c r="AY43" s="4" t="str">
        <f>'Var Vorgaben'!$B$133</f>
        <v>Pneuwagen 2achsig, 3t (Ernte)</v>
      </c>
      <c r="AZ43" s="427">
        <f>'Var Vorgaben'!$C$133</f>
        <v>0.1</v>
      </c>
      <c r="BA43" s="48">
        <f>AZ43*AZ44</f>
        <v>120.06861063464838</v>
      </c>
      <c r="BB43" s="63">
        <f>'Var Vorgaben'!$D$133*(1+Eingabeseite!$C$28)</f>
        <v>25</v>
      </c>
      <c r="BC43" s="45">
        <f>BA43*BB43</f>
        <v>3001.7152658662094</v>
      </c>
      <c r="BD43" s="44">
        <f t="shared" si="36"/>
        <v>4.2382352290762128E-2</v>
      </c>
      <c r="BE43" s="87"/>
      <c r="BF43" s="4" t="str">
        <f>'Var Vorgaben'!$B$133</f>
        <v>Pneuwagen 2achsig, 3t (Ernte)</v>
      </c>
      <c r="BG43" s="427">
        <f>'Var Vorgaben'!$C$133</f>
        <v>0.1</v>
      </c>
      <c r="BH43" s="48">
        <f>BG43*BG44</f>
        <v>120.06861063464838</v>
      </c>
      <c r="BI43" s="63">
        <f>'Var Vorgaben'!$D$133*(1+Eingabeseite!$C$28)</f>
        <v>25</v>
      </c>
      <c r="BJ43" s="45">
        <f>BH43*BI43</f>
        <v>3001.7152658662094</v>
      </c>
      <c r="BK43" s="44">
        <f t="shared" si="37"/>
        <v>4.2462778604903786E-2</v>
      </c>
      <c r="BL43" s="87"/>
      <c r="BM43" s="21" t="str">
        <f>'Var Vorgaben'!$B$133</f>
        <v>Pneuwagen 2achsig, 3t (Ernte)</v>
      </c>
      <c r="BN43" s="427">
        <f>'Var Vorgaben'!$C$133</f>
        <v>0.1</v>
      </c>
      <c r="BO43" s="48">
        <f>BN43*BN44</f>
        <v>120.06861063464838</v>
      </c>
      <c r="BP43" s="63">
        <f>'Var Vorgaben'!$D$133*(1+Eingabeseite!$C$28)</f>
        <v>25</v>
      </c>
      <c r="BQ43" s="45">
        <f>BO43*BP43</f>
        <v>3001.7152658662094</v>
      </c>
      <c r="BR43" s="44">
        <f t="shared" si="38"/>
        <v>2.5288196055526419E-2</v>
      </c>
      <c r="BS43" s="87"/>
      <c r="BT43" s="4" t="str">
        <f>'Var Vorgaben'!$B$133</f>
        <v>Pneuwagen 2achsig, 3t (Ernte)</v>
      </c>
      <c r="BU43" s="427">
        <f>'Var Vorgaben'!$C$133</f>
        <v>0.1</v>
      </c>
      <c r="BV43" s="48">
        <f>BU43*BU44</f>
        <v>111.49228130360207</v>
      </c>
      <c r="BW43" s="63">
        <f>'Var Vorgaben'!$D$133*(1+Eingabeseite!$C$28)</f>
        <v>25</v>
      </c>
      <c r="BX43" s="45">
        <f>BV43*BW43</f>
        <v>2787.3070325900517</v>
      </c>
      <c r="BY43" s="44">
        <f t="shared" si="39"/>
        <v>4.1186608737885745E-2</v>
      </c>
      <c r="BZ43" s="87"/>
      <c r="CA43" s="21" t="str">
        <f>'Var Vorgaben'!$B$133</f>
        <v>Pneuwagen 2achsig, 3t (Ernte)</v>
      </c>
      <c r="CB43" s="427">
        <f>'Var Vorgaben'!$C$133</f>
        <v>0.1</v>
      </c>
      <c r="CC43" s="48">
        <f>CB43*CB44</f>
        <v>111.49228130360207</v>
      </c>
      <c r="CD43" s="63">
        <f>'Var Vorgaben'!$D$133*(1+Eingabeseite!$C$28)</f>
        <v>25</v>
      </c>
      <c r="CE43" s="45">
        <f>CC43*CD43</f>
        <v>2787.3070325900517</v>
      </c>
      <c r="CF43" s="44">
        <f t="shared" si="40"/>
        <v>4.1252494560929248E-2</v>
      </c>
      <c r="CG43" s="87"/>
      <c r="CH43" s="21" t="str">
        <f>'Var Vorgaben'!$B$133</f>
        <v>Pneuwagen 2achsig, 3t (Ernte)</v>
      </c>
      <c r="CI43" s="427">
        <f>'Var Vorgaben'!$C$133</f>
        <v>0.1</v>
      </c>
      <c r="CJ43" s="48">
        <f>CI43*CI44</f>
        <v>111.49228130360207</v>
      </c>
      <c r="CK43" s="63">
        <f>'Var Vorgaben'!$D$133*(1+Eingabeseite!$C$28)</f>
        <v>25</v>
      </c>
      <c r="CL43" s="45">
        <f>CJ43*CK43</f>
        <v>2787.3070325900517</v>
      </c>
      <c r="CM43" s="44">
        <f t="shared" si="41"/>
        <v>4.103994172223388E-2</v>
      </c>
      <c r="CN43" s="87"/>
      <c r="CO43" s="4" t="str">
        <f>'Var Vorgaben'!$B$133</f>
        <v>Pneuwagen 2achsig, 3t (Ernte)</v>
      </c>
      <c r="CP43" s="427">
        <f>'Var Vorgaben'!$C$133</f>
        <v>0.1</v>
      </c>
      <c r="CQ43" s="48">
        <f>CP43*CP44</f>
        <v>111.49228130360207</v>
      </c>
      <c r="CR43" s="63">
        <f>'Var Vorgaben'!$D$133*(1+Eingabeseite!$C$28)</f>
        <v>25</v>
      </c>
      <c r="CS43" s="45">
        <f>CQ43*CR43</f>
        <v>2787.3070325900517</v>
      </c>
      <c r="CT43" s="44">
        <f t="shared" si="42"/>
        <v>4.1384160864242035E-2</v>
      </c>
      <c r="CU43" s="87"/>
      <c r="CV43" s="21" t="str">
        <f>'Var Vorgaben'!$B$133</f>
        <v>Pneuwagen 2achsig, 3t (Ernte)</v>
      </c>
      <c r="CW43" s="427">
        <f>'Var Vorgaben'!$C$133</f>
        <v>0.1</v>
      </c>
      <c r="CX43" s="48">
        <f>CW43*CW44</f>
        <v>102.91595197255577</v>
      </c>
      <c r="CY43" s="63">
        <f>'Var Vorgaben'!$D$133*(1+Eingabeseite!$C$28)</f>
        <v>25</v>
      </c>
      <c r="CZ43" s="45">
        <f>CX43*CY43</f>
        <v>2572.8987993138944</v>
      </c>
      <c r="DA43" s="44">
        <f t="shared" si="43"/>
        <v>4.0161242843111303E-2</v>
      </c>
      <c r="DB43" s="87"/>
      <c r="DC43" s="4" t="str">
        <f>'Var Vorgaben'!$B$133</f>
        <v>Pneuwagen 2achsig, 3t (Ernte)</v>
      </c>
      <c r="DD43" s="427">
        <f>'Var Vorgaben'!$C$133</f>
        <v>0.1</v>
      </c>
      <c r="DE43" s="48">
        <f>DD43*DD44</f>
        <v>94.33962264150945</v>
      </c>
      <c r="DF43" s="63">
        <f>'Var Vorgaben'!$D$133*(1+Eingabeseite!$C$28)</f>
        <v>25</v>
      </c>
      <c r="DG43" s="45">
        <f>DE43*DF43</f>
        <v>2358.4905660377362</v>
      </c>
      <c r="DH43" s="44">
        <f t="shared" si="44"/>
        <v>3.5306092390941519E-2</v>
      </c>
    </row>
    <row r="44" spans="1:112" x14ac:dyDescent="0.3">
      <c r="B44" s="241" t="s">
        <v>202</v>
      </c>
      <c r="C44" s="426">
        <f>D62</f>
        <v>0</v>
      </c>
      <c r="D44" s="1"/>
      <c r="E44" s="240"/>
      <c r="F44" s="45"/>
      <c r="G44" s="44">
        <f t="shared" si="29"/>
        <v>0</v>
      </c>
      <c r="H44" s="18"/>
      <c r="I44" s="241" t="s">
        <v>202</v>
      </c>
      <c r="J44" s="426">
        <f>K62</f>
        <v>0</v>
      </c>
      <c r="K44" s="1"/>
      <c r="L44" s="240"/>
      <c r="M44" s="45"/>
      <c r="N44" s="44">
        <f t="shared" si="30"/>
        <v>0</v>
      </c>
      <c r="O44" s="18"/>
      <c r="P44" s="241" t="s">
        <v>202</v>
      </c>
      <c r="Q44" s="426">
        <f>R62</f>
        <v>85.763293310463141</v>
      </c>
      <c r="R44" s="1"/>
      <c r="S44" s="240"/>
      <c r="T44" s="45"/>
      <c r="U44" s="44">
        <f t="shared" si="31"/>
        <v>0</v>
      </c>
      <c r="V44" s="18"/>
      <c r="W44" s="241" t="s">
        <v>202</v>
      </c>
      <c r="X44" s="426">
        <f>Y62</f>
        <v>343.05317324185256</v>
      </c>
      <c r="Y44" s="1"/>
      <c r="Z44" s="240"/>
      <c r="AA44" s="45"/>
      <c r="AB44" s="44">
        <f t="shared" si="32"/>
        <v>0</v>
      </c>
      <c r="AC44" s="18"/>
      <c r="AD44" s="241" t="s">
        <v>202</v>
      </c>
      <c r="AE44" s="426">
        <f>AF62</f>
        <v>770.15437392795877</v>
      </c>
      <c r="AF44" s="1"/>
      <c r="AG44" s="240"/>
      <c r="AH44" s="45"/>
      <c r="AI44" s="44">
        <f t="shared" si="33"/>
        <v>0</v>
      </c>
      <c r="AJ44" s="18"/>
      <c r="AK44" s="241" t="s">
        <v>202</v>
      </c>
      <c r="AL44" s="426">
        <f>AM62</f>
        <v>994.85420240137228</v>
      </c>
      <c r="AM44" s="1"/>
      <c r="AN44" s="240"/>
      <c r="AO44" s="45"/>
      <c r="AP44" s="44">
        <f t="shared" si="34"/>
        <v>0</v>
      </c>
      <c r="AQ44" s="18"/>
      <c r="AR44" s="241" t="s">
        <v>202</v>
      </c>
      <c r="AS44" s="426">
        <f>AT62</f>
        <v>1200.6861063464837</v>
      </c>
      <c r="AT44" s="1"/>
      <c r="AU44" s="240"/>
      <c r="AV44" s="45"/>
      <c r="AW44" s="44">
        <f t="shared" si="35"/>
        <v>0</v>
      </c>
      <c r="AX44" s="18"/>
      <c r="AY44" s="241" t="s">
        <v>202</v>
      </c>
      <c r="AZ44" s="426">
        <f>BA62</f>
        <v>1200.6861063464837</v>
      </c>
      <c r="BA44" s="1"/>
      <c r="BB44" s="240"/>
      <c r="BC44" s="45"/>
      <c r="BD44" s="44">
        <f t="shared" si="36"/>
        <v>0</v>
      </c>
      <c r="BE44" s="18"/>
      <c r="BF44" s="241" t="s">
        <v>202</v>
      </c>
      <c r="BG44" s="426">
        <f>BH62</f>
        <v>1200.6861063464837</v>
      </c>
      <c r="BH44" s="1"/>
      <c r="BI44" s="240"/>
      <c r="BJ44" s="45"/>
      <c r="BK44" s="44">
        <f t="shared" si="37"/>
        <v>0</v>
      </c>
      <c r="BL44" s="18"/>
      <c r="BM44" s="241" t="s">
        <v>202</v>
      </c>
      <c r="BN44" s="426">
        <f>BO62</f>
        <v>1200.6861063464837</v>
      </c>
      <c r="BO44" s="1"/>
      <c r="BP44" s="240"/>
      <c r="BQ44" s="45"/>
      <c r="BR44" s="44">
        <f t="shared" si="38"/>
        <v>0</v>
      </c>
      <c r="BS44" s="18"/>
      <c r="BT44" s="241" t="s">
        <v>202</v>
      </c>
      <c r="BU44" s="426">
        <f>BV62</f>
        <v>1114.9228130360207</v>
      </c>
      <c r="BV44" s="1"/>
      <c r="BW44" s="240"/>
      <c r="BX44" s="45"/>
      <c r="BY44" s="44">
        <f t="shared" si="39"/>
        <v>0</v>
      </c>
      <c r="BZ44" s="18"/>
      <c r="CA44" s="241" t="s">
        <v>202</v>
      </c>
      <c r="CB44" s="426">
        <f>CC62</f>
        <v>1114.9228130360207</v>
      </c>
      <c r="CC44" s="1"/>
      <c r="CD44" s="240"/>
      <c r="CE44" s="45"/>
      <c r="CF44" s="44">
        <f t="shared" si="40"/>
        <v>0</v>
      </c>
      <c r="CG44" s="18"/>
      <c r="CH44" s="241" t="s">
        <v>202</v>
      </c>
      <c r="CI44" s="426">
        <f>CJ62</f>
        <v>1114.9228130360207</v>
      </c>
      <c r="CJ44" s="1"/>
      <c r="CK44" s="240"/>
      <c r="CL44" s="45"/>
      <c r="CM44" s="44">
        <f t="shared" si="41"/>
        <v>0</v>
      </c>
      <c r="CN44" s="18"/>
      <c r="CO44" s="241" t="s">
        <v>202</v>
      </c>
      <c r="CP44" s="426">
        <f>CQ62</f>
        <v>1114.9228130360207</v>
      </c>
      <c r="CQ44" s="1"/>
      <c r="CR44" s="240"/>
      <c r="CS44" s="45"/>
      <c r="CT44" s="44">
        <f t="shared" si="42"/>
        <v>0</v>
      </c>
      <c r="CU44" s="18"/>
      <c r="CV44" s="241" t="s">
        <v>202</v>
      </c>
      <c r="CW44" s="426">
        <f>CX62</f>
        <v>1029.1595197255576</v>
      </c>
      <c r="CX44" s="1"/>
      <c r="CY44" s="240"/>
      <c r="CZ44" s="45"/>
      <c r="DA44" s="44">
        <f t="shared" si="43"/>
        <v>0</v>
      </c>
      <c r="DB44" s="18"/>
      <c r="DC44" s="241" t="s">
        <v>202</v>
      </c>
      <c r="DD44" s="426">
        <f>DE62</f>
        <v>943.39622641509447</v>
      </c>
      <c r="DE44" s="1"/>
      <c r="DF44" s="240"/>
      <c r="DG44" s="45"/>
      <c r="DH44" s="44">
        <f t="shared" si="44"/>
        <v>0</v>
      </c>
    </row>
    <row r="45" spans="1:112" x14ac:dyDescent="0.3">
      <c r="B45" s="21" t="str">
        <f>'Var Vorgaben'!$B$134</f>
        <v>Mulchgerät mit Schwenkarm, 2.8m</v>
      </c>
      <c r="C45" s="47">
        <f>'Var Vorgaben'!$E$134</f>
        <v>6</v>
      </c>
      <c r="D45" s="52">
        <f>'Var Vorgaben'!$C$134</f>
        <v>0.5</v>
      </c>
      <c r="E45" s="63">
        <f>'Var Vorgaben'!$D$134*(1+Eingabeseite!C28)</f>
        <v>42</v>
      </c>
      <c r="F45" s="45">
        <f>C45*D45*E45</f>
        <v>126</v>
      </c>
      <c r="G45" s="44">
        <f t="shared" si="29"/>
        <v>1.1266119152069431E-2</v>
      </c>
      <c r="H45" s="18"/>
      <c r="I45" s="21" t="str">
        <f>'Var Vorgaben'!$B$134</f>
        <v>Mulchgerät mit Schwenkarm, 2.8m</v>
      </c>
      <c r="J45" s="47">
        <f>'Var Vorgaben'!$E$134</f>
        <v>6</v>
      </c>
      <c r="K45" s="52">
        <f>'Var Vorgaben'!$C$134</f>
        <v>0.5</v>
      </c>
      <c r="L45" s="63">
        <f>'Var Vorgaben'!$D$134*(1+Eingabeseite!C28)</f>
        <v>42</v>
      </c>
      <c r="M45" s="45">
        <f>J45*K45*L45</f>
        <v>126</v>
      </c>
      <c r="N45" s="44">
        <f t="shared" si="30"/>
        <v>1.0996615180211397E-2</v>
      </c>
      <c r="O45" s="18"/>
      <c r="P45" s="21" t="str">
        <f>'Var Vorgaben'!$B$134</f>
        <v>Mulchgerät mit Schwenkarm, 2.8m</v>
      </c>
      <c r="Q45" s="47">
        <f>'Var Vorgaben'!$E$134</f>
        <v>6</v>
      </c>
      <c r="R45" s="52">
        <f>'Var Vorgaben'!$C$134</f>
        <v>0.5</v>
      </c>
      <c r="S45" s="63">
        <f>'Var Vorgaben'!$D$134*(1+Eingabeseite!C28)</f>
        <v>42</v>
      </c>
      <c r="T45" s="45">
        <f>Q45*R45*S45</f>
        <v>126</v>
      </c>
      <c r="U45" s="44">
        <f t="shared" si="31"/>
        <v>1.7558633401306063E-3</v>
      </c>
      <c r="V45" s="18"/>
      <c r="W45" s="21" t="str">
        <f>'Var Vorgaben'!$B$134</f>
        <v>Mulchgerät mit Schwenkarm, 2.8m</v>
      </c>
      <c r="X45" s="47">
        <f>'Var Vorgaben'!$E$134</f>
        <v>6</v>
      </c>
      <c r="Y45" s="52">
        <f>'Var Vorgaben'!$C$134</f>
        <v>0.5</v>
      </c>
      <c r="Z45" s="63">
        <f>'Var Vorgaben'!$D$134*(1+Eingabeseite!$C$28)</f>
        <v>42</v>
      </c>
      <c r="AA45" s="45">
        <f>X45*Y45*Z45</f>
        <v>126</v>
      </c>
      <c r="AB45" s="44">
        <f t="shared" si="32"/>
        <v>3.6381087164060024E-3</v>
      </c>
      <c r="AC45" s="18"/>
      <c r="AD45" s="21" t="str">
        <f>'Var Vorgaben'!$B$134</f>
        <v>Mulchgerät mit Schwenkarm, 2.8m</v>
      </c>
      <c r="AE45" s="47">
        <f>'Var Vorgaben'!$E$134</f>
        <v>6</v>
      </c>
      <c r="AF45" s="52">
        <f>'Var Vorgaben'!$C$134</f>
        <v>0.5</v>
      </c>
      <c r="AG45" s="63">
        <f>'Var Vorgaben'!$D$134*(1+Eingabeseite!$C$28)</f>
        <v>42</v>
      </c>
      <c r="AH45" s="45">
        <f>AE45*AF45*AG45</f>
        <v>126</v>
      </c>
      <c r="AI45" s="44">
        <f t="shared" si="33"/>
        <v>2.2876204245521562E-3</v>
      </c>
      <c r="AJ45" s="18"/>
      <c r="AK45" s="21" t="str">
        <f>'Var Vorgaben'!$B$134</f>
        <v>Mulchgerät mit Schwenkarm, 2.8m</v>
      </c>
      <c r="AL45" s="47">
        <f>'Var Vorgaben'!$E$134</f>
        <v>6</v>
      </c>
      <c r="AM45" s="52">
        <f>'Var Vorgaben'!$C$134</f>
        <v>0.5</v>
      </c>
      <c r="AN45" s="63">
        <f>'Var Vorgaben'!$D$134*(1+Eingabeseite!$C$28)</f>
        <v>42</v>
      </c>
      <c r="AO45" s="45">
        <f>AL45*AM45*AN45</f>
        <v>126</v>
      </c>
      <c r="AP45" s="44">
        <f t="shared" si="34"/>
        <v>1.987395406633753E-3</v>
      </c>
      <c r="AQ45" s="18"/>
      <c r="AR45" s="21" t="str">
        <f>'Var Vorgaben'!$B$134</f>
        <v>Mulchgerät mit Schwenkarm, 2.8m</v>
      </c>
      <c r="AS45" s="47">
        <f>'Var Vorgaben'!$E$134</f>
        <v>6</v>
      </c>
      <c r="AT45" s="52">
        <f>'Var Vorgaben'!$C$134</f>
        <v>0.5</v>
      </c>
      <c r="AU45" s="63">
        <f>'Var Vorgaben'!$D$134*(1+Eingabeseite!$C$28)</f>
        <v>42</v>
      </c>
      <c r="AV45" s="45">
        <f>AS45*AT45*AU45</f>
        <v>126</v>
      </c>
      <c r="AW45" s="44">
        <f t="shared" si="35"/>
        <v>1.7643968858077007E-3</v>
      </c>
      <c r="AX45" s="18"/>
      <c r="AY45" s="4" t="str">
        <f>'Var Vorgaben'!$B$134</f>
        <v>Mulchgerät mit Schwenkarm, 2.8m</v>
      </c>
      <c r="AZ45" s="47">
        <f>'Var Vorgaben'!$E$134</f>
        <v>6</v>
      </c>
      <c r="BA45" s="52">
        <f>'Var Vorgaben'!$C$134</f>
        <v>0.5</v>
      </c>
      <c r="BB45" s="63">
        <f>'Var Vorgaben'!$D$134*(1+Eingabeseite!$C$28)</f>
        <v>42</v>
      </c>
      <c r="BC45" s="45">
        <f>AZ45*BA45*BB45</f>
        <v>126</v>
      </c>
      <c r="BD45" s="44">
        <f t="shared" si="36"/>
        <v>1.7790416197570309E-3</v>
      </c>
      <c r="BE45" s="18"/>
      <c r="BF45" s="4" t="str">
        <f>'Var Vorgaben'!$B$134</f>
        <v>Mulchgerät mit Schwenkarm, 2.8m</v>
      </c>
      <c r="BG45" s="47">
        <f>'Var Vorgaben'!$E$134</f>
        <v>6</v>
      </c>
      <c r="BH45" s="52">
        <f>'Var Vorgaben'!$C$134</f>
        <v>0.5</v>
      </c>
      <c r="BI45" s="63">
        <f>'Var Vorgaben'!$D$134*(1+Eingabeseite!$C$28)</f>
        <v>42</v>
      </c>
      <c r="BJ45" s="45">
        <f>BG45*BH45*BI45</f>
        <v>126</v>
      </c>
      <c r="BK45" s="44">
        <f t="shared" si="37"/>
        <v>1.7824175947194411E-3</v>
      </c>
      <c r="BL45" s="18"/>
      <c r="BM45" s="21" t="str">
        <f>'Var Vorgaben'!$B$134</f>
        <v>Mulchgerät mit Schwenkarm, 2.8m</v>
      </c>
      <c r="BN45" s="47">
        <f>'Var Vorgaben'!$E$134</f>
        <v>6</v>
      </c>
      <c r="BO45" s="52">
        <f>'Var Vorgaben'!$C$134</f>
        <v>0.5</v>
      </c>
      <c r="BP45" s="63">
        <f>'Var Vorgaben'!$D$134*(1+Eingabeseite!$C$28)</f>
        <v>42</v>
      </c>
      <c r="BQ45" s="45">
        <f>BN45*BO45*BP45</f>
        <v>126</v>
      </c>
      <c r="BR45" s="44">
        <f t="shared" si="38"/>
        <v>1.0614973176267769E-3</v>
      </c>
      <c r="BS45" s="18"/>
      <c r="BT45" s="4" t="str">
        <f>'Var Vorgaben'!$B$134</f>
        <v>Mulchgerät mit Schwenkarm, 2.8m</v>
      </c>
      <c r="BU45" s="47">
        <f>'Var Vorgaben'!$E$134</f>
        <v>6</v>
      </c>
      <c r="BV45" s="52">
        <f>'Var Vorgaben'!$C$134</f>
        <v>0.5</v>
      </c>
      <c r="BW45" s="63">
        <f>'Var Vorgaben'!$D$134*(1+Eingabeseite!$C$28)</f>
        <v>42</v>
      </c>
      <c r="BX45" s="45">
        <f>BU45*BV45*BW45</f>
        <v>126</v>
      </c>
      <c r="BY45" s="44">
        <f t="shared" si="39"/>
        <v>1.8618374797954528E-3</v>
      </c>
      <c r="BZ45" s="18"/>
      <c r="CA45" s="21" t="str">
        <f>'Var Vorgaben'!$B$134</f>
        <v>Mulchgerät mit Schwenkarm, 2.8m</v>
      </c>
      <c r="CB45" s="47">
        <f>'Var Vorgaben'!$E$134</f>
        <v>6</v>
      </c>
      <c r="CC45" s="52">
        <f>'Var Vorgaben'!$C$134</f>
        <v>0.5</v>
      </c>
      <c r="CD45" s="63">
        <f>'Var Vorgaben'!$D$134*(1+Eingabeseite!$C$28)</f>
        <v>42</v>
      </c>
      <c r="CE45" s="45">
        <f>CB45*CC45*CD45</f>
        <v>126</v>
      </c>
      <c r="CF45" s="44">
        <f t="shared" si="40"/>
        <v>1.864815843357994E-3</v>
      </c>
      <c r="CG45" s="18"/>
      <c r="CH45" s="21" t="str">
        <f>'Var Vorgaben'!$B$134</f>
        <v>Mulchgerät mit Schwenkarm, 2.8m</v>
      </c>
      <c r="CI45" s="47">
        <f>'Var Vorgaben'!$E$134</f>
        <v>6</v>
      </c>
      <c r="CJ45" s="52">
        <f>'Var Vorgaben'!$C$134</f>
        <v>0.5</v>
      </c>
      <c r="CK45" s="63">
        <f>'Var Vorgaben'!$D$134*(1+Eingabeseite!$C$28)</f>
        <v>42</v>
      </c>
      <c r="CL45" s="45">
        <f>CI45*CJ45*CK45</f>
        <v>126</v>
      </c>
      <c r="CM45" s="44">
        <f t="shared" si="41"/>
        <v>1.8552074086349885E-3</v>
      </c>
      <c r="CN45" s="18"/>
      <c r="CO45" s="4" t="str">
        <f>'Var Vorgaben'!$B$134</f>
        <v>Mulchgerät mit Schwenkarm, 2.8m</v>
      </c>
      <c r="CP45" s="47">
        <f>'Var Vorgaben'!$E$134</f>
        <v>6</v>
      </c>
      <c r="CQ45" s="52">
        <f>'Var Vorgaben'!$C$134</f>
        <v>0.5</v>
      </c>
      <c r="CR45" s="63">
        <f>'Var Vorgaben'!$D$134*(1+Eingabeseite!$C$28)</f>
        <v>42</v>
      </c>
      <c r="CS45" s="45">
        <f>CP45*CQ45*CR45</f>
        <v>126</v>
      </c>
      <c r="CT45" s="44">
        <f t="shared" si="42"/>
        <v>1.8707678084710713E-3</v>
      </c>
      <c r="CU45" s="18"/>
      <c r="CV45" s="21" t="str">
        <f>'Var Vorgaben'!$B$134</f>
        <v>Mulchgerät mit Schwenkarm, 2.8m</v>
      </c>
      <c r="CW45" s="47">
        <f>'Var Vorgaben'!$E$134</f>
        <v>6</v>
      </c>
      <c r="CX45" s="52">
        <f>'Var Vorgaben'!$C$134</f>
        <v>0.5</v>
      </c>
      <c r="CY45" s="63">
        <f>'Var Vorgaben'!$D$134*(1+Eingabeseite!$C$28)</f>
        <v>42</v>
      </c>
      <c r="CZ45" s="45">
        <f>CW45*CX45*CY45</f>
        <v>126</v>
      </c>
      <c r="DA45" s="44">
        <f t="shared" si="43"/>
        <v>1.966776384512846E-3</v>
      </c>
      <c r="DB45" s="18"/>
      <c r="DC45" s="4" t="str">
        <f>'Var Vorgaben'!$B$134</f>
        <v>Mulchgerät mit Schwenkarm, 2.8m</v>
      </c>
      <c r="DD45" s="47">
        <f>'Var Vorgaben'!$E$134</f>
        <v>6</v>
      </c>
      <c r="DE45" s="52">
        <f>'Var Vorgaben'!$C$134</f>
        <v>0.5</v>
      </c>
      <c r="DF45" s="63">
        <f>'Var Vorgaben'!$D$134*(1+Eingabeseite!$C$28)</f>
        <v>42</v>
      </c>
      <c r="DG45" s="45">
        <f>DD45*DE45*DF45</f>
        <v>126</v>
      </c>
      <c r="DH45" s="44">
        <f t="shared" si="44"/>
        <v>1.8861926798936592E-3</v>
      </c>
    </row>
    <row r="46" spans="1:112" x14ac:dyDescent="0.3">
      <c r="C46" s="47"/>
      <c r="D46" s="52"/>
      <c r="E46" s="63"/>
      <c r="F46" s="45"/>
      <c r="G46" s="44">
        <f t="shared" si="29"/>
        <v>0</v>
      </c>
      <c r="H46" s="18"/>
      <c r="I46" s="21"/>
      <c r="J46" s="47"/>
      <c r="K46" s="52"/>
      <c r="L46" s="63"/>
      <c r="M46" s="45"/>
      <c r="N46" s="44">
        <f t="shared" si="30"/>
        <v>0</v>
      </c>
      <c r="O46" s="18"/>
      <c r="P46" s="231" t="s">
        <v>684</v>
      </c>
      <c r="Q46" s="47"/>
      <c r="R46" s="52">
        <f>'Var Vorgaben'!C136</f>
        <v>100</v>
      </c>
      <c r="S46" s="63">
        <f>'Var Vorgaben'!$I$136*(1+Eingabeseite!C28)</f>
        <v>17.5</v>
      </c>
      <c r="T46" s="45">
        <f>R46*S46</f>
        <v>1750</v>
      </c>
      <c r="U46" s="44">
        <f t="shared" si="31"/>
        <v>2.438699083514731E-2</v>
      </c>
      <c r="V46" s="18"/>
      <c r="W46" s="21" t="s">
        <v>685</v>
      </c>
      <c r="X46" s="47"/>
      <c r="Y46" s="47">
        <f>'Var Vorgaben'!$C$136</f>
        <v>100</v>
      </c>
      <c r="Z46" s="63">
        <f>'Var Vorgaben'!$I$136*(1+Eingabeseite!$C$28)</f>
        <v>17.5</v>
      </c>
      <c r="AA46" s="45">
        <f>Y46*Z46</f>
        <v>1750</v>
      </c>
      <c r="AB46" s="44">
        <f t="shared" si="32"/>
        <v>5.0529287727861145E-2</v>
      </c>
      <c r="AC46" s="18"/>
      <c r="AD46" s="21" t="str">
        <f>$W$46</f>
        <v>Hebebühne für Folie aus und ausrollen und Schnitt</v>
      </c>
      <c r="AE46" s="47"/>
      <c r="AF46" s="47">
        <f>'Var Vorgaben'!$C$136</f>
        <v>100</v>
      </c>
      <c r="AG46" s="63">
        <f>'Var Vorgaben'!$I$136*(1+Eingabeseite!$C$28)</f>
        <v>17.5</v>
      </c>
      <c r="AH46" s="45">
        <f>AF46*AG46</f>
        <v>1750</v>
      </c>
      <c r="AI46" s="44">
        <f t="shared" si="33"/>
        <v>3.1772505896557723E-2</v>
      </c>
      <c r="AJ46" s="18"/>
      <c r="AK46" s="21" t="str">
        <f>$W$46</f>
        <v>Hebebühne für Folie aus und ausrollen und Schnitt</v>
      </c>
      <c r="AL46" s="47"/>
      <c r="AM46" s="47">
        <f>'Var Vorgaben'!$C$136</f>
        <v>100</v>
      </c>
      <c r="AN46" s="63">
        <f>'Var Vorgaben'!$I$136*(1+Eingabeseite!$C$28)</f>
        <v>17.5</v>
      </c>
      <c r="AO46" s="45">
        <f>AM46*AN46</f>
        <v>1750</v>
      </c>
      <c r="AP46" s="44">
        <f t="shared" si="34"/>
        <v>2.760271398102435E-2</v>
      </c>
      <c r="AQ46" s="18"/>
      <c r="AR46" s="21" t="str">
        <f>$W$46</f>
        <v>Hebebühne für Folie aus und ausrollen und Schnitt</v>
      </c>
      <c r="AS46" s="47"/>
      <c r="AT46" s="47">
        <f>'Var Vorgaben'!$C$136</f>
        <v>100</v>
      </c>
      <c r="AU46" s="63">
        <f>'Var Vorgaben'!$I$136*(1+Eingabeseite!$C$28)</f>
        <v>17.5</v>
      </c>
      <c r="AV46" s="45">
        <f>AT46*AU46</f>
        <v>1750</v>
      </c>
      <c r="AW46" s="44">
        <f t="shared" si="35"/>
        <v>2.4505512302884735E-2</v>
      </c>
      <c r="AX46" s="18"/>
      <c r="AY46" s="21" t="str">
        <f>$W$46</f>
        <v>Hebebühne für Folie aus und ausrollen und Schnitt</v>
      </c>
      <c r="AZ46" s="47"/>
      <c r="BA46" s="47">
        <f>'Var Vorgaben'!$C$136</f>
        <v>100</v>
      </c>
      <c r="BB46" s="63">
        <f>'Var Vorgaben'!$I$136*(1+Eingabeseite!$C$28)</f>
        <v>17.5</v>
      </c>
      <c r="BC46" s="45">
        <f>BA46*BB46</f>
        <v>1750</v>
      </c>
      <c r="BD46" s="44">
        <f t="shared" si="36"/>
        <v>2.4708911385514318E-2</v>
      </c>
      <c r="BE46" s="18"/>
      <c r="BF46" s="21" t="str">
        <f>$W$46</f>
        <v>Hebebühne für Folie aus und ausrollen und Schnitt</v>
      </c>
      <c r="BG46" s="47"/>
      <c r="BH46" s="47">
        <f>'Var Vorgaben'!$C$136</f>
        <v>100</v>
      </c>
      <c r="BI46" s="63">
        <f>'Var Vorgaben'!$I$136*(1+Eingabeseite!$C$28)</f>
        <v>17.5</v>
      </c>
      <c r="BJ46" s="45">
        <f>BH46*BI46</f>
        <v>1750</v>
      </c>
      <c r="BK46" s="44">
        <f t="shared" si="37"/>
        <v>2.4755799926658904E-2</v>
      </c>
      <c r="BL46" s="18"/>
      <c r="BM46" s="21" t="str">
        <f>$W$46</f>
        <v>Hebebühne für Folie aus und ausrollen und Schnitt</v>
      </c>
      <c r="BN46" s="47"/>
      <c r="BO46" s="47">
        <f>'Var Vorgaben'!$C$136</f>
        <v>100</v>
      </c>
      <c r="BP46" s="63">
        <f>'Var Vorgaben'!$I$136*(1+Eingabeseite!$C$28)</f>
        <v>17.5</v>
      </c>
      <c r="BQ46" s="45">
        <f>BO46*BP46</f>
        <v>1750</v>
      </c>
      <c r="BR46" s="44">
        <f t="shared" si="38"/>
        <v>1.4743018300371901E-2</v>
      </c>
      <c r="BS46" s="18"/>
      <c r="BT46" s="21" t="str">
        <f>$W$46</f>
        <v>Hebebühne für Folie aus und ausrollen und Schnitt</v>
      </c>
      <c r="BU46" s="47"/>
      <c r="BV46" s="47">
        <f>'Var Vorgaben'!$C$136</f>
        <v>100</v>
      </c>
      <c r="BW46" s="63">
        <f>'Var Vorgaben'!$I$136*(1+Eingabeseite!$C$28)</f>
        <v>17.5</v>
      </c>
      <c r="BX46" s="45">
        <f>BV46*BW46</f>
        <v>1750</v>
      </c>
      <c r="BY46" s="44">
        <f t="shared" si="39"/>
        <v>2.5858853886047955E-2</v>
      </c>
      <c r="BZ46" s="18"/>
      <c r="CA46" s="21" t="str">
        <f>$W$46</f>
        <v>Hebebühne für Folie aus und ausrollen und Schnitt</v>
      </c>
      <c r="CB46" s="47"/>
      <c r="CC46" s="47">
        <f>'Var Vorgaben'!$C$136</f>
        <v>100</v>
      </c>
      <c r="CD46" s="63">
        <f>'Var Vorgaben'!$I$136*(1+Eingabeseite!$C$28)</f>
        <v>17.5</v>
      </c>
      <c r="CE46" s="45">
        <f>CC46*CD46</f>
        <v>1750</v>
      </c>
      <c r="CF46" s="44">
        <f t="shared" si="40"/>
        <v>2.5900220046638806E-2</v>
      </c>
      <c r="CG46" s="18"/>
      <c r="CH46" s="21" t="str">
        <f>$W$46</f>
        <v>Hebebühne für Folie aus und ausrollen und Schnitt</v>
      </c>
      <c r="CI46" s="47"/>
      <c r="CJ46" s="47">
        <f>'Var Vorgaben'!$C$136</f>
        <v>100</v>
      </c>
      <c r="CK46" s="63">
        <f>'Var Vorgaben'!$I$136*(1+Eingabeseite!$C$28)</f>
        <v>17.5</v>
      </c>
      <c r="CL46" s="45">
        <f>CJ46*CK46</f>
        <v>1750</v>
      </c>
      <c r="CM46" s="44">
        <f t="shared" si="41"/>
        <v>2.576676956437484E-2</v>
      </c>
      <c r="CN46" s="18"/>
      <c r="CO46" s="21" t="str">
        <f>$W$46</f>
        <v>Hebebühne für Folie aus und ausrollen und Schnitt</v>
      </c>
      <c r="CP46" s="47"/>
      <c r="CQ46" s="47">
        <f>'Var Vorgaben'!$C$136</f>
        <v>100</v>
      </c>
      <c r="CR46" s="63">
        <f>'Var Vorgaben'!$I$136*(1+Eingabeseite!$C$28)</f>
        <v>17.5</v>
      </c>
      <c r="CS46" s="45">
        <f>CQ46*CR46</f>
        <v>1750</v>
      </c>
      <c r="CT46" s="44">
        <f t="shared" si="42"/>
        <v>2.5982886228764882E-2</v>
      </c>
      <c r="CU46" s="18"/>
      <c r="CV46" s="21" t="str">
        <f>$W$46</f>
        <v>Hebebühne für Folie aus und ausrollen und Schnitt</v>
      </c>
      <c r="CW46" s="47"/>
      <c r="CX46" s="47">
        <f>'Var Vorgaben'!$C$136</f>
        <v>100</v>
      </c>
      <c r="CY46" s="63">
        <f>'Var Vorgaben'!$I$136*(1+Eingabeseite!$C$28)</f>
        <v>17.5</v>
      </c>
      <c r="CZ46" s="45">
        <f>CX46*CY46</f>
        <v>1750</v>
      </c>
      <c r="DA46" s="44">
        <f t="shared" si="43"/>
        <v>2.7316338673789527E-2</v>
      </c>
      <c r="DB46" s="18"/>
      <c r="DC46" s="21" t="str">
        <f>$W$46</f>
        <v>Hebebühne für Folie aus und ausrollen und Schnitt</v>
      </c>
      <c r="DD46" s="47"/>
      <c r="DE46" s="47">
        <f>'Var Vorgaben'!$C$136</f>
        <v>100</v>
      </c>
      <c r="DF46" s="63">
        <f>'Var Vorgaben'!$I$136*(1+Eingabeseite!$C$28)</f>
        <v>17.5</v>
      </c>
      <c r="DG46" s="45">
        <f>DE46*DF46</f>
        <v>1750</v>
      </c>
      <c r="DH46" s="44">
        <f t="shared" si="44"/>
        <v>2.61971205540786E-2</v>
      </c>
    </row>
    <row r="47" spans="1:112" ht="13.5" thickBot="1" x14ac:dyDescent="0.35">
      <c r="B47" s="21" t="str">
        <f>'Var Vorgaben'!$B$135</f>
        <v>Schnittholzhacker</v>
      </c>
      <c r="C47" s="59">
        <f>'Var Vorgaben'!$E$135</f>
        <v>1</v>
      </c>
      <c r="D47" s="752">
        <f>'Var Vorgaben'!$C$135</f>
        <v>3</v>
      </c>
      <c r="E47" s="63">
        <f>'Var Vorgaben'!$D$135*(1+Eingabeseite!C28)</f>
        <v>68.3</v>
      </c>
      <c r="F47" s="208">
        <f>E47*D47*C47</f>
        <v>204.89999999999998</v>
      </c>
      <c r="G47" s="44">
        <f t="shared" si="29"/>
        <v>1.8320855668722432E-2</v>
      </c>
      <c r="H47" s="18"/>
      <c r="I47" s="21" t="str">
        <f>'Var Vorgaben'!$B$135</f>
        <v>Schnittholzhacker</v>
      </c>
      <c r="J47" s="59">
        <f>'Var Vorgaben'!$E$135</f>
        <v>1</v>
      </c>
      <c r="K47" s="752">
        <f>'Var Vorgaben'!$C$135</f>
        <v>3</v>
      </c>
      <c r="L47" s="63">
        <f>'Var Vorgaben'!$D$135*(1+Eingabeseite!C28)</f>
        <v>68.3</v>
      </c>
      <c r="M47" s="208">
        <f>L47*K47*J47</f>
        <v>204.89999999999998</v>
      </c>
      <c r="N47" s="44">
        <f t="shared" si="30"/>
        <v>1.788259087639139E-2</v>
      </c>
      <c r="O47" s="18"/>
      <c r="P47" s="21" t="str">
        <f>'Var Vorgaben'!$B$135</f>
        <v>Schnittholzhacker</v>
      </c>
      <c r="Q47" s="59">
        <f>'Var Vorgaben'!$E$135</f>
        <v>1</v>
      </c>
      <c r="R47" s="752">
        <f>'Var Vorgaben'!$C$135</f>
        <v>3</v>
      </c>
      <c r="S47" s="63">
        <f>'Var Vorgaben'!$D$135*(1+Eingabeseite!C28)</f>
        <v>68.3</v>
      </c>
      <c r="T47" s="208">
        <f>S47*R47*Q47</f>
        <v>204.89999999999998</v>
      </c>
      <c r="U47" s="44">
        <f t="shared" si="31"/>
        <v>2.8553682412123904E-3</v>
      </c>
      <c r="V47" s="18"/>
      <c r="W47" s="21" t="str">
        <f>'Var Vorgaben'!$B$135</f>
        <v>Schnittholzhacker</v>
      </c>
      <c r="X47" s="59">
        <f>'Var Vorgaben'!$E$135</f>
        <v>1</v>
      </c>
      <c r="Y47" s="752">
        <f>'Var Vorgaben'!$C$135</f>
        <v>3</v>
      </c>
      <c r="Z47" s="63">
        <f>'Var Vorgaben'!$D$135*(1+Eingabeseite!$C$28)</f>
        <v>68.3</v>
      </c>
      <c r="AA47" s="208">
        <f>Z47*Y47*X47</f>
        <v>204.89999999999998</v>
      </c>
      <c r="AB47" s="44">
        <f t="shared" si="32"/>
        <v>5.9162577459649984E-3</v>
      </c>
      <c r="AC47" s="18"/>
      <c r="AD47" s="21" t="str">
        <f>'Var Vorgaben'!$B$135</f>
        <v>Schnittholzhacker</v>
      </c>
      <c r="AE47" s="59">
        <f>'Var Vorgaben'!$E$135</f>
        <v>1</v>
      </c>
      <c r="AF47" s="752">
        <f>'Var Vorgaben'!$C$135</f>
        <v>3</v>
      </c>
      <c r="AG47" s="63">
        <f>'Var Vorgaben'!$D$135*(1+Eingabeseite!$C$28)</f>
        <v>68.3</v>
      </c>
      <c r="AH47" s="208">
        <f>AG47*AF47*AE47</f>
        <v>204.89999999999998</v>
      </c>
      <c r="AI47" s="44">
        <f t="shared" si="33"/>
        <v>3.7201065475455297E-3</v>
      </c>
      <c r="AJ47" s="18"/>
      <c r="AK47" s="21" t="str">
        <f>'Var Vorgaben'!$B$135</f>
        <v>Schnittholzhacker</v>
      </c>
      <c r="AL47" s="59">
        <f>'Var Vorgaben'!$E$135</f>
        <v>1</v>
      </c>
      <c r="AM47" s="752">
        <f>'Var Vorgaben'!$C$135</f>
        <v>3</v>
      </c>
      <c r="AN47" s="63">
        <f>'Var Vorgaben'!$D$135*(1+Eingabeseite!$C$28)</f>
        <v>68.3</v>
      </c>
      <c r="AO47" s="208">
        <f>AN47*AM47*AL47</f>
        <v>204.89999999999998</v>
      </c>
      <c r="AP47" s="44">
        <f t="shared" si="34"/>
        <v>3.2318834826925076E-3</v>
      </c>
      <c r="AQ47" s="18"/>
      <c r="AR47" s="21" t="str">
        <f>'Var Vorgaben'!$B$135</f>
        <v>Schnittholzhacker</v>
      </c>
      <c r="AS47" s="59">
        <f>'Var Vorgaben'!$E$135</f>
        <v>1</v>
      </c>
      <c r="AT47" s="752">
        <f>'Var Vorgaben'!$C$135</f>
        <v>3</v>
      </c>
      <c r="AU47" s="63">
        <f>'Var Vorgaben'!$D$135*(1+Eingabeseite!$C$28)</f>
        <v>68.3</v>
      </c>
      <c r="AV47" s="208">
        <f>AU47*AT47*AS47</f>
        <v>204.89999999999998</v>
      </c>
      <c r="AW47" s="44">
        <f t="shared" si="35"/>
        <v>2.8692454119206177E-3</v>
      </c>
      <c r="AX47" s="18"/>
      <c r="AY47" s="4" t="str">
        <f>'Var Vorgaben'!$B$135</f>
        <v>Schnittholzhacker</v>
      </c>
      <c r="AZ47" s="59">
        <f>'Var Vorgaben'!$E$135</f>
        <v>1</v>
      </c>
      <c r="BA47" s="752">
        <f>'Var Vorgaben'!$C$135</f>
        <v>3</v>
      </c>
      <c r="BB47" s="63">
        <f>'Var Vorgaben'!$D$135*(1+Eingabeseite!$C$28)</f>
        <v>68.3</v>
      </c>
      <c r="BC47" s="208">
        <f>BB47*BA47*AZ47</f>
        <v>204.89999999999998</v>
      </c>
      <c r="BD47" s="44">
        <f t="shared" si="36"/>
        <v>2.8930605387953619E-3</v>
      </c>
      <c r="BE47" s="18"/>
      <c r="BF47" s="4" t="str">
        <f>'Var Vorgaben'!$B$135</f>
        <v>Schnittholzhacker</v>
      </c>
      <c r="BG47" s="59">
        <f>'Var Vorgaben'!$E$135</f>
        <v>1</v>
      </c>
      <c r="BH47" s="752">
        <f>'Var Vorgaben'!$C$135</f>
        <v>3</v>
      </c>
      <c r="BI47" s="63">
        <f>'Var Vorgaben'!$D$135*(1+Eingabeseite!$C$28)</f>
        <v>68.3</v>
      </c>
      <c r="BJ47" s="208">
        <f>BI47*BH47*BG47</f>
        <v>204.89999999999998</v>
      </c>
      <c r="BK47" s="44">
        <f t="shared" si="37"/>
        <v>2.8985505171270909E-3</v>
      </c>
      <c r="BL47" s="18"/>
      <c r="BM47" s="21" t="str">
        <f>'Var Vorgaben'!$B$135</f>
        <v>Schnittholzhacker</v>
      </c>
      <c r="BN47" s="59">
        <f>'Var Vorgaben'!$E$135</f>
        <v>1</v>
      </c>
      <c r="BO47" s="752">
        <f>'Var Vorgaben'!$C$135</f>
        <v>3</v>
      </c>
      <c r="BP47" s="63">
        <f>'Var Vorgaben'!$D$135*(1+Eingabeseite!$C$28)</f>
        <v>68.3</v>
      </c>
      <c r="BQ47" s="208">
        <f>BP47*BO47*BN47</f>
        <v>204.89999999999998</v>
      </c>
      <c r="BR47" s="44">
        <f t="shared" si="38"/>
        <v>1.7261968284264012E-3</v>
      </c>
      <c r="BS47" s="18"/>
      <c r="BT47" s="4" t="str">
        <f>'Var Vorgaben'!$B$135</f>
        <v>Schnittholzhacker</v>
      </c>
      <c r="BU47" s="59">
        <f>'Var Vorgaben'!$E$135</f>
        <v>1</v>
      </c>
      <c r="BV47" s="752">
        <f>'Var Vorgaben'!$C$135</f>
        <v>3</v>
      </c>
      <c r="BW47" s="63">
        <f>'Var Vorgaben'!$D$135*(1+Eingabeseite!$C$28)</f>
        <v>68.3</v>
      </c>
      <c r="BX47" s="208">
        <f>BW47*BV47*BU47</f>
        <v>204.89999999999998</v>
      </c>
      <c r="BY47" s="44">
        <f t="shared" si="39"/>
        <v>3.0277023778578428E-3</v>
      </c>
      <c r="BZ47" s="18"/>
      <c r="CA47" s="21" t="str">
        <f>'Var Vorgaben'!$B$135</f>
        <v>Schnittholzhacker</v>
      </c>
      <c r="CB47" s="59">
        <f>'Var Vorgaben'!$E$135</f>
        <v>1</v>
      </c>
      <c r="CC47" s="752">
        <f>'Var Vorgaben'!$C$135</f>
        <v>3</v>
      </c>
      <c r="CD47" s="63">
        <f>'Var Vorgaben'!$D$135*(1+Eingabeseite!$C$28)</f>
        <v>68.3</v>
      </c>
      <c r="CE47" s="208">
        <f>CD47*CC47*CB47</f>
        <v>204.89999999999998</v>
      </c>
      <c r="CF47" s="44">
        <f t="shared" si="40"/>
        <v>3.0325457643178805E-3</v>
      </c>
      <c r="CG47" s="18"/>
      <c r="CH47" s="21" t="str">
        <f>'Var Vorgaben'!$B$135</f>
        <v>Schnittholzhacker</v>
      </c>
      <c r="CI47" s="59">
        <f>'Var Vorgaben'!$E$135</f>
        <v>1</v>
      </c>
      <c r="CJ47" s="752">
        <f>'Var Vorgaben'!$C$135</f>
        <v>3</v>
      </c>
      <c r="CK47" s="63">
        <f>'Var Vorgaben'!$D$135*(1+Eingabeseite!$C$28)</f>
        <v>68.3</v>
      </c>
      <c r="CL47" s="208">
        <f>CK47*CJ47*CI47</f>
        <v>204.89999999999998</v>
      </c>
      <c r="CM47" s="44">
        <f t="shared" si="41"/>
        <v>3.016920619280231E-3</v>
      </c>
      <c r="CN47" s="18"/>
      <c r="CO47" s="4" t="str">
        <f>'Var Vorgaben'!$B$135</f>
        <v>Schnittholzhacker</v>
      </c>
      <c r="CP47" s="59">
        <f>'Var Vorgaben'!$E$135</f>
        <v>1</v>
      </c>
      <c r="CQ47" s="752">
        <f>'Var Vorgaben'!$C$135</f>
        <v>3</v>
      </c>
      <c r="CR47" s="63">
        <f>'Var Vorgaben'!$D$135*(1+Eingabeseite!$C$28)</f>
        <v>68.3</v>
      </c>
      <c r="CS47" s="208">
        <f>CR47*CQ47*CP47</f>
        <v>204.89999999999998</v>
      </c>
      <c r="CT47" s="44">
        <f t="shared" si="42"/>
        <v>3.042224793299385E-3</v>
      </c>
      <c r="CU47" s="18"/>
      <c r="CV47" s="21" t="str">
        <f>'Var Vorgaben'!$B$135</f>
        <v>Schnittholzhacker</v>
      </c>
      <c r="CW47" s="59">
        <f>'Var Vorgaben'!$E$135</f>
        <v>1</v>
      </c>
      <c r="CX47" s="752">
        <f>'Var Vorgaben'!$C$135</f>
        <v>3</v>
      </c>
      <c r="CY47" s="63">
        <f>'Var Vorgaben'!$D$135*(1+Eingabeseite!$C$28)</f>
        <v>68.3</v>
      </c>
      <c r="CZ47" s="208">
        <f>CY47*CX47*CW47</f>
        <v>204.89999999999998</v>
      </c>
      <c r="DA47" s="44">
        <f t="shared" si="43"/>
        <v>3.1983530252911278E-3</v>
      </c>
      <c r="DB47" s="18"/>
      <c r="DC47" s="4" t="str">
        <f>'Var Vorgaben'!$B$135</f>
        <v>Schnittholzhacker</v>
      </c>
      <c r="DD47" s="59">
        <f>'Var Vorgaben'!$E$135</f>
        <v>1</v>
      </c>
      <c r="DE47" s="752">
        <f>'Var Vorgaben'!$C$135</f>
        <v>3</v>
      </c>
      <c r="DF47" s="63">
        <f>'Var Vorgaben'!$D$135*(1+Eingabeseite!$C$28)</f>
        <v>68.3</v>
      </c>
      <c r="DG47" s="208">
        <f>DF47*DE47*DD47</f>
        <v>204.89999999999998</v>
      </c>
      <c r="DH47" s="44">
        <f t="shared" si="44"/>
        <v>3.0673085723032598E-3</v>
      </c>
    </row>
    <row r="48" spans="1:112" ht="16.5" customHeight="1" x14ac:dyDescent="0.3">
      <c r="B48" s="21" t="s">
        <v>146</v>
      </c>
      <c r="C48" s="47"/>
      <c r="D48" s="438">
        <f>(C40*D40)+(C41*D41)+(C42*D42)+(D43)+(C45*D45)+(C47*D47)</f>
        <v>12</v>
      </c>
      <c r="E48" s="63"/>
      <c r="F48" s="120">
        <f>SUM(F40:F47)</f>
        <v>616.9</v>
      </c>
      <c r="G48" s="670">
        <f t="shared" si="29"/>
        <v>5.5159277023108196E-2</v>
      </c>
      <c r="H48" s="18"/>
      <c r="I48" s="21" t="s">
        <v>146</v>
      </c>
      <c r="J48" s="47"/>
      <c r="K48" s="438">
        <f>(J40*K40)+(J41*K41)+(J42*K42)+(K43)+(J45*K45)+(J47*K47)</f>
        <v>15</v>
      </c>
      <c r="L48" s="63"/>
      <c r="M48" s="120">
        <f>SUM(M40:M47)</f>
        <v>708.9</v>
      </c>
      <c r="N48" s="670">
        <f t="shared" si="30"/>
        <v>6.1869051597236983E-2</v>
      </c>
      <c r="O48" s="18"/>
      <c r="P48" s="21" t="s">
        <v>146</v>
      </c>
      <c r="Q48" s="47"/>
      <c r="R48" s="438">
        <f>(Q40*R40)+(Q41*R41)+(Q42*R42)+(R43)+(Q45*R45)+(Q47*R47)</f>
        <v>35.576329331046317</v>
      </c>
      <c r="S48" s="63"/>
      <c r="T48" s="120">
        <f>SUM(T40:T47)</f>
        <v>3130.3082332761583</v>
      </c>
      <c r="U48" s="670">
        <f t="shared" si="31"/>
        <v>4.3622170397766766E-2</v>
      </c>
      <c r="V48" s="18"/>
      <c r="W48" s="21" t="s">
        <v>146</v>
      </c>
      <c r="X48" s="47"/>
      <c r="Y48" s="438">
        <f>(X40*Y40)+(X41*Y41)+(X42*Y42)+(Y43)+(X45*Y45)+(X47*Y47)</f>
        <v>62.30531732418526</v>
      </c>
      <c r="Z48" s="63"/>
      <c r="AA48" s="120">
        <f>SUM(AA40:AA47)</f>
        <v>3791.5329331046319</v>
      </c>
      <c r="AB48" s="670">
        <f t="shared" si="32"/>
        <v>0.10947626200371728</v>
      </c>
      <c r="AC48" s="18"/>
      <c r="AD48" s="21" t="s">
        <v>146</v>
      </c>
      <c r="AE48" s="47"/>
      <c r="AF48" s="438">
        <f>(AE40*AF40)+(AE41*AF41)+(AE42*AF42)+(AF43)+(AE45*AF45)+(AE47*AF47)</f>
        <v>104.01543739279589</v>
      </c>
      <c r="AG48" s="63"/>
      <c r="AH48" s="120">
        <f>SUM(AH40:AH47)</f>
        <v>4841.2859348198963</v>
      </c>
      <c r="AI48" s="670">
        <f t="shared" si="33"/>
        <v>8.789702052056407E-2</v>
      </c>
      <c r="AJ48" s="18"/>
      <c r="AK48" s="21" t="s">
        <v>146</v>
      </c>
      <c r="AL48" s="47"/>
      <c r="AM48" s="438">
        <f>(AL40*AM40)+(AL41*AM41)+(AL42*AM42)+(AM43)+(AL45*AM45)+(AL47*AM47)</f>
        <v>126.48542024013723</v>
      </c>
      <c r="AN48" s="63"/>
      <c r="AO48" s="120">
        <f>SUM(AO40:AO47)</f>
        <v>5403.0355060034308</v>
      </c>
      <c r="AP48" s="670">
        <f t="shared" si="34"/>
        <v>8.5221967829446785E-2</v>
      </c>
      <c r="AQ48" s="18"/>
      <c r="AR48" s="21" t="s">
        <v>146</v>
      </c>
      <c r="AS48" s="47"/>
      <c r="AT48" s="438">
        <f>(AS40*AT40)+(AS41*AT41)+(AS42*AT42)+(AT43)+(AS45*AT45)+(AS47*AT47)</f>
        <v>148.06861063464839</v>
      </c>
      <c r="AU48" s="63"/>
      <c r="AV48" s="120">
        <f>SUM(AV40:AV47)</f>
        <v>5935.6152658662086</v>
      </c>
      <c r="AW48" s="670">
        <f t="shared" si="35"/>
        <v>8.3117310241642747E-2</v>
      </c>
      <c r="AX48" s="18"/>
      <c r="AY48" s="4" t="s">
        <v>146</v>
      </c>
      <c r="AZ48" s="47"/>
      <c r="BA48" s="438">
        <f>(AZ40*BA40)+(AZ41*BA41)+(AZ42*BA42)+(BA43)+(AZ45*BA45)+(AZ47*BA47)</f>
        <v>147.06861063464839</v>
      </c>
      <c r="BB48" s="63"/>
      <c r="BC48" s="120">
        <f>SUM(BC40:BC47)</f>
        <v>5917.6152658662086</v>
      </c>
      <c r="BD48" s="670">
        <f t="shared" si="36"/>
        <v>8.3553046410202808E-2</v>
      </c>
      <c r="BE48" s="18"/>
      <c r="BF48" s="4" t="s">
        <v>146</v>
      </c>
      <c r="BG48" s="47"/>
      <c r="BH48" s="438">
        <f>(BG40*BH40)+(BG41*BH41)+(BG42*BH42)+(BH43)+(BG45*BH45)+(BG47*BH47)</f>
        <v>147.06861063464839</v>
      </c>
      <c r="BI48" s="63"/>
      <c r="BJ48" s="120">
        <f>SUM(BJ40:BJ47)</f>
        <v>5917.6152658662086</v>
      </c>
      <c r="BK48" s="670">
        <f t="shared" si="37"/>
        <v>8.3711599751272167E-2</v>
      </c>
      <c r="BL48" s="18"/>
      <c r="BM48" s="21" t="s">
        <v>146</v>
      </c>
      <c r="BN48" s="47"/>
      <c r="BO48" s="438">
        <f>(BN40*BO40)+(BN41*BO41)+(BN42*BO42)+(BO43)+(BN45*BO45)+(BN47*BO47)</f>
        <v>148.06861063464839</v>
      </c>
      <c r="BP48" s="63"/>
      <c r="BQ48" s="120">
        <f>SUM(BQ40:BQ47)</f>
        <v>5935.6152658662086</v>
      </c>
      <c r="BR48" s="670">
        <f t="shared" si="38"/>
        <v>5.0005076850647055E-2</v>
      </c>
      <c r="BS48" s="18"/>
      <c r="BT48" s="4" t="s">
        <v>146</v>
      </c>
      <c r="BU48" s="47"/>
      <c r="BV48" s="438">
        <f>(BU40*BV40)+(BU41*BV41)+(BU42*BV42)+(BV43)+(BU45*BV45)+(BU47*BV47)</f>
        <v>138.49228130360206</v>
      </c>
      <c r="BW48" s="63"/>
      <c r="BX48" s="120">
        <f>SUM(BX40:BX47)</f>
        <v>5703.2070325900513</v>
      </c>
      <c r="BY48" s="670">
        <f t="shared" si="39"/>
        <v>8.4273369907215581E-2</v>
      </c>
      <c r="BZ48" s="18"/>
      <c r="CA48" s="21" t="s">
        <v>146</v>
      </c>
      <c r="CB48" s="47"/>
      <c r="CC48" s="438">
        <f>(CB40*CC40)+(CB41*CC41)+(CB42*CC42)+(CC43)+(CB45*CC45)+(CB47*CC47)</f>
        <v>138.49228130360206</v>
      </c>
      <c r="CD48" s="63"/>
      <c r="CE48" s="120">
        <f>SUM(CE40:CE47)</f>
        <v>5703.2070325900513</v>
      </c>
      <c r="CF48" s="670">
        <f t="shared" si="40"/>
        <v>8.4408181208925862E-2</v>
      </c>
      <c r="CG48" s="18"/>
      <c r="CH48" s="21" t="s">
        <v>146</v>
      </c>
      <c r="CI48" s="47"/>
      <c r="CJ48" s="438">
        <f>(CI40*CJ40)+(CI41*CJ41)+(CI42*CJ42)+(CJ43)+(CI45*CJ45)+(CI47*CJ47)</f>
        <v>139.49228130360206</v>
      </c>
      <c r="CK48" s="63"/>
      <c r="CL48" s="120">
        <f>SUM(CL40:CL47)</f>
        <v>5721.2070325900513</v>
      </c>
      <c r="CM48" s="670">
        <f t="shared" si="41"/>
        <v>8.4238298993616359E-2</v>
      </c>
      <c r="CN48" s="18"/>
      <c r="CO48" s="4" t="s">
        <v>146</v>
      </c>
      <c r="CP48" s="47"/>
      <c r="CQ48" s="438">
        <f>(CP40*CQ40)+(CP41*CQ41)+(CP42*CQ42)+(CQ43)+(CP45*CQ45)+(CP47*CQ47)</f>
        <v>138.49228130360206</v>
      </c>
      <c r="CR48" s="63"/>
      <c r="CS48" s="120">
        <f>SUM(CS40:CS47)</f>
        <v>5703.2070325900513</v>
      </c>
      <c r="CT48" s="670">
        <f t="shared" si="42"/>
        <v>8.4677588266788034E-2</v>
      </c>
      <c r="CU48" s="18"/>
      <c r="CV48" s="21" t="s">
        <v>146</v>
      </c>
      <c r="CW48" s="47"/>
      <c r="CX48" s="438">
        <f>(CW40*CX40)+(CW41*CX41)+(CW42*CX42)+(CX43)+(CW45*CX45)+(CW47*CX47)</f>
        <v>129.91595197255577</v>
      </c>
      <c r="CY48" s="63"/>
      <c r="CZ48" s="120">
        <f>SUM(CZ40:CZ47)</f>
        <v>5488.7987993138941</v>
      </c>
      <c r="DA48" s="670">
        <f t="shared" si="43"/>
        <v>8.567650680819866E-2</v>
      </c>
      <c r="DB48" s="18"/>
      <c r="DC48" s="4" t="s">
        <v>146</v>
      </c>
      <c r="DD48" s="47"/>
      <c r="DE48" s="438">
        <f>(DD40*DE40)+(DD41*DE41)+(DD42*DE42)+(DE43)+(DD45*DE45)+(DD47*DE47)</f>
        <v>121.33962264150945</v>
      </c>
      <c r="DF48" s="63"/>
      <c r="DG48" s="120">
        <f>SUM(DG40:DG47)</f>
        <v>5274.3905660377359</v>
      </c>
      <c r="DH48" s="670">
        <f t="shared" si="44"/>
        <v>7.8956483147305967E-2</v>
      </c>
    </row>
    <row r="49" spans="1:112" x14ac:dyDescent="0.3">
      <c r="A49" s="159"/>
      <c r="B49" s="64" t="str">
        <f>'Var Vorgaben'!$B$126</f>
        <v>Obstbautraktor 4-Rad</v>
      </c>
      <c r="C49" s="47"/>
      <c r="D49" s="439">
        <f>D48</f>
        <v>12</v>
      </c>
      <c r="E49" s="63">
        <f>'Var Vorgaben'!$D$126*(1+Eingabeseite!C28)</f>
        <v>41</v>
      </c>
      <c r="F49" s="120">
        <f>D49*E49</f>
        <v>492</v>
      </c>
      <c r="G49" s="44">
        <f t="shared" si="29"/>
        <v>4.3991512879509212E-2</v>
      </c>
      <c r="H49" s="159"/>
      <c r="I49" s="64" t="str">
        <f>'Var Vorgaben'!$B$126</f>
        <v>Obstbautraktor 4-Rad</v>
      </c>
      <c r="J49" s="47"/>
      <c r="K49" s="439">
        <f>K48</f>
        <v>15</v>
      </c>
      <c r="L49" s="63">
        <f>'Var Vorgaben'!$D$126*(1+Eingabeseite!C28)</f>
        <v>41</v>
      </c>
      <c r="M49" s="120">
        <f>K49*L49</f>
        <v>615</v>
      </c>
      <c r="N49" s="44">
        <f t="shared" si="30"/>
        <v>5.3673955046269921E-2</v>
      </c>
      <c r="O49" s="159"/>
      <c r="P49" s="64" t="str">
        <f>'Var Vorgaben'!$B$126</f>
        <v>Obstbautraktor 4-Rad</v>
      </c>
      <c r="Q49" s="47"/>
      <c r="R49" s="439">
        <f>R48</f>
        <v>35.576329331046317</v>
      </c>
      <c r="S49" s="63">
        <f>'Var Vorgaben'!$D$126*(1+Eingabeseite!C28)</f>
        <v>41</v>
      </c>
      <c r="T49" s="120">
        <f>R49*S49</f>
        <v>1458.6295025728989</v>
      </c>
      <c r="U49" s="44">
        <f t="shared" si="31"/>
        <v>2.0326619606354724E-2</v>
      </c>
      <c r="V49" s="159"/>
      <c r="W49" s="64" t="str">
        <f>'Var Vorgaben'!$B$126</f>
        <v>Obstbautraktor 4-Rad</v>
      </c>
      <c r="X49" s="47"/>
      <c r="Y49" s="439">
        <f>Y48</f>
        <v>62.30531732418526</v>
      </c>
      <c r="Z49" s="63">
        <f>'Var Vorgaben'!$D$126*(1+Eingabeseite!$C$28)</f>
        <v>41</v>
      </c>
      <c r="AA49" s="120">
        <f>Y49*Z49</f>
        <v>2554.5180102915956</v>
      </c>
      <c r="AB49" s="44">
        <f t="shared" si="32"/>
        <v>7.3758843170301361E-2</v>
      </c>
      <c r="AC49" s="159"/>
      <c r="AD49" s="64" t="str">
        <f>'Var Vorgaben'!$B$126</f>
        <v>Obstbautraktor 4-Rad</v>
      </c>
      <c r="AE49" s="47"/>
      <c r="AF49" s="439">
        <f>AF48</f>
        <v>104.01543739279589</v>
      </c>
      <c r="AG49" s="63">
        <f>'Var Vorgaben'!$D$126*(1+Eingabeseite!$C$28)</f>
        <v>41</v>
      </c>
      <c r="AH49" s="120">
        <f>AF49*AG49</f>
        <v>4264.6329331046318</v>
      </c>
      <c r="AI49" s="44">
        <f t="shared" si="33"/>
        <v>7.7427471436412099E-2</v>
      </c>
      <c r="AJ49" s="159"/>
      <c r="AK49" s="64" t="str">
        <f>'Var Vorgaben'!$B$126</f>
        <v>Obstbautraktor 4-Rad</v>
      </c>
      <c r="AL49" s="47"/>
      <c r="AM49" s="439">
        <f>AM48</f>
        <v>126.48542024013723</v>
      </c>
      <c r="AN49" s="63">
        <f>'Var Vorgaben'!$D$126*(1+Eingabeseite!$C$28)</f>
        <v>41</v>
      </c>
      <c r="AO49" s="120">
        <f>AM49*AN49</f>
        <v>5185.9022298456266</v>
      </c>
      <c r="AP49" s="44">
        <f t="shared" si="34"/>
        <v>8.1797129133705834E-2</v>
      </c>
      <c r="AQ49" s="159"/>
      <c r="AR49" s="64" t="str">
        <f>'Var Vorgaben'!$B$126</f>
        <v>Obstbautraktor 4-Rad</v>
      </c>
      <c r="AS49" s="47"/>
      <c r="AT49" s="439">
        <f>AT48</f>
        <v>148.06861063464839</v>
      </c>
      <c r="AU49" s="63">
        <f>'Var Vorgaben'!$D$126*(1+Eingabeseite!$C$28)</f>
        <v>41</v>
      </c>
      <c r="AV49" s="120">
        <f>AT49*AU49</f>
        <v>6070.8130360205841</v>
      </c>
      <c r="AW49" s="44">
        <f t="shared" si="35"/>
        <v>8.501050488155168E-2</v>
      </c>
      <c r="AX49" s="159"/>
      <c r="AY49" s="107" t="str">
        <f>'Var Vorgaben'!$B$126</f>
        <v>Obstbautraktor 4-Rad</v>
      </c>
      <c r="AZ49" s="47"/>
      <c r="BA49" s="439">
        <f>BA48</f>
        <v>147.06861063464839</v>
      </c>
      <c r="BB49" s="63">
        <f>'Var Vorgaben'!$D$126*(1+Eingabeseite!$C$28)</f>
        <v>41</v>
      </c>
      <c r="BC49" s="120">
        <f>BA49*BB49</f>
        <v>6029.8130360205841</v>
      </c>
      <c r="BD49" s="44">
        <f t="shared" si="36"/>
        <v>8.5137209130429534E-2</v>
      </c>
      <c r="BE49" s="159"/>
      <c r="BF49" s="107" t="str">
        <f>'Var Vorgaben'!$B$126</f>
        <v>Obstbautraktor 4-Rad</v>
      </c>
      <c r="BG49" s="47"/>
      <c r="BH49" s="439">
        <f>BH48</f>
        <v>147.06861063464839</v>
      </c>
      <c r="BI49" s="63">
        <f>'Var Vorgaben'!$D$126*(1+Eingabeseite!$C$28)</f>
        <v>41</v>
      </c>
      <c r="BJ49" s="120">
        <f>BH49*BI49</f>
        <v>6029.8130360205841</v>
      </c>
      <c r="BK49" s="44">
        <f t="shared" si="37"/>
        <v>8.5298768637077305E-2</v>
      </c>
      <c r="BL49" s="159"/>
      <c r="BM49" s="64" t="str">
        <f>'Var Vorgaben'!$B$126</f>
        <v>Obstbautraktor 4-Rad</v>
      </c>
      <c r="BN49" s="47"/>
      <c r="BO49" s="439">
        <f>BO48</f>
        <v>148.06861063464839</v>
      </c>
      <c r="BP49" s="63">
        <f>'Var Vorgaben'!$D$126*(1+Eingabeseite!$C$28)</f>
        <v>41</v>
      </c>
      <c r="BQ49" s="120">
        <f>BO49*BP49</f>
        <v>6070.8130360205841</v>
      </c>
      <c r="BR49" s="44">
        <f t="shared" si="38"/>
        <v>5.1144061536107302E-2</v>
      </c>
      <c r="BS49" s="159"/>
      <c r="BT49" s="107" t="str">
        <f>'Var Vorgaben'!$B$126</f>
        <v>Obstbautraktor 4-Rad</v>
      </c>
      <c r="BU49" s="47"/>
      <c r="BV49" s="439">
        <f>BV48</f>
        <v>138.49228130360206</v>
      </c>
      <c r="BW49" s="63">
        <f>'Var Vorgaben'!$D$126*(1+Eingabeseite!$C$28)</f>
        <v>41</v>
      </c>
      <c r="BX49" s="120">
        <f>BV49*BW49</f>
        <v>5678.1835334476846</v>
      </c>
      <c r="BY49" s="44">
        <f t="shared" si="39"/>
        <v>8.3903610474049803E-2</v>
      </c>
      <c r="BZ49" s="159"/>
      <c r="CA49" s="64" t="str">
        <f>'Var Vorgaben'!$B$126</f>
        <v>Obstbautraktor 4-Rad</v>
      </c>
      <c r="CB49" s="47"/>
      <c r="CC49" s="439">
        <f>CC48</f>
        <v>138.49228130360206</v>
      </c>
      <c r="CD49" s="63">
        <f>'Var Vorgaben'!$D$126*(1+Eingabeseite!$C$28)</f>
        <v>41</v>
      </c>
      <c r="CE49" s="120">
        <f>CC49*CD49</f>
        <v>5678.1835334476846</v>
      </c>
      <c r="CF49" s="44">
        <f t="shared" si="40"/>
        <v>8.4037830275140626E-2</v>
      </c>
      <c r="CG49" s="159"/>
      <c r="CH49" s="64" t="str">
        <f>'Var Vorgaben'!$B$126</f>
        <v>Obstbautraktor 4-Rad</v>
      </c>
      <c r="CI49" s="47"/>
      <c r="CJ49" s="439">
        <f>CJ48</f>
        <v>139.49228130360206</v>
      </c>
      <c r="CK49" s="63">
        <f>'Var Vorgaben'!$D$126*(1+Eingabeseite!$C$28)</f>
        <v>41</v>
      </c>
      <c r="CL49" s="120">
        <f>CJ49*CK49</f>
        <v>5719.1835334476846</v>
      </c>
      <c r="CM49" s="44">
        <f t="shared" si="41"/>
        <v>8.4208505258693458E-2</v>
      </c>
      <c r="CN49" s="159"/>
      <c r="CO49" s="107" t="str">
        <f>'Var Vorgaben'!$B$126</f>
        <v>Obstbautraktor 4-Rad</v>
      </c>
      <c r="CP49" s="47"/>
      <c r="CQ49" s="439">
        <f>CQ48</f>
        <v>138.49228130360206</v>
      </c>
      <c r="CR49" s="63">
        <f>'Var Vorgaben'!$D$126*(1+Eingabeseite!$C$28)</f>
        <v>41</v>
      </c>
      <c r="CS49" s="120">
        <f>CQ49*CR49</f>
        <v>5678.1835334476846</v>
      </c>
      <c r="CT49" s="44">
        <f t="shared" si="42"/>
        <v>8.4306055277495628E-2</v>
      </c>
      <c r="CU49" s="159"/>
      <c r="CV49" s="64" t="str">
        <f>'Var Vorgaben'!$B$126</f>
        <v>Obstbautraktor 4-Rad</v>
      </c>
      <c r="CW49" s="47"/>
      <c r="CX49" s="439">
        <f>CX48</f>
        <v>129.91595197255577</v>
      </c>
      <c r="CY49" s="63">
        <f>'Var Vorgaben'!$D$126*(1+Eingabeseite!$C$28)</f>
        <v>41</v>
      </c>
      <c r="CZ49" s="120">
        <f>CX49*CY49</f>
        <v>5326.5540308747868</v>
      </c>
      <c r="DA49" s="44">
        <f t="shared" si="43"/>
        <v>8.3143973640922533E-2</v>
      </c>
      <c r="DB49" s="159"/>
      <c r="DC49" s="107" t="str">
        <f>'Var Vorgaben'!$B$126</f>
        <v>Obstbautraktor 4-Rad</v>
      </c>
      <c r="DD49" s="47"/>
      <c r="DE49" s="439">
        <f>DE48</f>
        <v>121.33962264150945</v>
      </c>
      <c r="DF49" s="63">
        <f>'Var Vorgaben'!$D$126*(1+Eingabeseite!$C$28)</f>
        <v>41</v>
      </c>
      <c r="DG49" s="120">
        <f>DE49*DF49</f>
        <v>4974.9245283018872</v>
      </c>
      <c r="DH49" s="44">
        <f t="shared" si="44"/>
        <v>7.4473541494495518E-2</v>
      </c>
    </row>
    <row r="50" spans="1:112" thickBot="1" x14ac:dyDescent="0.3">
      <c r="A50" s="149"/>
      <c r="B50" s="21" t="str">
        <f>'Var Vorgaben'!$B$137</f>
        <v>Diverse Kleingeräte</v>
      </c>
      <c r="C50" s="47"/>
      <c r="D50" s="47"/>
      <c r="E50" s="63"/>
      <c r="F50" s="663">
        <f>'Var Vorgaben'!$D$137*(1+Eingabeseite!$C$28)</f>
        <v>500</v>
      </c>
      <c r="G50" s="44">
        <f t="shared" si="29"/>
        <v>4.4706822032021552E-2</v>
      </c>
      <c r="H50" s="149"/>
      <c r="I50" s="21" t="str">
        <f>'Var Vorgaben'!$B$137</f>
        <v>Diverse Kleingeräte</v>
      </c>
      <c r="J50" s="47"/>
      <c r="K50" s="47"/>
      <c r="L50" s="63"/>
      <c r="M50" s="663">
        <f>'Var Vorgaben'!$D$137*(1+Eingabeseite!$C$28)</f>
        <v>500</v>
      </c>
      <c r="N50" s="44">
        <f t="shared" si="30"/>
        <v>4.3637361826235704E-2</v>
      </c>
      <c r="O50" s="149"/>
      <c r="P50" s="21" t="str">
        <f>'Var Vorgaben'!$B$137</f>
        <v>Diverse Kleingeräte</v>
      </c>
      <c r="Q50" s="47"/>
      <c r="R50" s="47"/>
      <c r="S50" s="63"/>
      <c r="T50" s="663">
        <f>'Var Vorgaben'!$D$137*(1+Eingabeseite!$C$28)</f>
        <v>500</v>
      </c>
      <c r="U50" s="44">
        <f t="shared" si="31"/>
        <v>6.9677116671849459E-3</v>
      </c>
      <c r="V50" s="149"/>
      <c r="W50" s="21" t="str">
        <f>'Var Vorgaben'!$B$137</f>
        <v>Diverse Kleingeräte</v>
      </c>
      <c r="X50" s="47"/>
      <c r="Y50" s="47"/>
      <c r="Z50" s="63"/>
      <c r="AA50" s="663">
        <f>'Var Vorgaben'!$D$137*(1+Eingabeseite!$C$28)</f>
        <v>500</v>
      </c>
      <c r="AB50" s="44">
        <f t="shared" si="32"/>
        <v>1.443693935081747E-2</v>
      </c>
      <c r="AC50" s="149"/>
      <c r="AD50" s="21" t="str">
        <f>'Var Vorgaben'!$B$137</f>
        <v>Diverse Kleingeräte</v>
      </c>
      <c r="AE50" s="47"/>
      <c r="AF50" s="47"/>
      <c r="AG50" s="63"/>
      <c r="AH50" s="663">
        <f>'Var Vorgaben'!$D$137*(1+Eingabeseite!$C$28)</f>
        <v>500</v>
      </c>
      <c r="AI50" s="44">
        <f t="shared" si="33"/>
        <v>9.0778588275879212E-3</v>
      </c>
      <c r="AJ50" s="149"/>
      <c r="AK50" s="21" t="str">
        <f>'Var Vorgaben'!$B$137</f>
        <v>Diverse Kleingeräte</v>
      </c>
      <c r="AL50" s="47"/>
      <c r="AM50" s="47"/>
      <c r="AN50" s="63"/>
      <c r="AO50" s="663">
        <f>'Var Vorgaben'!$D$137*(1+Eingabeseite!$C$28)</f>
        <v>500</v>
      </c>
      <c r="AP50" s="44">
        <f t="shared" si="34"/>
        <v>7.8864897088640994E-3</v>
      </c>
      <c r="AQ50" s="149"/>
      <c r="AR50" s="21" t="str">
        <f>'Var Vorgaben'!$B$137</f>
        <v>Diverse Kleingeräte</v>
      </c>
      <c r="AS50" s="47"/>
      <c r="AT50" s="47"/>
      <c r="AU50" s="63"/>
      <c r="AV50" s="663">
        <f>'Var Vorgaben'!$D$137*(1+Eingabeseite!$C$28)</f>
        <v>500</v>
      </c>
      <c r="AW50" s="44">
        <f t="shared" si="35"/>
        <v>7.0015749436813527E-3</v>
      </c>
      <c r="AX50" s="149"/>
      <c r="AY50" s="4" t="str">
        <f>'Var Vorgaben'!$B$137</f>
        <v>Diverse Kleingeräte</v>
      </c>
      <c r="AZ50" s="47"/>
      <c r="BA50" s="47"/>
      <c r="BB50" s="63"/>
      <c r="BC50" s="663">
        <f>'Var Vorgaben'!$D$137*(1+Eingabeseite!$C$28)</f>
        <v>500</v>
      </c>
      <c r="BD50" s="44">
        <f t="shared" si="36"/>
        <v>7.0596889672898053E-3</v>
      </c>
      <c r="BE50" s="149"/>
      <c r="BF50" s="4" t="str">
        <f>'Var Vorgaben'!$B$137</f>
        <v>Diverse Kleingeräte</v>
      </c>
      <c r="BG50" s="47"/>
      <c r="BH50" s="47"/>
      <c r="BI50" s="63"/>
      <c r="BJ50" s="663">
        <f>'Var Vorgaben'!$D$137*(1+Eingabeseite!$C$28)</f>
        <v>500</v>
      </c>
      <c r="BK50" s="44">
        <f t="shared" si="37"/>
        <v>7.0730856933311154E-3</v>
      </c>
      <c r="BL50" s="149"/>
      <c r="BM50" s="21" t="str">
        <f>'Var Vorgaben'!$B$137</f>
        <v>Diverse Kleingeräte</v>
      </c>
      <c r="BN50" s="47"/>
      <c r="BO50" s="47"/>
      <c r="BP50" s="63"/>
      <c r="BQ50" s="663">
        <f>'Var Vorgaben'!$D$137*(1+Eingabeseite!$C$28)</f>
        <v>500</v>
      </c>
      <c r="BR50" s="44">
        <f t="shared" si="38"/>
        <v>4.2122909429634006E-3</v>
      </c>
      <c r="BS50" s="149"/>
      <c r="BT50" s="4" t="str">
        <f>'Var Vorgaben'!$B$137</f>
        <v>Diverse Kleingeräte</v>
      </c>
      <c r="BU50" s="47"/>
      <c r="BV50" s="47"/>
      <c r="BW50" s="63"/>
      <c r="BX50" s="663">
        <f>'Var Vorgaben'!$D$137*(1+Eingabeseite!$C$28)</f>
        <v>500</v>
      </c>
      <c r="BY50" s="44">
        <f t="shared" si="39"/>
        <v>7.3882439674422722E-3</v>
      </c>
      <c r="BZ50" s="149"/>
      <c r="CA50" s="21" t="str">
        <f>'Var Vorgaben'!$B$137</f>
        <v>Diverse Kleingeräte</v>
      </c>
      <c r="CB50" s="47"/>
      <c r="CC50" s="47"/>
      <c r="CD50" s="63"/>
      <c r="CE50" s="663">
        <f>'Var Vorgaben'!$D$137*(1+Eingabeseite!$C$28)</f>
        <v>500</v>
      </c>
      <c r="CF50" s="44">
        <f t="shared" si="40"/>
        <v>7.4000628704682303E-3</v>
      </c>
      <c r="CG50" s="149"/>
      <c r="CH50" s="21" t="str">
        <f>'Var Vorgaben'!$B$137</f>
        <v>Diverse Kleingeräte</v>
      </c>
      <c r="CI50" s="47"/>
      <c r="CJ50" s="47"/>
      <c r="CK50" s="63"/>
      <c r="CL50" s="663">
        <f>'Var Vorgaben'!$D$137*(1+Eingabeseite!$C$28)</f>
        <v>500</v>
      </c>
      <c r="CM50" s="44">
        <f t="shared" si="41"/>
        <v>7.361934161249954E-3</v>
      </c>
      <c r="CN50" s="149"/>
      <c r="CO50" s="4" t="str">
        <f>'Var Vorgaben'!$B$137</f>
        <v>Diverse Kleingeräte</v>
      </c>
      <c r="CP50" s="47"/>
      <c r="CQ50" s="47"/>
      <c r="CR50" s="63"/>
      <c r="CS50" s="663">
        <f>'Var Vorgaben'!$D$137*(1+Eingabeseite!$C$28)</f>
        <v>500</v>
      </c>
      <c r="CT50" s="44">
        <f t="shared" si="42"/>
        <v>7.4236817796471087E-3</v>
      </c>
      <c r="CU50" s="149"/>
      <c r="CV50" s="21" t="str">
        <f>'Var Vorgaben'!$B$137</f>
        <v>Diverse Kleingeräte</v>
      </c>
      <c r="CW50" s="47"/>
      <c r="CX50" s="47"/>
      <c r="CY50" s="63"/>
      <c r="CZ50" s="663">
        <f>'Var Vorgaben'!$D$137*(1+Eingabeseite!$C$28)</f>
        <v>500</v>
      </c>
      <c r="DA50" s="44">
        <f t="shared" si="43"/>
        <v>7.8046681925112941E-3</v>
      </c>
      <c r="DB50" s="149"/>
      <c r="DC50" s="4" t="str">
        <f>'Var Vorgaben'!$B$137</f>
        <v>Diverse Kleingeräte</v>
      </c>
      <c r="DD50" s="47"/>
      <c r="DE50" s="47"/>
      <c r="DF50" s="63"/>
      <c r="DG50" s="663">
        <f>'Var Vorgaben'!$D$137*(1+Eingabeseite!$C$28)</f>
        <v>500</v>
      </c>
      <c r="DH50" s="44">
        <f t="shared" si="44"/>
        <v>7.4848915868796001E-3</v>
      </c>
    </row>
    <row r="51" spans="1:112" x14ac:dyDescent="0.3">
      <c r="A51" s="109"/>
      <c r="C51" s="47"/>
      <c r="D51" s="47"/>
      <c r="E51" s="63"/>
      <c r="F51" s="82">
        <f>F50+F49+F48</f>
        <v>1608.9</v>
      </c>
      <c r="G51" s="668">
        <f t="shared" si="29"/>
        <v>0.14385761193463897</v>
      </c>
      <c r="H51" s="109"/>
      <c r="I51" s="21"/>
      <c r="J51" s="47"/>
      <c r="K51" s="47"/>
      <c r="L51" s="63"/>
      <c r="M51" s="82">
        <f>M50+M49+M48</f>
        <v>1823.9</v>
      </c>
      <c r="N51" s="668">
        <f t="shared" si="30"/>
        <v>0.15918036846974262</v>
      </c>
      <c r="O51" s="109"/>
      <c r="P51" s="21"/>
      <c r="Q51" s="47"/>
      <c r="R51" s="47"/>
      <c r="S51" s="63"/>
      <c r="T51" s="82">
        <f>T50+T49+T48</f>
        <v>5088.9377358490574</v>
      </c>
      <c r="U51" s="668">
        <f t="shared" si="31"/>
        <v>7.0916501671306434E-2</v>
      </c>
      <c r="V51" s="109"/>
      <c r="W51" s="21"/>
      <c r="X51" s="47"/>
      <c r="Y51" s="47"/>
      <c r="Z51" s="63"/>
      <c r="AA51" s="82">
        <f>AA50+AA49+AA48</f>
        <v>6846.050943396227</v>
      </c>
      <c r="AB51" s="668">
        <f t="shared" si="32"/>
        <v>0.19767204452483611</v>
      </c>
      <c r="AC51" s="109"/>
      <c r="AD51" s="21"/>
      <c r="AE51" s="47"/>
      <c r="AF51" s="47"/>
      <c r="AG51" s="63"/>
      <c r="AH51" s="82">
        <f>AH50+AH49+AH48</f>
        <v>9605.9188679245271</v>
      </c>
      <c r="AI51" s="668">
        <f t="shared" si="33"/>
        <v>0.17440235078456409</v>
      </c>
      <c r="AJ51" s="109"/>
      <c r="AK51" s="21"/>
      <c r="AL51" s="47"/>
      <c r="AM51" s="47"/>
      <c r="AN51" s="63"/>
      <c r="AO51" s="82">
        <f>AO50+AO49+AO48</f>
        <v>11088.937735849056</v>
      </c>
      <c r="AP51" s="668">
        <f t="shared" si="34"/>
        <v>0.17490558667201669</v>
      </c>
      <c r="AQ51" s="109"/>
      <c r="AR51" s="21"/>
      <c r="AS51" s="47"/>
      <c r="AT51" s="47"/>
      <c r="AU51" s="63"/>
      <c r="AV51" s="82">
        <f>AV50+AV49+AV48</f>
        <v>12506.428301886794</v>
      </c>
      <c r="AW51" s="668">
        <f t="shared" si="35"/>
        <v>0.17512939006687581</v>
      </c>
      <c r="AX51" s="109"/>
      <c r="AY51" s="4"/>
      <c r="AZ51" s="47"/>
      <c r="BA51" s="47"/>
      <c r="BB51" s="63"/>
      <c r="BC51" s="82">
        <f>BC50+BC49+BC48</f>
        <v>12447.428301886794</v>
      </c>
      <c r="BD51" s="668">
        <f t="shared" si="36"/>
        <v>0.17574994450792214</v>
      </c>
      <c r="BE51" s="109"/>
      <c r="BF51" s="21"/>
      <c r="BG51" s="47"/>
      <c r="BH51" s="47"/>
      <c r="BI51" s="63"/>
      <c r="BJ51" s="82">
        <f>BJ50+BJ49+BJ48</f>
        <v>12447.428301886794</v>
      </c>
      <c r="BK51" s="668">
        <f t="shared" si="37"/>
        <v>0.17608345408168061</v>
      </c>
      <c r="BL51" s="109"/>
      <c r="BM51" s="21"/>
      <c r="BN51" s="47"/>
      <c r="BO51" s="47"/>
      <c r="BP51" s="63"/>
      <c r="BQ51" s="82">
        <f>BQ50+BQ49+BQ48</f>
        <v>12506.428301886794</v>
      </c>
      <c r="BR51" s="668">
        <f t="shared" si="38"/>
        <v>0.10536142932971776</v>
      </c>
      <c r="BS51" s="109"/>
      <c r="BT51" s="4"/>
      <c r="BU51" s="47"/>
      <c r="BV51" s="47"/>
      <c r="BW51" s="63"/>
      <c r="BX51" s="82">
        <f>BX50+BX49+BX48</f>
        <v>11881.390566037735</v>
      </c>
      <c r="BY51" s="668">
        <f t="shared" si="39"/>
        <v>0.17556522434870764</v>
      </c>
      <c r="BZ51" s="109"/>
      <c r="CA51" s="21"/>
      <c r="CB51" s="47"/>
      <c r="CC51" s="47"/>
      <c r="CD51" s="63"/>
      <c r="CE51" s="82">
        <f>CE50+CE49+CE48</f>
        <v>11881.390566037735</v>
      </c>
      <c r="CF51" s="668">
        <f t="shared" si="40"/>
        <v>0.1758460743545347</v>
      </c>
      <c r="CG51" s="109"/>
      <c r="CH51" s="21"/>
      <c r="CI51" s="47"/>
      <c r="CJ51" s="47"/>
      <c r="CK51" s="63"/>
      <c r="CL51" s="82">
        <f>CL50+CL49+CL48</f>
        <v>11940.390566037735</v>
      </c>
      <c r="CM51" s="668">
        <f t="shared" si="41"/>
        <v>0.17580873841355976</v>
      </c>
      <c r="CN51" s="109"/>
      <c r="CO51" s="21"/>
      <c r="CP51" s="47"/>
      <c r="CQ51" s="47"/>
      <c r="CR51" s="63"/>
      <c r="CS51" s="82">
        <f>CS50+CS49+CS48</f>
        <v>11881.390566037735</v>
      </c>
      <c r="CT51" s="668">
        <f t="shared" si="42"/>
        <v>0.17640732532393077</v>
      </c>
      <c r="CU51" s="109"/>
      <c r="CV51" s="21"/>
      <c r="CW51" s="47"/>
      <c r="CX51" s="47"/>
      <c r="CY51" s="63"/>
      <c r="CZ51" s="82">
        <f>CZ50+CZ49+CZ48</f>
        <v>11315.35283018868</v>
      </c>
      <c r="DA51" s="668">
        <f t="shared" si="43"/>
        <v>0.17662514864163248</v>
      </c>
      <c r="DB51" s="109"/>
      <c r="DC51" s="21"/>
      <c r="DD51" s="47"/>
      <c r="DE51" s="47"/>
      <c r="DF51" s="63"/>
      <c r="DG51" s="82">
        <f>DG50+DG49+DG48</f>
        <v>10749.315094339623</v>
      </c>
      <c r="DH51" s="668">
        <f t="shared" si="44"/>
        <v>0.16091491622868109</v>
      </c>
    </row>
    <row r="52" spans="1:112" ht="19.5" customHeight="1" x14ac:dyDescent="0.25">
      <c r="A52"/>
      <c r="C52" s="59"/>
      <c r="D52" s="123" t="s">
        <v>34</v>
      </c>
      <c r="E52" s="126" t="s">
        <v>28</v>
      </c>
      <c r="F52" s="124" t="s">
        <v>29</v>
      </c>
      <c r="G52" s="44"/>
      <c r="H52"/>
      <c r="I52" s="21"/>
      <c r="J52" s="59"/>
      <c r="K52" s="123" t="s">
        <v>34</v>
      </c>
      <c r="L52" s="126" t="s">
        <v>28</v>
      </c>
      <c r="M52" s="124" t="s">
        <v>29</v>
      </c>
      <c r="N52" s="44"/>
      <c r="P52" s="21"/>
      <c r="Q52" s="59"/>
      <c r="R52" s="123" t="s">
        <v>34</v>
      </c>
      <c r="S52" s="126" t="s">
        <v>28</v>
      </c>
      <c r="T52" s="124" t="s">
        <v>29</v>
      </c>
      <c r="U52" s="44"/>
      <c r="W52" s="21"/>
      <c r="X52" s="59"/>
      <c r="Y52" s="123" t="s">
        <v>34</v>
      </c>
      <c r="Z52" s="126" t="s">
        <v>28</v>
      </c>
      <c r="AA52" s="124" t="s">
        <v>29</v>
      </c>
      <c r="AB52" s="44"/>
      <c r="AD52" s="21"/>
      <c r="AE52" s="59"/>
      <c r="AF52" s="123" t="s">
        <v>34</v>
      </c>
      <c r="AG52" s="126" t="s">
        <v>28</v>
      </c>
      <c r="AH52" s="124" t="s">
        <v>29</v>
      </c>
      <c r="AI52" s="44"/>
      <c r="AK52" s="21"/>
      <c r="AL52" s="59"/>
      <c r="AM52" s="123" t="s">
        <v>34</v>
      </c>
      <c r="AN52" s="126" t="s">
        <v>28</v>
      </c>
      <c r="AO52" s="124" t="s">
        <v>29</v>
      </c>
      <c r="AP52" s="44"/>
      <c r="AR52" s="21"/>
      <c r="AS52" s="59"/>
      <c r="AT52" s="123" t="s">
        <v>34</v>
      </c>
      <c r="AU52" s="126" t="s">
        <v>28</v>
      </c>
      <c r="AV52" s="124" t="s">
        <v>29</v>
      </c>
      <c r="AW52" s="44"/>
      <c r="AY52" s="21"/>
      <c r="AZ52" s="59"/>
      <c r="BA52" s="123" t="s">
        <v>34</v>
      </c>
      <c r="BB52" s="126" t="s">
        <v>28</v>
      </c>
      <c r="BC52" s="124" t="s">
        <v>29</v>
      </c>
      <c r="BD52" s="44"/>
      <c r="BF52" s="21"/>
      <c r="BG52" s="59"/>
      <c r="BH52" s="123" t="s">
        <v>34</v>
      </c>
      <c r="BI52" s="126" t="s">
        <v>28</v>
      </c>
      <c r="BJ52" s="124" t="s">
        <v>29</v>
      </c>
      <c r="BK52" s="44"/>
      <c r="BM52" s="21"/>
      <c r="BN52" s="59"/>
      <c r="BO52" s="123" t="s">
        <v>34</v>
      </c>
      <c r="BP52" s="126" t="s">
        <v>28</v>
      </c>
      <c r="BQ52" s="124" t="s">
        <v>29</v>
      </c>
      <c r="BR52" s="44"/>
      <c r="BT52" s="21"/>
      <c r="BU52" s="59"/>
      <c r="BV52" s="123" t="s">
        <v>34</v>
      </c>
      <c r="BW52" s="126" t="s">
        <v>28</v>
      </c>
      <c r="BX52" s="124" t="s">
        <v>29</v>
      </c>
      <c r="BY52" s="44"/>
      <c r="CA52" s="21"/>
      <c r="CB52" s="59"/>
      <c r="CC52" s="123" t="s">
        <v>34</v>
      </c>
      <c r="CD52" s="126" t="s">
        <v>28</v>
      </c>
      <c r="CE52" s="124" t="s">
        <v>29</v>
      </c>
      <c r="CF52" s="44"/>
      <c r="CH52" s="21"/>
      <c r="CI52" s="59"/>
      <c r="CJ52" s="123" t="s">
        <v>34</v>
      </c>
      <c r="CK52" s="126" t="s">
        <v>28</v>
      </c>
      <c r="CL52" s="124" t="s">
        <v>29</v>
      </c>
      <c r="CM52" s="44"/>
      <c r="CO52" s="21"/>
      <c r="CP52" s="59"/>
      <c r="CQ52" s="123" t="s">
        <v>34</v>
      </c>
      <c r="CR52" s="126" t="s">
        <v>28</v>
      </c>
      <c r="CS52" s="124" t="s">
        <v>29</v>
      </c>
      <c r="CT52" s="44"/>
      <c r="CV52" s="21"/>
      <c r="CW52" s="59"/>
      <c r="CX52" s="123" t="s">
        <v>34</v>
      </c>
      <c r="CY52" s="126" t="s">
        <v>28</v>
      </c>
      <c r="CZ52" s="124" t="s">
        <v>29</v>
      </c>
      <c r="DA52" s="44"/>
      <c r="DC52" s="21"/>
      <c r="DD52" s="59"/>
      <c r="DE52" s="123" t="s">
        <v>34</v>
      </c>
      <c r="DF52" s="126" t="s">
        <v>28</v>
      </c>
      <c r="DG52" s="124" t="s">
        <v>29</v>
      </c>
      <c r="DH52" s="44"/>
    </row>
    <row r="53" spans="1:112" ht="15.75" customHeight="1" x14ac:dyDescent="0.3">
      <c r="A53" s="18" t="s">
        <v>76</v>
      </c>
      <c r="B53" s="4" t="s">
        <v>36</v>
      </c>
      <c r="C53" s="59"/>
      <c r="D53" s="429">
        <f>C42*D42</f>
        <v>0</v>
      </c>
      <c r="E53" s="63">
        <f>'Var Vorgaben'!$C$30</f>
        <v>32.700000000000003</v>
      </c>
      <c r="F53" s="45">
        <f>D53*E53</f>
        <v>0</v>
      </c>
      <c r="G53" s="44">
        <f t="shared" ref="G53:G68" si="45">F53/$F$68</f>
        <v>0</v>
      </c>
      <c r="H53" s="18" t="s">
        <v>76</v>
      </c>
      <c r="I53" s="4" t="s">
        <v>36</v>
      </c>
      <c r="J53" s="59"/>
      <c r="K53" s="429">
        <f>J42*K42</f>
        <v>1</v>
      </c>
      <c r="L53" s="63">
        <f>'Var Vorgaben'!$C$30</f>
        <v>32.700000000000003</v>
      </c>
      <c r="M53" s="45">
        <f>K53*L53</f>
        <v>32.700000000000003</v>
      </c>
      <c r="N53" s="44">
        <f t="shared" ref="N53:N68" si="46">M53/$M$68</f>
        <v>2.8538834634358155E-3</v>
      </c>
      <c r="O53" s="18" t="s">
        <v>76</v>
      </c>
      <c r="P53" s="4" t="s">
        <v>36</v>
      </c>
      <c r="Q53" s="59"/>
      <c r="R53" s="429">
        <f>Q42*R42</f>
        <v>2</v>
      </c>
      <c r="S53" s="63">
        <f>'Var Vorgaben'!$C$30</f>
        <v>32.700000000000003</v>
      </c>
      <c r="T53" s="45">
        <f>R53*S53</f>
        <v>65.400000000000006</v>
      </c>
      <c r="U53" s="44">
        <f t="shared" ref="U53:U68" si="47">T53/$T$68</f>
        <v>9.1137668606779099E-4</v>
      </c>
      <c r="V53" s="18" t="s">
        <v>76</v>
      </c>
      <c r="W53" s="4" t="s">
        <v>36</v>
      </c>
      <c r="X53" s="59"/>
      <c r="Y53" s="429">
        <f>X42*Y42</f>
        <v>3</v>
      </c>
      <c r="Z53" s="63">
        <f>'Var Vorgaben'!$C$30</f>
        <v>32.700000000000003</v>
      </c>
      <c r="AA53" s="45">
        <f>X53*Y53*Z53</f>
        <v>0</v>
      </c>
      <c r="AB53" s="44">
        <f t="shared" ref="AB53:AB68" si="48">AA53/$AA$68</f>
        <v>0</v>
      </c>
      <c r="AC53" s="18" t="s">
        <v>76</v>
      </c>
      <c r="AD53" s="4" t="s">
        <v>36</v>
      </c>
      <c r="AE53" s="59"/>
      <c r="AF53" s="429">
        <f>AE42*AF42</f>
        <v>2</v>
      </c>
      <c r="AG53" s="63">
        <f>'Var Vorgaben'!$C$30</f>
        <v>32.700000000000003</v>
      </c>
      <c r="AH53" s="45">
        <f>AE53*AF53*AG53</f>
        <v>0</v>
      </c>
      <c r="AI53" s="44">
        <f t="shared" ref="AI53:AI68" si="49">AH53/$AH$68</f>
        <v>0</v>
      </c>
      <c r="AJ53" s="18" t="s">
        <v>76</v>
      </c>
      <c r="AK53" s="4" t="s">
        <v>36</v>
      </c>
      <c r="AL53" s="59"/>
      <c r="AM53" s="429">
        <f>AL42*AM42</f>
        <v>2</v>
      </c>
      <c r="AN53" s="63">
        <f>'Var Vorgaben'!$C$30</f>
        <v>32.700000000000003</v>
      </c>
      <c r="AO53" s="45">
        <f>AL53*AM53*AN53</f>
        <v>0</v>
      </c>
      <c r="AP53" s="44">
        <f t="shared" ref="AP53:AP68" si="50">AO53/$AO$68</f>
        <v>0</v>
      </c>
      <c r="AQ53" s="18" t="s">
        <v>76</v>
      </c>
      <c r="AR53" s="4" t="s">
        <v>36</v>
      </c>
      <c r="AS53" s="59"/>
      <c r="AT53" s="429">
        <f>AS42*AT42</f>
        <v>3</v>
      </c>
      <c r="AU53" s="63">
        <f>'Var Vorgaben'!$C$30</f>
        <v>32.700000000000003</v>
      </c>
      <c r="AV53" s="45">
        <f>AS53*AT53*AU53</f>
        <v>0</v>
      </c>
      <c r="AW53" s="44">
        <f t="shared" ref="AW53:AW68" si="51">AV53/$AV$68</f>
        <v>0</v>
      </c>
      <c r="AX53" s="18" t="s">
        <v>76</v>
      </c>
      <c r="AY53" s="4" t="s">
        <v>36</v>
      </c>
      <c r="AZ53" s="59"/>
      <c r="BA53" s="429">
        <f>AZ42*BA42</f>
        <v>2</v>
      </c>
      <c r="BB53" s="63">
        <f>'Var Vorgaben'!$C$30</f>
        <v>32.700000000000003</v>
      </c>
      <c r="BC53" s="45">
        <f>AZ53*BA53*BB53</f>
        <v>0</v>
      </c>
      <c r="BD53" s="44">
        <f t="shared" ref="BD53:BD68" si="52">BC53/$BC$68</f>
        <v>0</v>
      </c>
      <c r="BE53" s="18" t="s">
        <v>76</v>
      </c>
      <c r="BF53" s="4" t="s">
        <v>36</v>
      </c>
      <c r="BG53" s="59"/>
      <c r="BH53" s="429">
        <f>BG42*BH42</f>
        <v>2</v>
      </c>
      <c r="BI53" s="63">
        <f>'Var Vorgaben'!$C$30</f>
        <v>32.700000000000003</v>
      </c>
      <c r="BJ53" s="45">
        <f>BG53*BH53*BI53</f>
        <v>0</v>
      </c>
      <c r="BK53" s="44">
        <f t="shared" ref="BK53:BK58" si="53">BJ53/$BJ$68</f>
        <v>0</v>
      </c>
      <c r="BL53" s="18" t="s">
        <v>76</v>
      </c>
      <c r="BM53" s="4" t="s">
        <v>36</v>
      </c>
      <c r="BN53" s="59"/>
      <c r="BO53" s="429">
        <f>BN42*BO42</f>
        <v>3</v>
      </c>
      <c r="BP53" s="63">
        <f>'Var Vorgaben'!$C$30</f>
        <v>32.700000000000003</v>
      </c>
      <c r="BQ53" s="45">
        <f>BN53*BO53*BP53</f>
        <v>0</v>
      </c>
      <c r="BR53" s="44">
        <f t="shared" ref="BR53:BR68" si="54">BQ53/$BQ$68</f>
        <v>0</v>
      </c>
      <c r="BS53" s="18" t="s">
        <v>76</v>
      </c>
      <c r="BT53" s="4" t="s">
        <v>36</v>
      </c>
      <c r="BU53" s="59"/>
      <c r="BV53" s="429">
        <f>BU42*BV42</f>
        <v>2</v>
      </c>
      <c r="BW53" s="63">
        <f>'Var Vorgaben'!$C$30</f>
        <v>32.700000000000003</v>
      </c>
      <c r="BX53" s="45">
        <f>BU53*BV53*BW53</f>
        <v>0</v>
      </c>
      <c r="BY53" s="44">
        <f t="shared" ref="BY53:BY68" si="55">BX53/$BX$68</f>
        <v>0</v>
      </c>
      <c r="BZ53" s="18" t="s">
        <v>76</v>
      </c>
      <c r="CA53" s="4" t="s">
        <v>36</v>
      </c>
      <c r="CB53" s="59"/>
      <c r="CC53" s="429">
        <f>CB42*CC42</f>
        <v>2</v>
      </c>
      <c r="CD53" s="63">
        <f>'Var Vorgaben'!$C$30</f>
        <v>32.700000000000003</v>
      </c>
      <c r="CE53" s="45">
        <f>CB53*CC53*CD53</f>
        <v>0</v>
      </c>
      <c r="CF53" s="44">
        <f t="shared" ref="CF53:CF68" si="56">CE53/$CE$68</f>
        <v>0</v>
      </c>
      <c r="CG53" s="18" t="s">
        <v>76</v>
      </c>
      <c r="CH53" s="4" t="s">
        <v>36</v>
      </c>
      <c r="CI53" s="59"/>
      <c r="CJ53" s="429">
        <f>CI42*CJ42</f>
        <v>3</v>
      </c>
      <c r="CK53" s="63">
        <f>'Var Vorgaben'!$C$30</f>
        <v>32.700000000000003</v>
      </c>
      <c r="CL53" s="45">
        <f>CI53*CJ53*CK53</f>
        <v>0</v>
      </c>
      <c r="CM53" s="44">
        <f t="shared" ref="CM53:CM68" si="57">CL53/$CL$68</f>
        <v>0</v>
      </c>
      <c r="CN53" s="18" t="s">
        <v>76</v>
      </c>
      <c r="CO53" s="4" t="s">
        <v>36</v>
      </c>
      <c r="CP53" s="59"/>
      <c r="CQ53" s="429">
        <f>CP42*CQ42</f>
        <v>2</v>
      </c>
      <c r="CR53" s="63">
        <f>'Var Vorgaben'!$C$30</f>
        <v>32.700000000000003</v>
      </c>
      <c r="CS53" s="45">
        <f>CP53*CQ53*CR53</f>
        <v>0</v>
      </c>
      <c r="CT53" s="44">
        <f t="shared" ref="CT53:CT68" si="58">CS53/$CS$68</f>
        <v>0</v>
      </c>
      <c r="CU53" s="18" t="s">
        <v>76</v>
      </c>
      <c r="CV53" s="4" t="s">
        <v>36</v>
      </c>
      <c r="CW53" s="59"/>
      <c r="CX53" s="429">
        <f>CW42*CX42</f>
        <v>2</v>
      </c>
      <c r="CY53" s="63">
        <f>'Var Vorgaben'!$C$30</f>
        <v>32.700000000000003</v>
      </c>
      <c r="CZ53" s="45">
        <f>CW53*CX53*CY53</f>
        <v>0</v>
      </c>
      <c r="DA53" s="44">
        <f t="shared" ref="DA53:DA68" si="59">CZ53/$CZ$68</f>
        <v>0</v>
      </c>
      <c r="DB53" s="18" t="s">
        <v>76</v>
      </c>
      <c r="DC53" s="4" t="s">
        <v>36</v>
      </c>
      <c r="DD53" s="59"/>
      <c r="DE53" s="429">
        <f>DD42*DE42</f>
        <v>2</v>
      </c>
      <c r="DF53" s="63">
        <f>'Var Vorgaben'!$C$30</f>
        <v>32.700000000000003</v>
      </c>
      <c r="DG53" s="45">
        <f>DD53*DE53*DF53</f>
        <v>0</v>
      </c>
      <c r="DH53" s="44">
        <f t="shared" ref="DH53:DH68" si="60">DG53/$DG$68</f>
        <v>0</v>
      </c>
    </row>
    <row r="54" spans="1:112" x14ac:dyDescent="0.3">
      <c r="B54" s="4" t="s">
        <v>223</v>
      </c>
      <c r="C54" s="1"/>
      <c r="D54" s="48">
        <f>(C40+C41)+'Var Vorgaben'!B87+'Var Vorgaben'!C87</f>
        <v>26</v>
      </c>
      <c r="E54" s="63">
        <f>'Var Vorgaben'!$C$30</f>
        <v>32.700000000000003</v>
      </c>
      <c r="F54" s="45">
        <f t="shared" ref="F54:F61" si="61">D54*E54</f>
        <v>850.2</v>
      </c>
      <c r="G54" s="44">
        <f t="shared" si="45"/>
        <v>7.6019480183249458E-2</v>
      </c>
      <c r="H54" s="18"/>
      <c r="I54" s="4" t="s">
        <v>223</v>
      </c>
      <c r="J54" s="1"/>
      <c r="K54" s="48">
        <f>(J40+J41)+'Var Vorgaben'!B88+'Var Vorgaben'!C88</f>
        <v>28</v>
      </c>
      <c r="L54" s="63">
        <f>'Var Vorgaben'!$C$30</f>
        <v>32.700000000000003</v>
      </c>
      <c r="M54" s="45">
        <f t="shared" ref="M54:M62" si="62">K54*L54</f>
        <v>915.60000000000014</v>
      </c>
      <c r="N54" s="44">
        <f t="shared" si="46"/>
        <v>7.9908736976202835E-2</v>
      </c>
      <c r="O54" s="18"/>
      <c r="P54" s="4" t="s">
        <v>223</v>
      </c>
      <c r="Q54" s="1"/>
      <c r="R54" s="48">
        <f>(Q40+Q41)+'Var Vorgaben'!B86+'Var Vorgaben'!C86</f>
        <v>39</v>
      </c>
      <c r="S54" s="63">
        <f>'Var Vorgaben'!$C$30</f>
        <v>32.700000000000003</v>
      </c>
      <c r="T54" s="45">
        <f t="shared" ref="T54:T62" si="63">R54*S54</f>
        <v>1275.3000000000002</v>
      </c>
      <c r="U54" s="44">
        <f t="shared" si="47"/>
        <v>1.7771845378321924E-2</v>
      </c>
      <c r="V54" s="18"/>
      <c r="W54" s="4" t="s">
        <v>223</v>
      </c>
      <c r="X54" s="1"/>
      <c r="Y54" s="48">
        <f>(X40+X41)+'Var Vorgaben'!$B$86+'Var Vorgaben'!$C$86</f>
        <v>39</v>
      </c>
      <c r="Z54" s="63">
        <f>'Var Vorgaben'!$C$30</f>
        <v>32.700000000000003</v>
      </c>
      <c r="AA54" s="45">
        <f t="shared" ref="AA54:AA62" si="64">Y54*Z54</f>
        <v>1275.3000000000002</v>
      </c>
      <c r="AB54" s="44">
        <f t="shared" si="48"/>
        <v>3.6822857508195042E-2</v>
      </c>
      <c r="AC54" s="18"/>
      <c r="AD54" s="4" t="s">
        <v>223</v>
      </c>
      <c r="AE54" s="1"/>
      <c r="AF54" s="48">
        <f>(AE40+AE41)+'Var Vorgaben'!$B$86+'Var Vorgaben'!$C$86</f>
        <v>39</v>
      </c>
      <c r="AG54" s="63">
        <f>'Var Vorgaben'!$C$30</f>
        <v>32.700000000000003</v>
      </c>
      <c r="AH54" s="45">
        <f t="shared" ref="AH54:AH62" si="65">AF54*AG54</f>
        <v>1275.3000000000002</v>
      </c>
      <c r="AI54" s="44">
        <f t="shared" si="49"/>
        <v>2.3153986725645757E-2</v>
      </c>
      <c r="AJ54" s="18"/>
      <c r="AK54" s="4" t="s">
        <v>223</v>
      </c>
      <c r="AL54" s="1"/>
      <c r="AM54" s="48">
        <f>(AL40+AL41)+'Var Vorgaben'!$B$86+'Var Vorgaben'!$C$86</f>
        <v>39</v>
      </c>
      <c r="AN54" s="63">
        <f>'Var Vorgaben'!$C$30</f>
        <v>32.700000000000003</v>
      </c>
      <c r="AO54" s="45">
        <f t="shared" ref="AO54:AO62" si="66">AM54*AN54</f>
        <v>1275.3000000000002</v>
      </c>
      <c r="AP54" s="44">
        <f t="shared" si="50"/>
        <v>2.0115280651428775E-2</v>
      </c>
      <c r="AQ54" s="18"/>
      <c r="AR54" s="4" t="s">
        <v>223</v>
      </c>
      <c r="AS54" s="1"/>
      <c r="AT54" s="48">
        <f>(AS40+AS41)+'Var Vorgaben'!$B$86+'Var Vorgaben'!$C$86</f>
        <v>39</v>
      </c>
      <c r="AU54" s="63">
        <f>'Var Vorgaben'!$C$30</f>
        <v>32.700000000000003</v>
      </c>
      <c r="AV54" s="45">
        <f t="shared" ref="AV54:AV62" si="67">AT54*AU54</f>
        <v>1275.3000000000002</v>
      </c>
      <c r="AW54" s="44">
        <f t="shared" si="51"/>
        <v>1.785821705135366E-2</v>
      </c>
      <c r="AX54" s="18"/>
      <c r="AY54" s="4" t="s">
        <v>223</v>
      </c>
      <c r="AZ54" s="1"/>
      <c r="BA54" s="48">
        <f>(AZ40+AZ41)+'Var Vorgaben'!$B$86+'Var Vorgaben'!$C$86</f>
        <v>39</v>
      </c>
      <c r="BB54" s="63">
        <f>'Var Vorgaben'!$C$30</f>
        <v>32.700000000000003</v>
      </c>
      <c r="BC54" s="45">
        <f t="shared" ref="BC54:BC62" si="68">BA54*BB54</f>
        <v>1275.3000000000002</v>
      </c>
      <c r="BD54" s="44">
        <f t="shared" si="52"/>
        <v>1.800644267996938E-2</v>
      </c>
      <c r="BE54" s="18"/>
      <c r="BF54" s="4" t="s">
        <v>223</v>
      </c>
      <c r="BG54" s="1"/>
      <c r="BH54" s="48">
        <f>(BG40+BG41)+'Var Vorgaben'!$B$86+'Var Vorgaben'!$C$86</f>
        <v>39</v>
      </c>
      <c r="BI54" s="63">
        <f>'Var Vorgaben'!$C$30</f>
        <v>32.700000000000003</v>
      </c>
      <c r="BJ54" s="45">
        <f t="shared" ref="BJ54:BJ62" si="69">BH54*BI54</f>
        <v>1275.3000000000002</v>
      </c>
      <c r="BK54" s="44">
        <f t="shared" si="53"/>
        <v>1.8040612369410347E-2</v>
      </c>
      <c r="BL54" s="18"/>
      <c r="BM54" s="4" t="s">
        <v>223</v>
      </c>
      <c r="BN54" s="1"/>
      <c r="BO54" s="48">
        <f>(BN40+BN41)+'Var Vorgaben'!$B$86+'Var Vorgaben'!$C$86</f>
        <v>39</v>
      </c>
      <c r="BP54" s="63">
        <f>'Var Vorgaben'!$C$30</f>
        <v>32.700000000000003</v>
      </c>
      <c r="BQ54" s="45">
        <f t="shared" ref="BQ54:BQ62" si="70">BO54*BP54</f>
        <v>1275.3000000000002</v>
      </c>
      <c r="BR54" s="44">
        <f t="shared" si="54"/>
        <v>1.074386927912245E-2</v>
      </c>
      <c r="BS54" s="18"/>
      <c r="BT54" s="4" t="s">
        <v>223</v>
      </c>
      <c r="BU54" s="1"/>
      <c r="BV54" s="48">
        <f>(BU40+BU41)+'Var Vorgaben'!$B$86+'Var Vorgaben'!$C$86</f>
        <v>39</v>
      </c>
      <c r="BW54" s="63">
        <f>'Var Vorgaben'!$C$30</f>
        <v>32.700000000000003</v>
      </c>
      <c r="BX54" s="45">
        <f t="shared" ref="BX54:BX62" si="71">BV54*BW54</f>
        <v>1275.3000000000002</v>
      </c>
      <c r="BY54" s="44">
        <f t="shared" si="55"/>
        <v>1.8844455063358263E-2</v>
      </c>
      <c r="BZ54" s="18"/>
      <c r="CA54" s="4" t="s">
        <v>223</v>
      </c>
      <c r="CB54" s="1"/>
      <c r="CC54" s="48">
        <f>(CB40+CB41)+'Var Vorgaben'!$B$86+'Var Vorgaben'!$C$86</f>
        <v>39</v>
      </c>
      <c r="CD54" s="63">
        <f>'Var Vorgaben'!$C$30</f>
        <v>32.700000000000003</v>
      </c>
      <c r="CE54" s="45">
        <f t="shared" ref="CE54:CE62" si="72">CC54*CD54</f>
        <v>1275.3000000000002</v>
      </c>
      <c r="CF54" s="44">
        <f t="shared" si="56"/>
        <v>1.8874600357416272E-2</v>
      </c>
      <c r="CG54" s="18"/>
      <c r="CH54" s="4" t="s">
        <v>223</v>
      </c>
      <c r="CI54" s="1"/>
      <c r="CJ54" s="48">
        <f>(CI40+CI41)+'Var Vorgaben'!$B$86+'Var Vorgaben'!$C$86</f>
        <v>39</v>
      </c>
      <c r="CK54" s="63">
        <f>'Var Vorgaben'!$C$30</f>
        <v>32.700000000000003</v>
      </c>
      <c r="CL54" s="45">
        <f t="shared" ref="CL54:CL62" si="73">CJ54*CK54</f>
        <v>1275.3000000000002</v>
      </c>
      <c r="CM54" s="44">
        <f t="shared" si="57"/>
        <v>1.8777349271684136E-2</v>
      </c>
      <c r="CN54" s="18"/>
      <c r="CO54" s="4" t="s">
        <v>223</v>
      </c>
      <c r="CP54" s="1"/>
      <c r="CQ54" s="48">
        <f>(CP40+CP41)+'Var Vorgaben'!$B$86+'Var Vorgaben'!$C$86</f>
        <v>39</v>
      </c>
      <c r="CR54" s="63">
        <f>'Var Vorgaben'!$C$30</f>
        <v>32.700000000000003</v>
      </c>
      <c r="CS54" s="45">
        <f t="shared" ref="CS54:CS62" si="74">CQ54*CR54</f>
        <v>1275.3000000000002</v>
      </c>
      <c r="CT54" s="44">
        <f t="shared" si="58"/>
        <v>1.8934842747167918E-2</v>
      </c>
      <c r="CU54" s="18"/>
      <c r="CV54" s="4" t="s">
        <v>223</v>
      </c>
      <c r="CW54" s="1"/>
      <c r="CX54" s="48">
        <f>(CW40+CW41)+'Var Vorgaben'!$B$86+'Var Vorgaben'!$C$86</f>
        <v>39</v>
      </c>
      <c r="CY54" s="63">
        <f>'Var Vorgaben'!$C$30</f>
        <v>32.700000000000003</v>
      </c>
      <c r="CZ54" s="45">
        <f t="shared" ref="CZ54:CZ61" si="75">CX54*CY54</f>
        <v>1275.3000000000002</v>
      </c>
      <c r="DA54" s="44">
        <f t="shared" si="59"/>
        <v>1.9906586691819307E-2</v>
      </c>
      <c r="DB54" s="18"/>
      <c r="DC54" s="4" t="s">
        <v>223</v>
      </c>
      <c r="DD54" s="1"/>
      <c r="DE54" s="48">
        <f>(DD40+DD41)+'Var Vorgaben'!$B$86+'Var Vorgaben'!$C$86</f>
        <v>39</v>
      </c>
      <c r="DF54" s="63">
        <f>'Var Vorgaben'!$C$30</f>
        <v>32.700000000000003</v>
      </c>
      <c r="DG54" s="45">
        <f t="shared" ref="DG54:DG62" si="76">DE54*DF54</f>
        <v>1275.3000000000002</v>
      </c>
      <c r="DH54" s="44">
        <f t="shared" si="60"/>
        <v>1.909096448149511E-2</v>
      </c>
    </row>
    <row r="55" spans="1:112" x14ac:dyDescent="0.3">
      <c r="B55" s="4" t="str">
        <f>'Var Vorgaben'!$D$84</f>
        <v>Baumerziehung
(Sommer+Winter)</v>
      </c>
      <c r="C55" s="47"/>
      <c r="D55" s="48">
        <f>'Var Vorgaben'!D87</f>
        <v>60</v>
      </c>
      <c r="E55" s="63">
        <f>'Var Vorgaben'!$C$30</f>
        <v>32.700000000000003</v>
      </c>
      <c r="F55" s="45">
        <f t="shared" si="61"/>
        <v>1962.0000000000002</v>
      </c>
      <c r="G55" s="44">
        <f t="shared" si="45"/>
        <v>0.17542956965365261</v>
      </c>
      <c r="H55" s="18"/>
      <c r="I55" s="4" t="str">
        <f>'Var Vorgaben'!$D$84</f>
        <v>Baumerziehung
(Sommer+Winter)</v>
      </c>
      <c r="J55" s="47"/>
      <c r="K55" s="48">
        <f>'Var Vorgaben'!D88</f>
        <v>60</v>
      </c>
      <c r="L55" s="63">
        <f>'Var Vorgaben'!$C$30</f>
        <v>32.700000000000003</v>
      </c>
      <c r="M55" s="45">
        <f t="shared" si="62"/>
        <v>1962.0000000000002</v>
      </c>
      <c r="N55" s="44">
        <f t="shared" si="46"/>
        <v>0.17123300780614892</v>
      </c>
      <c r="O55" s="18"/>
      <c r="P55" s="4" t="str">
        <f>'Var Vorgaben'!$D$84</f>
        <v>Baumerziehung
(Sommer+Winter)</v>
      </c>
      <c r="Q55" s="47"/>
      <c r="R55" s="48">
        <f>'Var Vorgaben'!D86</f>
        <v>100</v>
      </c>
      <c r="S55" s="63">
        <f>'Var Vorgaben'!$C$30</f>
        <v>32.700000000000003</v>
      </c>
      <c r="T55" s="45">
        <f t="shared" si="63"/>
        <v>3270.0000000000005</v>
      </c>
      <c r="U55" s="44">
        <f t="shared" si="47"/>
        <v>4.5568834303389552E-2</v>
      </c>
      <c r="V55" s="18"/>
      <c r="W55" s="4" t="str">
        <f>'Var Vorgaben'!$D$84</f>
        <v>Baumerziehung
(Sommer+Winter)</v>
      </c>
      <c r="X55" s="47"/>
      <c r="Y55" s="48">
        <f>'Var Vorgaben'!$D$86</f>
        <v>100</v>
      </c>
      <c r="Z55" s="63">
        <f>'Var Vorgaben'!$C$30</f>
        <v>32.700000000000003</v>
      </c>
      <c r="AA55" s="45">
        <f t="shared" si="64"/>
        <v>3270.0000000000005</v>
      </c>
      <c r="AB55" s="44">
        <f t="shared" si="48"/>
        <v>9.441758335434626E-2</v>
      </c>
      <c r="AC55" s="18"/>
      <c r="AD55" s="4" t="str">
        <f>'Var Vorgaben'!$D$84</f>
        <v>Baumerziehung
(Sommer+Winter)</v>
      </c>
      <c r="AE55" s="47"/>
      <c r="AF55" s="48">
        <f>'Var Vorgaben'!$D$86</f>
        <v>100</v>
      </c>
      <c r="AG55" s="63">
        <f>'Var Vorgaben'!$C$30</f>
        <v>32.700000000000003</v>
      </c>
      <c r="AH55" s="45">
        <f t="shared" si="65"/>
        <v>3270.0000000000005</v>
      </c>
      <c r="AI55" s="44">
        <f t="shared" si="49"/>
        <v>5.9369196732425016E-2</v>
      </c>
      <c r="AJ55" s="18"/>
      <c r="AK55" s="4" t="str">
        <f>'Var Vorgaben'!$D$84</f>
        <v>Baumerziehung
(Sommer+Winter)</v>
      </c>
      <c r="AL55" s="47"/>
      <c r="AM55" s="48">
        <f>'Var Vorgaben'!$D$86</f>
        <v>100</v>
      </c>
      <c r="AN55" s="63">
        <f>'Var Vorgaben'!$C$30</f>
        <v>32.700000000000003</v>
      </c>
      <c r="AO55" s="45">
        <f t="shared" si="66"/>
        <v>3270.0000000000005</v>
      </c>
      <c r="AP55" s="44">
        <f t="shared" si="50"/>
        <v>5.1577642695971218E-2</v>
      </c>
      <c r="AQ55" s="18"/>
      <c r="AR55" s="4" t="str">
        <f>'Var Vorgaben'!$D$84</f>
        <v>Baumerziehung
(Sommer+Winter)</v>
      </c>
      <c r="AS55" s="47"/>
      <c r="AT55" s="48">
        <f>'Var Vorgaben'!$D$86</f>
        <v>100</v>
      </c>
      <c r="AU55" s="63">
        <f>'Var Vorgaben'!$C$30</f>
        <v>32.700000000000003</v>
      </c>
      <c r="AV55" s="45">
        <f t="shared" si="67"/>
        <v>3270.0000000000005</v>
      </c>
      <c r="AW55" s="44">
        <f t="shared" si="51"/>
        <v>4.5790300131676051E-2</v>
      </c>
      <c r="AX55" s="18"/>
      <c r="AY55" s="4" t="str">
        <f>'Var Vorgaben'!$D$84</f>
        <v>Baumerziehung
(Sommer+Winter)</v>
      </c>
      <c r="AZ55" s="47"/>
      <c r="BA55" s="48">
        <f>'Var Vorgaben'!$D$86</f>
        <v>100</v>
      </c>
      <c r="BB55" s="63">
        <f>'Var Vorgaben'!$C$30</f>
        <v>32.700000000000003</v>
      </c>
      <c r="BC55" s="45">
        <f t="shared" si="68"/>
        <v>3270.0000000000005</v>
      </c>
      <c r="BD55" s="44">
        <f t="shared" si="52"/>
        <v>4.6170365846075333E-2</v>
      </c>
      <c r="BE55" s="18"/>
      <c r="BF55" s="4" t="str">
        <f>'Var Vorgaben'!$D$84</f>
        <v>Baumerziehung
(Sommer+Winter)</v>
      </c>
      <c r="BG55" s="47"/>
      <c r="BH55" s="48">
        <f>'Var Vorgaben'!$D$86</f>
        <v>100</v>
      </c>
      <c r="BI55" s="63">
        <f>'Var Vorgaben'!$C$30</f>
        <v>32.700000000000003</v>
      </c>
      <c r="BJ55" s="45">
        <f t="shared" si="69"/>
        <v>3270.0000000000005</v>
      </c>
      <c r="BK55" s="44">
        <f t="shared" si="53"/>
        <v>4.6257980434385504E-2</v>
      </c>
      <c r="BL55" s="18"/>
      <c r="BM55" s="4" t="str">
        <f>'Var Vorgaben'!$D$84</f>
        <v>Baumerziehung
(Sommer+Winter)</v>
      </c>
      <c r="BN55" s="47"/>
      <c r="BO55" s="48">
        <f>'Var Vorgaben'!$D$86</f>
        <v>100</v>
      </c>
      <c r="BP55" s="63">
        <f>'Var Vorgaben'!$C$30</f>
        <v>32.700000000000003</v>
      </c>
      <c r="BQ55" s="45">
        <f t="shared" si="70"/>
        <v>3270.0000000000005</v>
      </c>
      <c r="BR55" s="44">
        <f t="shared" si="54"/>
        <v>2.7548382766980642E-2</v>
      </c>
      <c r="BS55" s="18"/>
      <c r="BT55" s="4" t="str">
        <f>'Var Vorgaben'!$D$84</f>
        <v>Baumerziehung
(Sommer+Winter)</v>
      </c>
      <c r="BU55" s="47"/>
      <c r="BV55" s="48">
        <f>'Var Vorgaben'!$D$86</f>
        <v>100</v>
      </c>
      <c r="BW55" s="63">
        <f>'Var Vorgaben'!$C$30</f>
        <v>32.700000000000003</v>
      </c>
      <c r="BX55" s="45">
        <f t="shared" si="71"/>
        <v>3270.0000000000005</v>
      </c>
      <c r="BY55" s="44">
        <f t="shared" si="55"/>
        <v>4.8319115547072466E-2</v>
      </c>
      <c r="BZ55" s="18"/>
      <c r="CA55" s="4" t="str">
        <f>'Var Vorgaben'!$D$84</f>
        <v>Baumerziehung
(Sommer+Winter)</v>
      </c>
      <c r="CB55" s="47"/>
      <c r="CC55" s="48">
        <f>'Var Vorgaben'!$D$86</f>
        <v>100</v>
      </c>
      <c r="CD55" s="63">
        <f>'Var Vorgaben'!$C$30</f>
        <v>32.700000000000003</v>
      </c>
      <c r="CE55" s="45">
        <f t="shared" si="72"/>
        <v>3270.0000000000005</v>
      </c>
      <c r="CF55" s="44">
        <f t="shared" si="56"/>
        <v>4.8396411172862232E-2</v>
      </c>
      <c r="CG55" s="18"/>
      <c r="CH55" s="4" t="str">
        <f>'Var Vorgaben'!$D$84</f>
        <v>Baumerziehung
(Sommer+Winter)</v>
      </c>
      <c r="CI55" s="47"/>
      <c r="CJ55" s="48">
        <f>'Var Vorgaben'!$D$86</f>
        <v>100</v>
      </c>
      <c r="CK55" s="63">
        <f>'Var Vorgaben'!$C$30</f>
        <v>32.700000000000003</v>
      </c>
      <c r="CL55" s="45">
        <f t="shared" si="73"/>
        <v>3270.0000000000005</v>
      </c>
      <c r="CM55" s="44">
        <f t="shared" si="57"/>
        <v>4.8147049414574705E-2</v>
      </c>
      <c r="CN55" s="18"/>
      <c r="CO55" s="4" t="str">
        <f>'Var Vorgaben'!$D$84</f>
        <v>Baumerziehung
(Sommer+Winter)</v>
      </c>
      <c r="CP55" s="47"/>
      <c r="CQ55" s="48">
        <f>'Var Vorgaben'!$D$86</f>
        <v>100</v>
      </c>
      <c r="CR55" s="63">
        <f>'Var Vorgaben'!$C$30</f>
        <v>32.700000000000003</v>
      </c>
      <c r="CS55" s="45">
        <f t="shared" si="74"/>
        <v>3270.0000000000005</v>
      </c>
      <c r="CT55" s="44">
        <f t="shared" si="58"/>
        <v>4.85508788388921E-2</v>
      </c>
      <c r="CU55" s="18"/>
      <c r="CV55" s="4" t="str">
        <f>'Var Vorgaben'!$D$84</f>
        <v>Baumerziehung
(Sommer+Winter)</v>
      </c>
      <c r="CW55" s="47"/>
      <c r="CX55" s="48">
        <f>'Var Vorgaben'!$D$86</f>
        <v>100</v>
      </c>
      <c r="CY55" s="63">
        <f>'Var Vorgaben'!$C$30</f>
        <v>32.700000000000003</v>
      </c>
      <c r="CZ55" s="45">
        <f t="shared" si="75"/>
        <v>3270.0000000000005</v>
      </c>
      <c r="DA55" s="44">
        <f t="shared" si="59"/>
        <v>5.1042529979023865E-2</v>
      </c>
      <c r="DB55" s="18"/>
      <c r="DC55" s="4" t="str">
        <f>'Var Vorgaben'!$D$84</f>
        <v>Baumerziehung
(Sommer+Winter)</v>
      </c>
      <c r="DD55" s="47"/>
      <c r="DE55" s="48">
        <f>'Var Vorgaben'!$D$86</f>
        <v>100</v>
      </c>
      <c r="DF55" s="63">
        <f>'Var Vorgaben'!$C$30</f>
        <v>32.700000000000003</v>
      </c>
      <c r="DG55" s="45">
        <f t="shared" si="76"/>
        <v>3270.0000000000005</v>
      </c>
      <c r="DH55" s="44">
        <f t="shared" si="60"/>
        <v>4.8951190978192595E-2</v>
      </c>
    </row>
    <row r="56" spans="1:112" x14ac:dyDescent="0.3">
      <c r="B56" s="4" t="s">
        <v>128</v>
      </c>
      <c r="C56" s="47"/>
      <c r="D56" s="429">
        <f>(C45*D45)+(C47*D47)</f>
        <v>6</v>
      </c>
      <c r="E56" s="63">
        <f>'Var Vorgaben'!$C$30</f>
        <v>32.700000000000003</v>
      </c>
      <c r="F56" s="45">
        <f t="shared" si="61"/>
        <v>196.20000000000002</v>
      </c>
      <c r="G56" s="44">
        <f t="shared" si="45"/>
        <v>1.7542956965365258E-2</v>
      </c>
      <c r="H56" s="18"/>
      <c r="I56" s="4" t="s">
        <v>128</v>
      </c>
      <c r="J56" s="47"/>
      <c r="K56" s="429">
        <f>(J45*K45)+(J47*K47)</f>
        <v>6</v>
      </c>
      <c r="L56" s="63">
        <f>'Var Vorgaben'!$C$30</f>
        <v>32.700000000000003</v>
      </c>
      <c r="M56" s="45">
        <f t="shared" si="62"/>
        <v>196.20000000000002</v>
      </c>
      <c r="N56" s="44">
        <f t="shared" si="46"/>
        <v>1.7123300780614893E-2</v>
      </c>
      <c r="O56" s="18"/>
      <c r="P56" s="4" t="s">
        <v>128</v>
      </c>
      <c r="Q56" s="47"/>
      <c r="R56" s="429">
        <f>(Q45*R45)+(Q47*R47)</f>
        <v>6</v>
      </c>
      <c r="S56" s="63">
        <f>'Var Vorgaben'!$C$30</f>
        <v>32.700000000000003</v>
      </c>
      <c r="T56" s="45">
        <f t="shared" si="63"/>
        <v>196.20000000000002</v>
      </c>
      <c r="U56" s="44">
        <f t="shared" si="47"/>
        <v>2.7341300582033731E-3</v>
      </c>
      <c r="V56" s="18"/>
      <c r="W56" s="4" t="s">
        <v>128</v>
      </c>
      <c r="X56" s="47"/>
      <c r="Y56" s="429">
        <f>(X45*Y45)+(X47*Y47)</f>
        <v>6</v>
      </c>
      <c r="Z56" s="63">
        <f>'Var Vorgaben'!$C$30</f>
        <v>32.700000000000003</v>
      </c>
      <c r="AA56" s="45">
        <f t="shared" si="64"/>
        <v>196.20000000000002</v>
      </c>
      <c r="AB56" s="44">
        <f t="shared" si="48"/>
        <v>5.6650550012607758E-3</v>
      </c>
      <c r="AC56" s="18"/>
      <c r="AD56" s="4" t="s">
        <v>128</v>
      </c>
      <c r="AE56" s="47"/>
      <c r="AF56" s="429">
        <f>(AE45*AF45)+(AE47*AF47)</f>
        <v>6</v>
      </c>
      <c r="AG56" s="63">
        <f>'Var Vorgaben'!$C$30</f>
        <v>32.700000000000003</v>
      </c>
      <c r="AH56" s="45">
        <f t="shared" si="65"/>
        <v>196.20000000000002</v>
      </c>
      <c r="AI56" s="44">
        <f t="shared" si="49"/>
        <v>3.5621518039455008E-3</v>
      </c>
      <c r="AJ56" s="18"/>
      <c r="AK56" s="4" t="s">
        <v>128</v>
      </c>
      <c r="AL56" s="47"/>
      <c r="AM56" s="429">
        <f>(AL45*AM45)+(AL47*AM47)</f>
        <v>6</v>
      </c>
      <c r="AN56" s="63">
        <f>'Var Vorgaben'!$C$30</f>
        <v>32.700000000000003</v>
      </c>
      <c r="AO56" s="45">
        <f t="shared" si="66"/>
        <v>196.20000000000002</v>
      </c>
      <c r="AP56" s="44">
        <f t="shared" si="50"/>
        <v>3.0946585617582728E-3</v>
      </c>
      <c r="AQ56" s="18"/>
      <c r="AR56" s="4" t="s">
        <v>128</v>
      </c>
      <c r="AS56" s="47"/>
      <c r="AT56" s="429">
        <f>(AS45*AT45)+(AS47*AT47)</f>
        <v>6</v>
      </c>
      <c r="AU56" s="63">
        <f>'Var Vorgaben'!$C$30</f>
        <v>32.700000000000003</v>
      </c>
      <c r="AV56" s="45">
        <f t="shared" si="67"/>
        <v>196.20000000000002</v>
      </c>
      <c r="AW56" s="44">
        <f t="shared" si="51"/>
        <v>2.7474180079005628E-3</v>
      </c>
      <c r="AX56" s="18"/>
      <c r="AY56" s="4" t="s">
        <v>128</v>
      </c>
      <c r="AZ56" s="47"/>
      <c r="BA56" s="429">
        <f>(AZ45*BA45)+(AZ47*BA47)</f>
        <v>6</v>
      </c>
      <c r="BB56" s="63">
        <f>'Var Vorgaben'!$C$30</f>
        <v>32.700000000000003</v>
      </c>
      <c r="BC56" s="45">
        <f t="shared" si="68"/>
        <v>196.20000000000002</v>
      </c>
      <c r="BD56" s="44">
        <f t="shared" si="52"/>
        <v>2.7702219507645199E-3</v>
      </c>
      <c r="BE56" s="18"/>
      <c r="BF56" s="4" t="s">
        <v>128</v>
      </c>
      <c r="BG56" s="47"/>
      <c r="BH56" s="429">
        <f>(BG45*BH45)+(BG47*BH47)</f>
        <v>6</v>
      </c>
      <c r="BI56" s="63">
        <f>'Var Vorgaben'!$C$30</f>
        <v>32.700000000000003</v>
      </c>
      <c r="BJ56" s="45">
        <f t="shared" si="69"/>
        <v>196.20000000000002</v>
      </c>
      <c r="BK56" s="44">
        <f t="shared" si="53"/>
        <v>2.7754788260631299E-3</v>
      </c>
      <c r="BL56" s="18"/>
      <c r="BM56" s="4" t="s">
        <v>128</v>
      </c>
      <c r="BN56" s="47"/>
      <c r="BO56" s="429">
        <f>(BN45*BO45)+(BN47*BO47)</f>
        <v>6</v>
      </c>
      <c r="BP56" s="63">
        <f>'Var Vorgaben'!$C$30</f>
        <v>32.700000000000003</v>
      </c>
      <c r="BQ56" s="45">
        <f t="shared" si="70"/>
        <v>196.20000000000002</v>
      </c>
      <c r="BR56" s="44">
        <f t="shared" si="54"/>
        <v>1.6529029660188384E-3</v>
      </c>
      <c r="BS56" s="18"/>
      <c r="BT56" s="4" t="s">
        <v>128</v>
      </c>
      <c r="BU56" s="47"/>
      <c r="BV56" s="429">
        <f>(BU45*BV45)+(BU47*BV47)</f>
        <v>6</v>
      </c>
      <c r="BW56" s="63">
        <f>'Var Vorgaben'!$C$30</f>
        <v>32.700000000000003</v>
      </c>
      <c r="BX56" s="45">
        <f t="shared" si="71"/>
        <v>196.20000000000002</v>
      </c>
      <c r="BY56" s="44">
        <f t="shared" si="55"/>
        <v>2.8991469328243482E-3</v>
      </c>
      <c r="BZ56" s="18"/>
      <c r="CA56" s="4" t="s">
        <v>128</v>
      </c>
      <c r="CB56" s="47"/>
      <c r="CC56" s="429">
        <f>(CB45*CC45)+(CB47*CC47)</f>
        <v>6</v>
      </c>
      <c r="CD56" s="63">
        <f>'Var Vorgaben'!$C$30</f>
        <v>32.700000000000003</v>
      </c>
      <c r="CE56" s="45">
        <f t="shared" si="72"/>
        <v>196.20000000000002</v>
      </c>
      <c r="CF56" s="44">
        <f t="shared" si="56"/>
        <v>2.9037846703717338E-3</v>
      </c>
      <c r="CG56" s="18"/>
      <c r="CH56" s="4" t="s">
        <v>128</v>
      </c>
      <c r="CI56" s="47"/>
      <c r="CJ56" s="429">
        <f>(CI45*CJ45)+(CI47*CJ47)</f>
        <v>6</v>
      </c>
      <c r="CK56" s="63">
        <f>'Var Vorgaben'!$C$30</f>
        <v>32.700000000000003</v>
      </c>
      <c r="CL56" s="45">
        <f t="shared" si="73"/>
        <v>196.20000000000002</v>
      </c>
      <c r="CM56" s="44">
        <f t="shared" si="57"/>
        <v>2.8888229648744825E-3</v>
      </c>
      <c r="CN56" s="18"/>
      <c r="CO56" s="4" t="s">
        <v>128</v>
      </c>
      <c r="CP56" s="47"/>
      <c r="CQ56" s="429">
        <f>(CP45*CQ45)+(CP47*CQ47)</f>
        <v>6</v>
      </c>
      <c r="CR56" s="63">
        <f>'Var Vorgaben'!$C$30</f>
        <v>32.700000000000003</v>
      </c>
      <c r="CS56" s="45">
        <f t="shared" si="74"/>
        <v>196.20000000000002</v>
      </c>
      <c r="CT56" s="44">
        <f t="shared" si="58"/>
        <v>2.9130527303335256E-3</v>
      </c>
      <c r="CU56" s="18"/>
      <c r="CV56" s="4" t="s">
        <v>128</v>
      </c>
      <c r="CW56" s="47"/>
      <c r="CX56" s="429">
        <f>(CW45*CX45)+(CW47*CX47)</f>
        <v>6</v>
      </c>
      <c r="CY56" s="63">
        <f>'Var Vorgaben'!$C$30</f>
        <v>32.700000000000003</v>
      </c>
      <c r="CZ56" s="45">
        <f t="shared" si="75"/>
        <v>196.20000000000002</v>
      </c>
      <c r="DA56" s="44">
        <f t="shared" si="59"/>
        <v>3.0625517987414321E-3</v>
      </c>
      <c r="DB56" s="18"/>
      <c r="DC56" s="4" t="s">
        <v>128</v>
      </c>
      <c r="DD56" s="47"/>
      <c r="DE56" s="429">
        <f>(DD45*DE45)+(DD47*DE47)</f>
        <v>6</v>
      </c>
      <c r="DF56" s="63">
        <f>'Var Vorgaben'!$C$30</f>
        <v>32.700000000000003</v>
      </c>
      <c r="DG56" s="45">
        <f t="shared" si="76"/>
        <v>196.20000000000002</v>
      </c>
      <c r="DH56" s="44">
        <f t="shared" si="60"/>
        <v>2.9370714586915555E-3</v>
      </c>
    </row>
    <row r="57" spans="1:112" x14ac:dyDescent="0.3">
      <c r="B57" s="4" t="s">
        <v>129</v>
      </c>
      <c r="C57" s="1"/>
      <c r="D57" s="48">
        <v>0</v>
      </c>
      <c r="E57" s="63">
        <f>'Var Vorgaben'!$C$29</f>
        <v>22.62</v>
      </c>
      <c r="F57" s="45">
        <f t="shared" si="61"/>
        <v>0</v>
      </c>
      <c r="G57" s="44">
        <f t="shared" si="45"/>
        <v>0</v>
      </c>
      <c r="H57" s="18"/>
      <c r="I57" s="4" t="s">
        <v>129</v>
      </c>
      <c r="J57" s="1"/>
      <c r="K57" s="48">
        <f>'Var Vorgaben'!E88+(J41*K41)</f>
        <v>2</v>
      </c>
      <c r="L57" s="63">
        <f>'Var Vorgaben'!$C$29</f>
        <v>22.62</v>
      </c>
      <c r="M57" s="45">
        <f t="shared" si="62"/>
        <v>45.24</v>
      </c>
      <c r="N57" s="44">
        <f t="shared" si="46"/>
        <v>3.9483084980378065E-3</v>
      </c>
      <c r="O57" s="18"/>
      <c r="P57" s="4" t="s">
        <v>129</v>
      </c>
      <c r="Q57" s="1"/>
      <c r="R57" s="48">
        <f>'Var Vorgaben'!E86+(Q41*R41)</f>
        <v>3</v>
      </c>
      <c r="S57" s="63">
        <f>'Var Vorgaben'!$C$29</f>
        <v>22.62</v>
      </c>
      <c r="T57" s="45">
        <f t="shared" si="63"/>
        <v>67.86</v>
      </c>
      <c r="U57" s="44">
        <f t="shared" si="47"/>
        <v>9.4565782747034087E-4</v>
      </c>
      <c r="V57" s="18"/>
      <c r="W57" s="4" t="s">
        <v>129</v>
      </c>
      <c r="X57" s="1"/>
      <c r="Y57" s="48">
        <f>'Var Vorgaben'!$E$86+(X41*Y41)</f>
        <v>3</v>
      </c>
      <c r="Z57" s="63">
        <f>'Var Vorgaben'!$C$29</f>
        <v>22.62</v>
      </c>
      <c r="AA57" s="45">
        <f t="shared" si="64"/>
        <v>67.86</v>
      </c>
      <c r="AB57" s="44">
        <f t="shared" si="48"/>
        <v>1.9593814086929472E-3</v>
      </c>
      <c r="AC57" s="18"/>
      <c r="AD57" s="4" t="s">
        <v>129</v>
      </c>
      <c r="AE57" s="1"/>
      <c r="AF57" s="48">
        <f>'Var Vorgaben'!$E$86+(AE41*AF41)</f>
        <v>3</v>
      </c>
      <c r="AG57" s="63">
        <f>'Var Vorgaben'!$C$29</f>
        <v>22.62</v>
      </c>
      <c r="AH57" s="45">
        <f t="shared" si="65"/>
        <v>67.86</v>
      </c>
      <c r="AI57" s="44">
        <f t="shared" si="49"/>
        <v>1.2320470000802327E-3</v>
      </c>
      <c r="AJ57" s="18"/>
      <c r="AK57" s="4" t="s">
        <v>129</v>
      </c>
      <c r="AL57" s="1"/>
      <c r="AM57" s="48">
        <f>'Var Vorgaben'!$E$86+(AL41*AM41)</f>
        <v>3</v>
      </c>
      <c r="AN57" s="63">
        <f>'Var Vorgaben'!$C$29</f>
        <v>22.62</v>
      </c>
      <c r="AO57" s="45">
        <f t="shared" si="66"/>
        <v>67.86</v>
      </c>
      <c r="AP57" s="44">
        <f t="shared" si="50"/>
        <v>1.0703543832870355E-3</v>
      </c>
      <c r="AQ57" s="18"/>
      <c r="AR57" s="4" t="s">
        <v>129</v>
      </c>
      <c r="AS57" s="1"/>
      <c r="AT57" s="48">
        <f>'Var Vorgaben'!$E$86+(AS41*AT41)</f>
        <v>3</v>
      </c>
      <c r="AU57" s="63">
        <f>'Var Vorgaben'!$C$29</f>
        <v>22.62</v>
      </c>
      <c r="AV57" s="45">
        <f t="shared" si="67"/>
        <v>67.86</v>
      </c>
      <c r="AW57" s="44">
        <f t="shared" si="51"/>
        <v>9.502537513564331E-4</v>
      </c>
      <c r="AX57" s="18"/>
      <c r="AY57" s="4" t="s">
        <v>129</v>
      </c>
      <c r="AZ57" s="1"/>
      <c r="BA57" s="48">
        <f>'Var Vorgaben'!$E$86+(AZ41*BA41)</f>
        <v>3</v>
      </c>
      <c r="BB57" s="63">
        <f>'Var Vorgaben'!$C$29</f>
        <v>22.62</v>
      </c>
      <c r="BC57" s="45">
        <f t="shared" si="68"/>
        <v>67.86</v>
      </c>
      <c r="BD57" s="44">
        <f t="shared" si="52"/>
        <v>9.5814098664057242E-4</v>
      </c>
      <c r="BE57" s="18"/>
      <c r="BF57" s="4" t="s">
        <v>129</v>
      </c>
      <c r="BG57" s="1"/>
      <c r="BH57" s="48">
        <f>'Var Vorgaben'!$E$86+(BG41*BH41)</f>
        <v>3</v>
      </c>
      <c r="BI57" s="63">
        <f>'Var Vorgaben'!$C$29</f>
        <v>22.62</v>
      </c>
      <c r="BJ57" s="45">
        <f t="shared" si="69"/>
        <v>67.86</v>
      </c>
      <c r="BK57" s="44">
        <f t="shared" si="53"/>
        <v>9.5995919029889906E-4</v>
      </c>
      <c r="BL57" s="18"/>
      <c r="BM57" s="4" t="s">
        <v>129</v>
      </c>
      <c r="BN57" s="1"/>
      <c r="BO57" s="48">
        <f>'Var Vorgaben'!$E$86+(BN41*BO41)</f>
        <v>3</v>
      </c>
      <c r="BP57" s="63">
        <f>'Var Vorgaben'!$C$29</f>
        <v>22.62</v>
      </c>
      <c r="BQ57" s="45">
        <f t="shared" si="70"/>
        <v>67.86</v>
      </c>
      <c r="BR57" s="44">
        <f t="shared" si="54"/>
        <v>5.7169212677899274E-4</v>
      </c>
      <c r="BS57" s="18"/>
      <c r="BT57" s="4" t="s">
        <v>129</v>
      </c>
      <c r="BU57" s="1"/>
      <c r="BV57" s="48">
        <f>'Var Vorgaben'!$E$86+(BU41*BV41)</f>
        <v>3</v>
      </c>
      <c r="BW57" s="63">
        <f>'Var Vorgaben'!$C$29</f>
        <v>22.62</v>
      </c>
      <c r="BX57" s="45">
        <f t="shared" si="71"/>
        <v>67.86</v>
      </c>
      <c r="BY57" s="44">
        <f t="shared" si="55"/>
        <v>1.0027324712612651E-3</v>
      </c>
      <c r="BZ57" s="18"/>
      <c r="CA57" s="4" t="s">
        <v>129</v>
      </c>
      <c r="CB57" s="1"/>
      <c r="CC57" s="48">
        <f>'Var Vorgaben'!$E$86+(CB41*CC41)</f>
        <v>3</v>
      </c>
      <c r="CD57" s="63">
        <f>'Var Vorgaben'!$C$29</f>
        <v>22.62</v>
      </c>
      <c r="CE57" s="45">
        <f t="shared" si="72"/>
        <v>67.86</v>
      </c>
      <c r="CF57" s="44">
        <f t="shared" si="56"/>
        <v>1.0043365327799482E-3</v>
      </c>
      <c r="CG57" s="18"/>
      <c r="CH57" s="4" t="s">
        <v>129</v>
      </c>
      <c r="CI57" s="1"/>
      <c r="CJ57" s="48">
        <f>'Var Vorgaben'!$E$86+(CI41*CJ41)</f>
        <v>3</v>
      </c>
      <c r="CK57" s="63">
        <f>'Var Vorgaben'!$C$29</f>
        <v>22.62</v>
      </c>
      <c r="CL57" s="45">
        <f t="shared" si="73"/>
        <v>67.86</v>
      </c>
      <c r="CM57" s="44">
        <f t="shared" si="57"/>
        <v>9.9916170436484372E-4</v>
      </c>
      <c r="CN57" s="18"/>
      <c r="CO57" s="4" t="s">
        <v>129</v>
      </c>
      <c r="CP57" s="1"/>
      <c r="CQ57" s="48">
        <f>'Var Vorgaben'!$E$86+(CP41*CQ41)</f>
        <v>3</v>
      </c>
      <c r="CR57" s="63">
        <f>'Var Vorgaben'!$C$29</f>
        <v>22.62</v>
      </c>
      <c r="CS57" s="45">
        <f t="shared" si="74"/>
        <v>67.86</v>
      </c>
      <c r="CT57" s="44">
        <f t="shared" si="58"/>
        <v>1.0075420911337056E-3</v>
      </c>
      <c r="CU57" s="18"/>
      <c r="CV57" s="4" t="s">
        <v>129</v>
      </c>
      <c r="CW57" s="1"/>
      <c r="CX57" s="48">
        <f>'Var Vorgaben'!$E$86+(CW41*CX41)</f>
        <v>3</v>
      </c>
      <c r="CY57" s="63">
        <f>'Var Vorgaben'!$C$29</f>
        <v>22.62</v>
      </c>
      <c r="CZ57" s="45">
        <f t="shared" si="75"/>
        <v>67.86</v>
      </c>
      <c r="DA57" s="44">
        <f t="shared" si="59"/>
        <v>1.0592495670876329E-3</v>
      </c>
      <c r="DB57" s="18"/>
      <c r="DC57" s="4" t="s">
        <v>129</v>
      </c>
      <c r="DD57" s="1"/>
      <c r="DE57" s="48">
        <f>'Var Vorgaben'!$E$86+(DD41*DE41)</f>
        <v>3</v>
      </c>
      <c r="DF57" s="63">
        <f>'Var Vorgaben'!$C$29</f>
        <v>22.62</v>
      </c>
      <c r="DG57" s="45">
        <f t="shared" si="76"/>
        <v>67.86</v>
      </c>
      <c r="DH57" s="44">
        <f t="shared" si="60"/>
        <v>1.0158494861712993E-3</v>
      </c>
    </row>
    <row r="58" spans="1:112" x14ac:dyDescent="0.3">
      <c r="B58" s="1" t="s">
        <v>225</v>
      </c>
      <c r="C58" s="266"/>
      <c r="D58" s="47">
        <v>0</v>
      </c>
      <c r="E58" s="63">
        <f>'Var Vorgaben'!$C$29</f>
        <v>22.62</v>
      </c>
      <c r="F58" s="45">
        <f>D58*E58</f>
        <v>0</v>
      </c>
      <c r="G58" s="44">
        <f t="shared" si="45"/>
        <v>0</v>
      </c>
      <c r="H58" s="18"/>
      <c r="I58" s="1" t="s">
        <v>225</v>
      </c>
      <c r="J58" s="266"/>
      <c r="K58" s="47">
        <v>0</v>
      </c>
      <c r="L58" s="63">
        <f>'Var Vorgaben'!$C$29</f>
        <v>22.62</v>
      </c>
      <c r="M58" s="45">
        <f t="shared" si="62"/>
        <v>0</v>
      </c>
      <c r="N58" s="44">
        <f t="shared" si="46"/>
        <v>0</v>
      </c>
      <c r="O58" s="18"/>
      <c r="P58" s="762" t="s">
        <v>248</v>
      </c>
      <c r="Q58" s="266"/>
      <c r="R58" s="47">
        <f>'Var Erstellung'!$D$121+'Var Erstellung'!$D$125</f>
        <v>170</v>
      </c>
      <c r="S58" s="63">
        <f>'Var Vorgaben'!$C$29</f>
        <v>22.62</v>
      </c>
      <c r="T58" s="45">
        <f t="shared" si="63"/>
        <v>3845.4</v>
      </c>
      <c r="U58" s="44">
        <f t="shared" si="47"/>
        <v>5.3587276889985984E-2</v>
      </c>
      <c r="V58" s="18"/>
      <c r="W58" s="1" t="s">
        <v>254</v>
      </c>
      <c r="X58" s="266"/>
      <c r="Y58" s="47">
        <f>'Var Erstellung'!$D$124+'Var Erstellung'!$D$125</f>
        <v>40</v>
      </c>
      <c r="Z58" s="63">
        <f>'Var Vorgaben'!$C$29</f>
        <v>22.62</v>
      </c>
      <c r="AA58" s="45">
        <f t="shared" si="64"/>
        <v>904.80000000000007</v>
      </c>
      <c r="AB58" s="44">
        <f t="shared" si="48"/>
        <v>2.6125085449239294E-2</v>
      </c>
      <c r="AC58" s="18"/>
      <c r="AD58" s="1" t="s">
        <v>225</v>
      </c>
      <c r="AE58" s="266"/>
      <c r="AF58" s="47">
        <f>'Var Erstellung'!$D$124+'Var Erstellung'!$D$125</f>
        <v>40</v>
      </c>
      <c r="AG58" s="63">
        <f>'Var Vorgaben'!$C$29</f>
        <v>22.62</v>
      </c>
      <c r="AH58" s="45">
        <f t="shared" si="65"/>
        <v>904.80000000000007</v>
      </c>
      <c r="AI58" s="44">
        <f t="shared" si="49"/>
        <v>1.6427293334403105E-2</v>
      </c>
      <c r="AJ58" s="18"/>
      <c r="AK58" s="1" t="s">
        <v>225</v>
      </c>
      <c r="AL58" s="266"/>
      <c r="AM58" s="47">
        <f>'Var Erstellung'!$D$124+'Var Erstellung'!$D$125</f>
        <v>40</v>
      </c>
      <c r="AN58" s="63">
        <f>'Var Vorgaben'!$C$29</f>
        <v>22.62</v>
      </c>
      <c r="AO58" s="45">
        <f t="shared" si="66"/>
        <v>904.80000000000007</v>
      </c>
      <c r="AP58" s="44">
        <f t="shared" si="50"/>
        <v>1.4271391777160476E-2</v>
      </c>
      <c r="AQ58" s="18"/>
      <c r="AR58" s="1" t="s">
        <v>225</v>
      </c>
      <c r="AS58" s="266"/>
      <c r="AT58" s="47">
        <f>'Var Erstellung'!$D$124+'Var Erstellung'!$D$125</f>
        <v>40</v>
      </c>
      <c r="AU58" s="63">
        <f>'Var Vorgaben'!$C$29</f>
        <v>22.62</v>
      </c>
      <c r="AV58" s="45">
        <f t="shared" si="67"/>
        <v>904.80000000000007</v>
      </c>
      <c r="AW58" s="44">
        <f t="shared" si="51"/>
        <v>1.2670050018085776E-2</v>
      </c>
      <c r="AX58" s="18"/>
      <c r="AY58" s="1" t="s">
        <v>225</v>
      </c>
      <c r="AZ58" s="266"/>
      <c r="BA58" s="47">
        <f>'Var Erstellung'!$D$124+'Var Erstellung'!$D$125</f>
        <v>40</v>
      </c>
      <c r="BB58" s="63">
        <f>'Var Vorgaben'!$C$29</f>
        <v>22.62</v>
      </c>
      <c r="BC58" s="45">
        <f t="shared" si="68"/>
        <v>904.80000000000007</v>
      </c>
      <c r="BD58" s="44">
        <f t="shared" si="52"/>
        <v>1.2775213155207634E-2</v>
      </c>
      <c r="BE58" s="18"/>
      <c r="BF58" s="1" t="s">
        <v>225</v>
      </c>
      <c r="BG58" s="266"/>
      <c r="BH58" s="47">
        <f>'Var Erstellung'!$D$124+'Var Erstellung'!$D$125</f>
        <v>40</v>
      </c>
      <c r="BI58" s="63">
        <f>'Var Vorgaben'!$C$29</f>
        <v>22.62</v>
      </c>
      <c r="BJ58" s="45">
        <f t="shared" si="69"/>
        <v>904.80000000000007</v>
      </c>
      <c r="BK58" s="44">
        <f t="shared" si="53"/>
        <v>1.2799455870651988E-2</v>
      </c>
      <c r="BL58" s="18"/>
      <c r="BM58" s="778" t="s">
        <v>248</v>
      </c>
      <c r="BN58" s="266"/>
      <c r="BO58" s="47">
        <f>'Var Erstellung'!$D$121+'Var Erstellung'!$D$125</f>
        <v>170</v>
      </c>
      <c r="BP58" s="63">
        <f>'Var Vorgaben'!$C$29</f>
        <v>22.62</v>
      </c>
      <c r="BQ58" s="45">
        <f t="shared" si="70"/>
        <v>3845.4</v>
      </c>
      <c r="BR58" s="44">
        <f t="shared" si="54"/>
        <v>3.2395887184142921E-2</v>
      </c>
      <c r="BS58" s="18"/>
      <c r="BT58" s="1" t="s">
        <v>225</v>
      </c>
      <c r="BU58" s="266"/>
      <c r="BV58" s="47">
        <f>'Var Erstellung'!$D$124+'Var Erstellung'!$D$125</f>
        <v>40</v>
      </c>
      <c r="BW58" s="63">
        <f>'Var Vorgaben'!$C$29</f>
        <v>22.62</v>
      </c>
      <c r="BX58" s="45">
        <f t="shared" si="71"/>
        <v>904.80000000000007</v>
      </c>
      <c r="BY58" s="44">
        <f t="shared" si="55"/>
        <v>1.3369766283483537E-2</v>
      </c>
      <c r="BZ58" s="18"/>
      <c r="CA58" s="1" t="s">
        <v>225</v>
      </c>
      <c r="CB58" s="266"/>
      <c r="CC58" s="47">
        <f>'Var Erstellung'!$D$124+'Var Erstellung'!$D$125</f>
        <v>40</v>
      </c>
      <c r="CD58" s="63">
        <f>'Var Vorgaben'!$C$29</f>
        <v>22.62</v>
      </c>
      <c r="CE58" s="45">
        <f t="shared" si="72"/>
        <v>904.80000000000007</v>
      </c>
      <c r="CF58" s="44">
        <f t="shared" si="56"/>
        <v>1.339115377039931E-2</v>
      </c>
      <c r="CG58" s="18"/>
      <c r="CH58" s="1" t="s">
        <v>225</v>
      </c>
      <c r="CI58" s="266"/>
      <c r="CJ58" s="47">
        <f>'Var Erstellung'!$D$124+'Var Erstellung'!$D$125</f>
        <v>40</v>
      </c>
      <c r="CK58" s="63">
        <f>'Var Vorgaben'!$C$29</f>
        <v>22.62</v>
      </c>
      <c r="CL58" s="45">
        <f t="shared" si="73"/>
        <v>904.80000000000007</v>
      </c>
      <c r="CM58" s="44">
        <f t="shared" si="57"/>
        <v>1.3322156058197919E-2</v>
      </c>
      <c r="CN58" s="18"/>
      <c r="CO58" s="1" t="s">
        <v>225</v>
      </c>
      <c r="CP58" s="266"/>
      <c r="CQ58" s="47">
        <f>'Var Erstellung'!$D$124+'Var Erstellung'!$D$125</f>
        <v>40</v>
      </c>
      <c r="CR58" s="63">
        <f>'Var Vorgaben'!$C$29</f>
        <v>22.62</v>
      </c>
      <c r="CS58" s="45">
        <f t="shared" si="74"/>
        <v>904.80000000000007</v>
      </c>
      <c r="CT58" s="44">
        <f t="shared" si="58"/>
        <v>1.3433894548449409E-2</v>
      </c>
      <c r="CU58" s="18"/>
      <c r="CV58" s="1" t="s">
        <v>225</v>
      </c>
      <c r="CW58" s="266"/>
      <c r="CX58" s="47">
        <f>'Var Erstellung'!$D$124+'Var Erstellung'!$D$125</f>
        <v>40</v>
      </c>
      <c r="CY58" s="63">
        <f>'Var Vorgaben'!$C$29</f>
        <v>22.62</v>
      </c>
      <c r="CZ58" s="45">
        <f t="shared" si="75"/>
        <v>904.80000000000007</v>
      </c>
      <c r="DA58" s="44">
        <f t="shared" si="59"/>
        <v>1.4123327561168438E-2</v>
      </c>
      <c r="DB58" s="18"/>
      <c r="DC58" s="1" t="s">
        <v>225</v>
      </c>
      <c r="DD58" s="266"/>
      <c r="DE58" s="47">
        <f>'Var Erstellung'!$D$124+'Var Erstellung'!$D$125</f>
        <v>40</v>
      </c>
      <c r="DF58" s="63">
        <f>'Var Vorgaben'!$C$29</f>
        <v>22.62</v>
      </c>
      <c r="DG58" s="45">
        <f t="shared" si="76"/>
        <v>904.80000000000007</v>
      </c>
      <c r="DH58" s="44">
        <f t="shared" si="60"/>
        <v>1.3544659815617326E-2</v>
      </c>
    </row>
    <row r="59" spans="1:112" s="1" customFormat="1" x14ac:dyDescent="0.3">
      <c r="A59" s="3"/>
      <c r="B59" s="1" t="s">
        <v>460</v>
      </c>
      <c r="C59" s="266"/>
      <c r="D59" s="47">
        <v>0</v>
      </c>
      <c r="E59" s="63">
        <f>'Var Vorgaben'!$C$29</f>
        <v>22.62</v>
      </c>
      <c r="F59" s="45">
        <f>D59*E59</f>
        <v>0</v>
      </c>
      <c r="G59" s="410">
        <f t="shared" si="45"/>
        <v>0</v>
      </c>
      <c r="H59" s="3"/>
      <c r="I59" s="1" t="s">
        <v>460</v>
      </c>
      <c r="J59" s="266"/>
      <c r="K59" s="47">
        <v>0</v>
      </c>
      <c r="L59" s="63">
        <f>'Var Vorgaben'!$C$29</f>
        <v>22.62</v>
      </c>
      <c r="M59" s="45">
        <f>K59*L59</f>
        <v>0</v>
      </c>
      <c r="N59" s="410">
        <f t="shared" si="46"/>
        <v>0</v>
      </c>
      <c r="O59" s="3"/>
      <c r="P59" s="1" t="s">
        <v>460</v>
      </c>
      <c r="Q59" s="266"/>
      <c r="R59" s="47">
        <f>'Var Erstellung'!$D$133</f>
        <v>20</v>
      </c>
      <c r="S59" s="63">
        <f>'Var Vorgaben'!$C$29</f>
        <v>22.62</v>
      </c>
      <c r="T59" s="45">
        <f t="shared" si="63"/>
        <v>452.40000000000003</v>
      </c>
      <c r="U59" s="410">
        <f t="shared" si="47"/>
        <v>6.3043855164689397E-3</v>
      </c>
      <c r="V59" s="3"/>
      <c r="W59" s="1" t="s">
        <v>460</v>
      </c>
      <c r="X59" s="266"/>
      <c r="Y59" s="47">
        <f>'Var Erstellung'!$D$133</f>
        <v>20</v>
      </c>
      <c r="Z59" s="63">
        <f>'Var Vorgaben'!$C$29</f>
        <v>22.62</v>
      </c>
      <c r="AA59" s="45">
        <f>Y59*Z59</f>
        <v>452.40000000000003</v>
      </c>
      <c r="AB59" s="410">
        <f t="shared" si="48"/>
        <v>1.3062542724619647E-2</v>
      </c>
      <c r="AC59" s="3"/>
      <c r="AD59" s="1" t="s">
        <v>460</v>
      </c>
      <c r="AE59" s="266"/>
      <c r="AF59" s="47">
        <f>'Var Erstellung'!$D$133</f>
        <v>20</v>
      </c>
      <c r="AG59" s="63">
        <f>'Var Vorgaben'!$C$29</f>
        <v>22.62</v>
      </c>
      <c r="AH59" s="45">
        <f>AF59*AG59</f>
        <v>452.40000000000003</v>
      </c>
      <c r="AI59" s="410">
        <f t="shared" si="49"/>
        <v>8.2136466672015525E-3</v>
      </c>
      <c r="AJ59" s="3"/>
      <c r="AK59" s="1" t="s">
        <v>460</v>
      </c>
      <c r="AL59" s="266"/>
      <c r="AM59" s="47">
        <f>'Var Erstellung'!$D$133</f>
        <v>20</v>
      </c>
      <c r="AN59" s="63">
        <f>'Var Vorgaben'!$C$29</f>
        <v>22.62</v>
      </c>
      <c r="AO59" s="45">
        <f>AM59*AN59</f>
        <v>452.40000000000003</v>
      </c>
      <c r="AP59" s="410">
        <f t="shared" si="50"/>
        <v>7.1356958885802381E-3</v>
      </c>
      <c r="AQ59" s="3"/>
      <c r="AR59" s="1" t="s">
        <v>460</v>
      </c>
      <c r="AS59" s="266"/>
      <c r="AT59" s="47">
        <f>'Var Erstellung'!$D$133</f>
        <v>20</v>
      </c>
      <c r="AU59" s="63">
        <f>'Var Vorgaben'!$C$29</f>
        <v>22.62</v>
      </c>
      <c r="AV59" s="45">
        <f>AT59*AU59</f>
        <v>452.40000000000003</v>
      </c>
      <c r="AW59" s="410">
        <f t="shared" si="51"/>
        <v>6.3350250090428882E-3</v>
      </c>
      <c r="AX59" s="3"/>
      <c r="AY59" s="1" t="s">
        <v>460</v>
      </c>
      <c r="AZ59" s="266"/>
      <c r="BA59" s="47">
        <f>'Var Erstellung'!$D$133</f>
        <v>20</v>
      </c>
      <c r="BB59" s="63">
        <f>'Var Vorgaben'!$C$29</f>
        <v>22.62</v>
      </c>
      <c r="BC59" s="45">
        <f>BA59*BB59</f>
        <v>452.40000000000003</v>
      </c>
      <c r="BD59" s="410">
        <f t="shared" si="52"/>
        <v>6.3876065776038169E-3</v>
      </c>
      <c r="BE59" s="3"/>
      <c r="BF59" s="1" t="s">
        <v>460</v>
      </c>
      <c r="BG59" s="266"/>
      <c r="BH59" s="47">
        <f>'Var Erstellung'!$D$133</f>
        <v>20</v>
      </c>
      <c r="BI59" s="63">
        <f>'Var Vorgaben'!$C$29</f>
        <v>22.62</v>
      </c>
      <c r="BJ59" s="45">
        <f>BH59*BI59</f>
        <v>452.40000000000003</v>
      </c>
      <c r="BK59" s="410"/>
      <c r="BL59" s="3"/>
      <c r="BM59" s="1" t="s">
        <v>460</v>
      </c>
      <c r="BN59" s="266"/>
      <c r="BO59" s="47">
        <f>'Var Erstellung'!$D$133</f>
        <v>20</v>
      </c>
      <c r="BP59" s="63">
        <f>'Var Vorgaben'!$C$29</f>
        <v>22.62</v>
      </c>
      <c r="BQ59" s="45">
        <f>BO59*BP59</f>
        <v>452.40000000000003</v>
      </c>
      <c r="BR59" s="410">
        <f t="shared" si="54"/>
        <v>3.8112808451932849E-3</v>
      </c>
      <c r="BS59" s="3"/>
      <c r="BT59" s="1" t="s">
        <v>460</v>
      </c>
      <c r="BU59" s="266"/>
      <c r="BV59" s="47">
        <f>'Var Erstellung'!$D$133</f>
        <v>20</v>
      </c>
      <c r="BW59" s="63">
        <f>'Var Vorgaben'!$C$29</f>
        <v>22.62</v>
      </c>
      <c r="BX59" s="45">
        <f>BV59*BW59</f>
        <v>452.40000000000003</v>
      </c>
      <c r="BY59" s="410">
        <f t="shared" si="55"/>
        <v>6.6848831417417685E-3</v>
      </c>
      <c r="BZ59" s="3"/>
      <c r="CA59" s="1" t="s">
        <v>460</v>
      </c>
      <c r="CB59" s="266"/>
      <c r="CC59" s="47">
        <f>'Var Erstellung'!$D$133</f>
        <v>20</v>
      </c>
      <c r="CD59" s="63">
        <f>'Var Vorgaben'!$C$29</f>
        <v>22.62</v>
      </c>
      <c r="CE59" s="45">
        <f>CC59*CD59</f>
        <v>452.40000000000003</v>
      </c>
      <c r="CF59" s="410">
        <f t="shared" si="56"/>
        <v>6.6955768851996549E-3</v>
      </c>
      <c r="CG59" s="3"/>
      <c r="CH59" s="1" t="s">
        <v>460</v>
      </c>
      <c r="CI59" s="266"/>
      <c r="CJ59" s="47">
        <f>'Var Erstellung'!$D$133</f>
        <v>20</v>
      </c>
      <c r="CK59" s="63">
        <f>'Var Vorgaben'!$C$29</f>
        <v>22.62</v>
      </c>
      <c r="CL59" s="45">
        <f>CJ59*CK59</f>
        <v>452.40000000000003</v>
      </c>
      <c r="CM59" s="410">
        <f t="shared" si="57"/>
        <v>6.6610780290989593E-3</v>
      </c>
      <c r="CN59" s="3"/>
      <c r="CO59" s="1" t="s">
        <v>460</v>
      </c>
      <c r="CP59" s="266"/>
      <c r="CQ59" s="47">
        <f>'Var Erstellung'!$D$133</f>
        <v>20</v>
      </c>
      <c r="CR59" s="63">
        <f>'Var Vorgaben'!$C$29</f>
        <v>22.62</v>
      </c>
      <c r="CS59" s="45">
        <f>CQ59*CR59</f>
        <v>452.40000000000003</v>
      </c>
      <c r="CT59" s="410">
        <f t="shared" si="58"/>
        <v>6.7169472742247046E-3</v>
      </c>
      <c r="CU59" s="3"/>
      <c r="CV59" s="1" t="s">
        <v>460</v>
      </c>
      <c r="CW59" s="266"/>
      <c r="CX59" s="47">
        <f>'Var Erstellung'!$D$133</f>
        <v>20</v>
      </c>
      <c r="CY59" s="63">
        <f>'Var Vorgaben'!$C$29</f>
        <v>22.62</v>
      </c>
      <c r="CZ59" s="45">
        <f>CX59*CY59</f>
        <v>452.40000000000003</v>
      </c>
      <c r="DA59" s="410">
        <f t="shared" si="59"/>
        <v>7.0616637805842189E-3</v>
      </c>
      <c r="DB59" s="3"/>
      <c r="DC59" s="1" t="s">
        <v>460</v>
      </c>
      <c r="DD59" s="266"/>
      <c r="DE59" s="47">
        <f>'Var Erstellung'!$D$133</f>
        <v>20</v>
      </c>
      <c r="DF59" s="63">
        <f>'Var Vorgaben'!$C$29</f>
        <v>22.62</v>
      </c>
      <c r="DG59" s="45">
        <f>DE59*DF59</f>
        <v>452.40000000000003</v>
      </c>
      <c r="DH59" s="410">
        <f t="shared" si="60"/>
        <v>6.772329907808663E-3</v>
      </c>
    </row>
    <row r="60" spans="1:112" x14ac:dyDescent="0.3">
      <c r="B60" s="1" t="s">
        <v>445</v>
      </c>
      <c r="C60" s="266"/>
      <c r="D60" s="47">
        <f>'Var Erstellung'!$D$153+'Var Erstellung'!$D$154</f>
        <v>14</v>
      </c>
      <c r="E60" s="63">
        <f>'Var Vorgaben'!$C$30</f>
        <v>32.700000000000003</v>
      </c>
      <c r="F60" s="45">
        <f t="shared" si="61"/>
        <v>457.80000000000007</v>
      </c>
      <c r="G60" s="44">
        <f t="shared" si="45"/>
        <v>4.0933566252518941E-2</v>
      </c>
      <c r="H60" s="18"/>
      <c r="I60" s="1" t="s">
        <v>445</v>
      </c>
      <c r="J60" s="266"/>
      <c r="K60" s="47">
        <f>'Var Erstellung'!$D$153+'Var Erstellung'!$D$154</f>
        <v>14</v>
      </c>
      <c r="L60" s="63">
        <f>'Var Vorgaben'!$C$30</f>
        <v>32.700000000000003</v>
      </c>
      <c r="M60" s="45">
        <f t="shared" si="62"/>
        <v>457.80000000000007</v>
      </c>
      <c r="N60" s="44">
        <f t="shared" si="46"/>
        <v>3.9954368488101417E-2</v>
      </c>
      <c r="O60" s="18"/>
      <c r="P60" s="1" t="s">
        <v>445</v>
      </c>
      <c r="Q60" s="266"/>
      <c r="R60" s="47">
        <f>'Var Erstellung'!$D$153+'Var Erstellung'!$D$154</f>
        <v>14</v>
      </c>
      <c r="S60" s="63">
        <f>'Var Vorgaben'!$C$30</f>
        <v>32.700000000000003</v>
      </c>
      <c r="T60" s="45">
        <f t="shared" si="63"/>
        <v>457.80000000000007</v>
      </c>
      <c r="U60" s="44">
        <f t="shared" si="47"/>
        <v>6.3796368024745375E-3</v>
      </c>
      <c r="V60" s="18"/>
      <c r="W60" s="1" t="s">
        <v>445</v>
      </c>
      <c r="X60" s="266"/>
      <c r="Y60" s="47">
        <f>'Var Erstellung'!$D$153+'Var Erstellung'!$D$154</f>
        <v>14</v>
      </c>
      <c r="Z60" s="63">
        <f>'Var Vorgaben'!$C$30</f>
        <v>32.700000000000003</v>
      </c>
      <c r="AA60" s="45">
        <f t="shared" si="64"/>
        <v>457.80000000000007</v>
      </c>
      <c r="AB60" s="44">
        <f t="shared" si="48"/>
        <v>1.3218461669608477E-2</v>
      </c>
      <c r="AC60" s="18"/>
      <c r="AD60" s="1" t="s">
        <v>445</v>
      </c>
      <c r="AE60" s="266"/>
      <c r="AF60" s="47">
        <f>'Var Erstellung'!$D$153+'Var Erstellung'!$D$154</f>
        <v>14</v>
      </c>
      <c r="AG60" s="63">
        <f>'Var Vorgaben'!$C$30</f>
        <v>32.700000000000003</v>
      </c>
      <c r="AH60" s="61">
        <f t="shared" si="65"/>
        <v>457.80000000000007</v>
      </c>
      <c r="AI60" s="44">
        <f t="shared" si="49"/>
        <v>8.3116875425395028E-3</v>
      </c>
      <c r="AJ60" s="18"/>
      <c r="AK60" s="1" t="s">
        <v>445</v>
      </c>
      <c r="AL60" s="266"/>
      <c r="AM60" s="47">
        <f>'Var Erstellung'!$D$153+'Var Erstellung'!$D$154</f>
        <v>14</v>
      </c>
      <c r="AN60" s="63">
        <f>'Var Vorgaben'!$C$30</f>
        <v>32.700000000000003</v>
      </c>
      <c r="AO60" s="45">
        <f t="shared" si="66"/>
        <v>457.80000000000007</v>
      </c>
      <c r="AP60" s="44">
        <f t="shared" si="50"/>
        <v>7.2208699774359703E-3</v>
      </c>
      <c r="AQ60" s="18"/>
      <c r="AR60" s="1" t="s">
        <v>445</v>
      </c>
      <c r="AS60" s="266"/>
      <c r="AT60" s="47">
        <f>'Var Erstellung'!$D$153+'Var Erstellung'!$D$154</f>
        <v>14</v>
      </c>
      <c r="AU60" s="63">
        <f>'Var Vorgaben'!$C$30</f>
        <v>32.700000000000003</v>
      </c>
      <c r="AV60" s="61">
        <f t="shared" si="67"/>
        <v>457.80000000000007</v>
      </c>
      <c r="AW60" s="44">
        <f t="shared" si="51"/>
        <v>6.4106420184346473E-3</v>
      </c>
      <c r="AX60" s="18"/>
      <c r="AY60" s="1" t="s">
        <v>445</v>
      </c>
      <c r="AZ60" s="266"/>
      <c r="BA60" s="47">
        <f>'Var Erstellung'!$D$153+'Var Erstellung'!$D$154</f>
        <v>14</v>
      </c>
      <c r="BB60" s="63">
        <f>'Var Vorgaben'!$C$30</f>
        <v>32.700000000000003</v>
      </c>
      <c r="BC60" s="45">
        <f t="shared" si="68"/>
        <v>457.80000000000007</v>
      </c>
      <c r="BD60" s="44">
        <f t="shared" si="52"/>
        <v>6.4638512184505472E-3</v>
      </c>
      <c r="BE60" s="18"/>
      <c r="BF60" s="1" t="s">
        <v>445</v>
      </c>
      <c r="BG60" s="266"/>
      <c r="BH60" s="47">
        <f>'Var Erstellung'!$D$153+'Var Erstellung'!$D$154</f>
        <v>14</v>
      </c>
      <c r="BI60" s="63">
        <f>'Var Vorgaben'!$C$30</f>
        <v>32.700000000000003</v>
      </c>
      <c r="BJ60" s="45">
        <f t="shared" si="69"/>
        <v>457.80000000000007</v>
      </c>
      <c r="BK60" s="44">
        <f t="shared" ref="BK60:BK68" si="77">BJ60/$BJ$68</f>
        <v>6.4761172608139702E-3</v>
      </c>
      <c r="BL60" s="18"/>
      <c r="BM60" s="1" t="s">
        <v>445</v>
      </c>
      <c r="BN60" s="266"/>
      <c r="BO60" s="47">
        <f>'Var Erstellung'!$D$153+'Var Erstellung'!$D$154</f>
        <v>14</v>
      </c>
      <c r="BP60" s="63">
        <f>'Var Vorgaben'!$C$30</f>
        <v>32.700000000000003</v>
      </c>
      <c r="BQ60" s="61">
        <f t="shared" si="70"/>
        <v>457.80000000000007</v>
      </c>
      <c r="BR60" s="44">
        <f t="shared" si="54"/>
        <v>3.85677358737729E-3</v>
      </c>
      <c r="BS60" s="18"/>
      <c r="BT60" s="1" t="s">
        <v>445</v>
      </c>
      <c r="BU60" s="266"/>
      <c r="BV60" s="47">
        <f>'Var Erstellung'!$D$153+'Var Erstellung'!$D$154</f>
        <v>14</v>
      </c>
      <c r="BW60" s="63">
        <f>'Var Vorgaben'!$C$30</f>
        <v>32.700000000000003</v>
      </c>
      <c r="BX60" s="45">
        <f t="shared" si="71"/>
        <v>457.80000000000007</v>
      </c>
      <c r="BY60" s="44">
        <f t="shared" si="55"/>
        <v>6.764676176590146E-3</v>
      </c>
      <c r="BZ60" s="18"/>
      <c r="CA60" s="1" t="s">
        <v>445</v>
      </c>
      <c r="CB60" s="266"/>
      <c r="CC60" s="47">
        <f>'Var Erstellung'!$D$153+'Var Erstellung'!$D$154</f>
        <v>14</v>
      </c>
      <c r="CD60" s="63">
        <f>'Var Vorgaben'!$C$30</f>
        <v>32.700000000000003</v>
      </c>
      <c r="CE60" s="45">
        <f t="shared" si="72"/>
        <v>457.80000000000007</v>
      </c>
      <c r="CF60" s="44">
        <f t="shared" si="56"/>
        <v>6.7754975642007123E-3</v>
      </c>
      <c r="CG60" s="18"/>
      <c r="CH60" s="1" t="s">
        <v>445</v>
      </c>
      <c r="CI60" s="266"/>
      <c r="CJ60" s="47">
        <f>'Var Erstellung'!$D$153+'Var Erstellung'!$D$154</f>
        <v>14</v>
      </c>
      <c r="CK60" s="63">
        <f>'Var Vorgaben'!$C$30</f>
        <v>32.700000000000003</v>
      </c>
      <c r="CL60" s="45">
        <f t="shared" si="73"/>
        <v>457.80000000000007</v>
      </c>
      <c r="CM60" s="44">
        <f t="shared" si="57"/>
        <v>6.7405869180404594E-3</v>
      </c>
      <c r="CN60" s="18"/>
      <c r="CO60" s="1" t="s">
        <v>445</v>
      </c>
      <c r="CP60" s="266"/>
      <c r="CQ60" s="47">
        <f>'Var Erstellung'!$D$153+'Var Erstellung'!$D$154</f>
        <v>14</v>
      </c>
      <c r="CR60" s="63">
        <f>'Var Vorgaben'!$C$30</f>
        <v>32.700000000000003</v>
      </c>
      <c r="CS60" s="45">
        <f t="shared" si="74"/>
        <v>457.80000000000007</v>
      </c>
      <c r="CT60" s="44">
        <f t="shared" si="58"/>
        <v>6.7971230374448939E-3</v>
      </c>
      <c r="CU60" s="18"/>
      <c r="CV60" s="1" t="s">
        <v>445</v>
      </c>
      <c r="CW60" s="266"/>
      <c r="CX60" s="47">
        <f>'Var Erstellung'!$D$153+'Var Erstellung'!$D$154</f>
        <v>14</v>
      </c>
      <c r="CY60" s="63">
        <f>'Var Vorgaben'!$C$30</f>
        <v>32.700000000000003</v>
      </c>
      <c r="CZ60" s="45">
        <f t="shared" si="75"/>
        <v>457.80000000000007</v>
      </c>
      <c r="DA60" s="44">
        <f t="shared" si="59"/>
        <v>7.1459541970633417E-3</v>
      </c>
      <c r="DB60" s="18"/>
      <c r="DC60" s="1" t="s">
        <v>445</v>
      </c>
      <c r="DD60" s="266"/>
      <c r="DE60" s="47">
        <f>'Var Erstellung'!$D$153+'Var Erstellung'!$D$154</f>
        <v>14</v>
      </c>
      <c r="DF60" s="63">
        <f>'Var Vorgaben'!$C$30</f>
        <v>32.700000000000003</v>
      </c>
      <c r="DG60" s="45">
        <f t="shared" si="76"/>
        <v>457.80000000000007</v>
      </c>
      <c r="DH60" s="44">
        <f t="shared" si="60"/>
        <v>6.8531667369469635E-3</v>
      </c>
    </row>
    <row r="61" spans="1:112" x14ac:dyDescent="0.3">
      <c r="B61" s="4" t="s">
        <v>127</v>
      </c>
      <c r="C61" s="47"/>
      <c r="D61" s="52">
        <f>'Var Vorgaben'!F87+'Var Vorgaben'!G87</f>
        <v>30</v>
      </c>
      <c r="E61" s="63">
        <f>'Var Vorgaben'!$C$26</f>
        <v>41.4</v>
      </c>
      <c r="F61" s="61">
        <f t="shared" si="61"/>
        <v>1242</v>
      </c>
      <c r="G61" s="44">
        <f t="shared" si="45"/>
        <v>0.11105174592754155</v>
      </c>
      <c r="H61" s="18"/>
      <c r="I61" s="4" t="s">
        <v>127</v>
      </c>
      <c r="J61" s="47"/>
      <c r="K61" s="52">
        <f>'Var Vorgaben'!F88+'Var Vorgaben'!G88</f>
        <v>30</v>
      </c>
      <c r="L61" s="63">
        <f>'Var Vorgaben'!$C$26</f>
        <v>41.4</v>
      </c>
      <c r="M61" s="61">
        <f t="shared" si="62"/>
        <v>1242</v>
      </c>
      <c r="N61" s="44">
        <f t="shared" si="46"/>
        <v>0.10839520677636949</v>
      </c>
      <c r="O61" s="18"/>
      <c r="P61" s="4" t="s">
        <v>127</v>
      </c>
      <c r="Q61" s="47"/>
      <c r="R61" s="52">
        <f>'Var Vorgaben'!$F$86+'Var Vorgaben'!$G$86</f>
        <v>50</v>
      </c>
      <c r="S61" s="63">
        <f>'Var Vorgaben'!$C$26</f>
        <v>41.4</v>
      </c>
      <c r="T61" s="61">
        <f t="shared" si="63"/>
        <v>2070</v>
      </c>
      <c r="U61" s="44">
        <f t="shared" si="47"/>
        <v>2.8846326302145675E-2</v>
      </c>
      <c r="V61" s="18"/>
      <c r="W61" s="4" t="s">
        <v>127</v>
      </c>
      <c r="X61" s="47"/>
      <c r="Y61" s="52">
        <f>'Var Vorgaben'!$F$86+'Var Vorgaben'!$G$86</f>
        <v>50</v>
      </c>
      <c r="Z61" s="63">
        <f>'Var Vorgaben'!$C$26</f>
        <v>41.4</v>
      </c>
      <c r="AA61" s="61">
        <f t="shared" si="64"/>
        <v>2070</v>
      </c>
      <c r="AB61" s="44">
        <f t="shared" si="48"/>
        <v>5.9768928912384327E-2</v>
      </c>
      <c r="AC61" s="18"/>
      <c r="AD61" s="4" t="s">
        <v>127</v>
      </c>
      <c r="AE61" s="47"/>
      <c r="AF61" s="52">
        <f>'Var Vorgaben'!$F$86+'Var Vorgaben'!$G$86</f>
        <v>50</v>
      </c>
      <c r="AG61" s="63">
        <f>'Var Vorgaben'!$C$26</f>
        <v>41.4</v>
      </c>
      <c r="AH61" s="61">
        <f t="shared" si="65"/>
        <v>2070</v>
      </c>
      <c r="AI61" s="44">
        <f t="shared" si="49"/>
        <v>3.7582335546213992E-2</v>
      </c>
      <c r="AJ61" s="18"/>
      <c r="AK61" s="4" t="s">
        <v>127</v>
      </c>
      <c r="AL61" s="47"/>
      <c r="AM61" s="52">
        <f>'Var Vorgaben'!$F$86+'Var Vorgaben'!$G$86</f>
        <v>50</v>
      </c>
      <c r="AN61" s="63">
        <f>'Var Vorgaben'!$C$26</f>
        <v>41.4</v>
      </c>
      <c r="AO61" s="61">
        <f t="shared" si="66"/>
        <v>2070</v>
      </c>
      <c r="AP61" s="44">
        <f t="shared" si="50"/>
        <v>3.265006739469737E-2</v>
      </c>
      <c r="AQ61" s="18"/>
      <c r="AR61" s="4" t="s">
        <v>127</v>
      </c>
      <c r="AS61" s="47"/>
      <c r="AT61" s="52">
        <f>'Var Vorgaben'!$F$86+'Var Vorgaben'!$G$86</f>
        <v>50</v>
      </c>
      <c r="AU61" s="63">
        <f>'Var Vorgaben'!$C$26</f>
        <v>41.4</v>
      </c>
      <c r="AV61" s="61">
        <f t="shared" si="67"/>
        <v>2070</v>
      </c>
      <c r="AW61" s="44">
        <f t="shared" si="51"/>
        <v>2.8986520266840798E-2</v>
      </c>
      <c r="AX61" s="18"/>
      <c r="AY61" s="4" t="s">
        <v>127</v>
      </c>
      <c r="AZ61" s="47"/>
      <c r="BA61" s="52">
        <f>'Var Vorgaben'!$F$86+'Var Vorgaben'!$G$86</f>
        <v>50</v>
      </c>
      <c r="BB61" s="63">
        <f>'Var Vorgaben'!$C$26</f>
        <v>41.4</v>
      </c>
      <c r="BC61" s="61">
        <f t="shared" si="68"/>
        <v>2070</v>
      </c>
      <c r="BD61" s="44">
        <f t="shared" si="52"/>
        <v>2.9227112324579793E-2</v>
      </c>
      <c r="BE61" s="18"/>
      <c r="BF61" s="4" t="s">
        <v>127</v>
      </c>
      <c r="BG61" s="47"/>
      <c r="BH61" s="52">
        <f>'Var Vorgaben'!$F$86+'Var Vorgaben'!$G$86</f>
        <v>50</v>
      </c>
      <c r="BI61" s="63">
        <f>'Var Vorgaben'!$C$26</f>
        <v>41.4</v>
      </c>
      <c r="BJ61" s="61">
        <f t="shared" si="69"/>
        <v>2070</v>
      </c>
      <c r="BK61" s="44">
        <f t="shared" si="77"/>
        <v>2.9282574770390819E-2</v>
      </c>
      <c r="BL61" s="18"/>
      <c r="BM61" s="4" t="s">
        <v>127</v>
      </c>
      <c r="BN61" s="47"/>
      <c r="BO61" s="52">
        <f>'Var Vorgaben'!$F$86+'Var Vorgaben'!$G$86</f>
        <v>50</v>
      </c>
      <c r="BP61" s="63">
        <f>'Var Vorgaben'!$C$26</f>
        <v>41.4</v>
      </c>
      <c r="BQ61" s="61">
        <f t="shared" si="70"/>
        <v>2070</v>
      </c>
      <c r="BR61" s="44">
        <f t="shared" si="54"/>
        <v>1.7438884503868476E-2</v>
      </c>
      <c r="BS61" s="18"/>
      <c r="BT61" s="4" t="s">
        <v>127</v>
      </c>
      <c r="BU61" s="47"/>
      <c r="BV61" s="52">
        <f>'Var Vorgaben'!$F$86+'Var Vorgaben'!$G$86</f>
        <v>50</v>
      </c>
      <c r="BW61" s="63">
        <f>'Var Vorgaben'!$C$26</f>
        <v>41.4</v>
      </c>
      <c r="BX61" s="61">
        <f t="shared" si="71"/>
        <v>2070</v>
      </c>
      <c r="BY61" s="44">
        <f t="shared" si="55"/>
        <v>3.058733002521101E-2</v>
      </c>
      <c r="BZ61" s="18"/>
      <c r="CA61" s="4" t="s">
        <v>127</v>
      </c>
      <c r="CB61" s="47"/>
      <c r="CC61" s="52">
        <f>'Var Vorgaben'!$F$86+'Var Vorgaben'!$G$86</f>
        <v>50</v>
      </c>
      <c r="CD61" s="63">
        <f>'Var Vorgaben'!$C$26</f>
        <v>41.4</v>
      </c>
      <c r="CE61" s="61">
        <f t="shared" si="72"/>
        <v>2070</v>
      </c>
      <c r="CF61" s="44">
        <f t="shared" si="56"/>
        <v>3.0636260283738472E-2</v>
      </c>
      <c r="CG61" s="18"/>
      <c r="CH61" s="4" t="s">
        <v>127</v>
      </c>
      <c r="CI61" s="47"/>
      <c r="CJ61" s="52">
        <f>'Var Vorgaben'!$F$86+'Var Vorgaben'!$G$86</f>
        <v>50</v>
      </c>
      <c r="CK61" s="63">
        <f>'Var Vorgaben'!$C$26</f>
        <v>41.4</v>
      </c>
      <c r="CL61" s="61">
        <f t="shared" si="73"/>
        <v>2070</v>
      </c>
      <c r="CM61" s="44">
        <f t="shared" si="57"/>
        <v>3.0478407427574811E-2</v>
      </c>
      <c r="CN61" s="18"/>
      <c r="CO61" s="4" t="s">
        <v>127</v>
      </c>
      <c r="CP61" s="47"/>
      <c r="CQ61" s="52">
        <f>'Var Vorgaben'!$F$86+'Var Vorgaben'!$G$86</f>
        <v>50</v>
      </c>
      <c r="CR61" s="63">
        <f>'Var Vorgaben'!$C$26</f>
        <v>41.4</v>
      </c>
      <c r="CS61" s="61">
        <f t="shared" si="74"/>
        <v>2070</v>
      </c>
      <c r="CT61" s="44">
        <f t="shared" si="58"/>
        <v>3.0734042567739029E-2</v>
      </c>
      <c r="CU61" s="18"/>
      <c r="CV61" s="4" t="s">
        <v>127</v>
      </c>
      <c r="CW61" s="47"/>
      <c r="CX61" s="52">
        <f>'Var Vorgaben'!$F$86+'Var Vorgaben'!$G$86</f>
        <v>50</v>
      </c>
      <c r="CY61" s="63">
        <f>'Var Vorgaben'!$C$26</f>
        <v>41.4</v>
      </c>
      <c r="CZ61" s="61">
        <f t="shared" si="75"/>
        <v>2070</v>
      </c>
      <c r="DA61" s="44">
        <f t="shared" si="59"/>
        <v>3.2311326316996757E-2</v>
      </c>
      <c r="DB61" s="18"/>
      <c r="DC61" s="4" t="s">
        <v>127</v>
      </c>
      <c r="DD61" s="47"/>
      <c r="DE61" s="52">
        <f>'Var Vorgaben'!$F$86+'Var Vorgaben'!$G$86</f>
        <v>50</v>
      </c>
      <c r="DF61" s="63">
        <f>'Var Vorgaben'!$C$26</f>
        <v>41.4</v>
      </c>
      <c r="DG61" s="61">
        <f t="shared" si="76"/>
        <v>2070</v>
      </c>
      <c r="DH61" s="44">
        <f t="shared" si="60"/>
        <v>3.0987451169681546E-2</v>
      </c>
    </row>
    <row r="62" spans="1:112" ht="13.5" thickBot="1" x14ac:dyDescent="0.35">
      <c r="B62" s="3" t="s">
        <v>13</v>
      </c>
      <c r="C62" s="266">
        <f>'Var Vorgaben'!$F$64</f>
        <v>12</v>
      </c>
      <c r="D62" s="752">
        <f>D12/C62</f>
        <v>0</v>
      </c>
      <c r="E62" s="63">
        <f>'Var Vorgaben'!$C$29</f>
        <v>22.62</v>
      </c>
      <c r="F62" s="208">
        <f>D62*E62</f>
        <v>0</v>
      </c>
      <c r="G62" s="44">
        <f t="shared" si="45"/>
        <v>0</v>
      </c>
      <c r="H62" s="18"/>
      <c r="I62" s="3" t="s">
        <v>13</v>
      </c>
      <c r="J62" s="266">
        <f>'Var Vorgaben'!$F$65</f>
        <v>12</v>
      </c>
      <c r="K62" s="752">
        <f>K12/J62</f>
        <v>0</v>
      </c>
      <c r="L62" s="63">
        <f>'Var Vorgaben'!$C$29</f>
        <v>22.62</v>
      </c>
      <c r="M62" s="208">
        <f t="shared" si="62"/>
        <v>0</v>
      </c>
      <c r="N62" s="44">
        <f t="shared" si="46"/>
        <v>0</v>
      </c>
      <c r="O62" s="18"/>
      <c r="P62" s="3" t="s">
        <v>13</v>
      </c>
      <c r="Q62" s="266">
        <f>'Var Vorgaben'!$F$66</f>
        <v>12</v>
      </c>
      <c r="R62" s="752">
        <f>R12/Q62</f>
        <v>85.763293310463141</v>
      </c>
      <c r="S62" s="63">
        <f>'Var Vorgaben'!$C$29</f>
        <v>22.62</v>
      </c>
      <c r="T62" s="208">
        <f t="shared" si="63"/>
        <v>1939.9656946826763</v>
      </c>
      <c r="U62" s="44">
        <f t="shared" si="47"/>
        <v>2.7034243209558061E-2</v>
      </c>
      <c r="V62" s="18"/>
      <c r="W62" s="3" t="s">
        <v>13</v>
      </c>
      <c r="X62" s="266">
        <f>'Var Vorgaben'!$F$67</f>
        <v>12</v>
      </c>
      <c r="Y62" s="752">
        <f>Y12/X62</f>
        <v>343.05317324185256</v>
      </c>
      <c r="Z62" s="63">
        <f>'Var Vorgaben'!$C$29</f>
        <v>22.62</v>
      </c>
      <c r="AA62" s="208">
        <f t="shared" si="64"/>
        <v>7759.862778730705</v>
      </c>
      <c r="AB62" s="44">
        <f t="shared" si="48"/>
        <v>0.22405733661440222</v>
      </c>
      <c r="AC62" s="18"/>
      <c r="AD62" s="3" t="s">
        <v>13</v>
      </c>
      <c r="AE62" s="266">
        <f>'Var Vorgaben'!$F$68</f>
        <v>12</v>
      </c>
      <c r="AF62" s="752">
        <f>AF12/AE62</f>
        <v>770.15437392795877</v>
      </c>
      <c r="AG62" s="63">
        <f>'Var Vorgaben'!$C$29</f>
        <v>22.62</v>
      </c>
      <c r="AH62" s="208">
        <f t="shared" si="65"/>
        <v>17420.891938250428</v>
      </c>
      <c r="AI62" s="44">
        <f t="shared" si="49"/>
        <v>0.31628879533220383</v>
      </c>
      <c r="AJ62" s="18"/>
      <c r="AK62" s="3" t="s">
        <v>13</v>
      </c>
      <c r="AL62" s="266">
        <f>'Var Vorgaben'!$F$69</f>
        <v>12</v>
      </c>
      <c r="AM62" s="752">
        <f>AM12/AL62</f>
        <v>994.85420240137228</v>
      </c>
      <c r="AN62" s="63">
        <f>'Var Vorgaben'!$C$29</f>
        <v>22.62</v>
      </c>
      <c r="AO62" s="208">
        <f t="shared" si="66"/>
        <v>22503.60205831904</v>
      </c>
      <c r="AP62" s="44">
        <f t="shared" si="50"/>
        <v>0.35494885209061217</v>
      </c>
      <c r="AQ62" s="18"/>
      <c r="AR62" s="3" t="s">
        <v>13</v>
      </c>
      <c r="AS62" s="266">
        <f>'Var Vorgaben'!$F$70</f>
        <v>12</v>
      </c>
      <c r="AT62" s="752">
        <f>AT12/AS62</f>
        <v>1200.6861063464837</v>
      </c>
      <c r="AU62" s="63">
        <f>'Var Vorgaben'!$C$29</f>
        <v>22.62</v>
      </c>
      <c r="AV62" s="208">
        <f t="shared" si="67"/>
        <v>27159.519725557464</v>
      </c>
      <c r="AW62" s="44">
        <f t="shared" si="51"/>
        <v>0.38031882558576519</v>
      </c>
      <c r="AX62" s="18"/>
      <c r="AY62" s="3" t="s">
        <v>13</v>
      </c>
      <c r="AZ62" s="266">
        <f>'Var Vorgaben'!$F$71</f>
        <v>12</v>
      </c>
      <c r="BA62" s="752">
        <f>BA12/AZ62</f>
        <v>1200.6861063464837</v>
      </c>
      <c r="BB62" s="63">
        <f>'Var Vorgaben'!$C$29</f>
        <v>22.62</v>
      </c>
      <c r="BC62" s="208">
        <f t="shared" si="68"/>
        <v>27159.519725557464</v>
      </c>
      <c r="BD62" s="44">
        <f t="shared" si="52"/>
        <v>0.38347552352681574</v>
      </c>
      <c r="BE62" s="18"/>
      <c r="BF62" s="3" t="s">
        <v>13</v>
      </c>
      <c r="BG62" s="266">
        <f>'Var Vorgaben'!$F$72</f>
        <v>12</v>
      </c>
      <c r="BH62" s="752">
        <f>BH12/BG62</f>
        <v>1200.6861063464837</v>
      </c>
      <c r="BI62" s="63">
        <f>'Var Vorgaben'!$C$29</f>
        <v>22.62</v>
      </c>
      <c r="BJ62" s="208">
        <f t="shared" si="69"/>
        <v>27159.519725557464</v>
      </c>
      <c r="BK62" s="44">
        <f t="shared" si="77"/>
        <v>0.38420322081716946</v>
      </c>
      <c r="BL62" s="18"/>
      <c r="BM62" s="3" t="s">
        <v>13</v>
      </c>
      <c r="BN62" s="266">
        <f>'Var Vorgaben'!$F$73</f>
        <v>12</v>
      </c>
      <c r="BO62" s="752">
        <f>BO12/BN62</f>
        <v>1200.6861063464837</v>
      </c>
      <c r="BP62" s="63">
        <f>'Var Vorgaben'!$C$29</f>
        <v>22.62</v>
      </c>
      <c r="BQ62" s="208">
        <f t="shared" si="70"/>
        <v>27159.519725557464</v>
      </c>
      <c r="BR62" s="44">
        <f t="shared" si="54"/>
        <v>0.22880759791040306</v>
      </c>
      <c r="BS62" s="18"/>
      <c r="BT62" s="3" t="s">
        <v>13</v>
      </c>
      <c r="BU62" s="266">
        <f>'Var Vorgaben'!$F$74</f>
        <v>12</v>
      </c>
      <c r="BV62" s="752">
        <f>BV12/BU62</f>
        <v>1114.9228130360207</v>
      </c>
      <c r="BW62" s="63">
        <f>'Var Vorgaben'!$C$29</f>
        <v>22.62</v>
      </c>
      <c r="BX62" s="208">
        <f t="shared" si="71"/>
        <v>25219.554030874788</v>
      </c>
      <c r="BY62" s="44">
        <f t="shared" si="55"/>
        <v>0.37265643586039021</v>
      </c>
      <c r="BZ62" s="18"/>
      <c r="CA62" s="3" t="s">
        <v>13</v>
      </c>
      <c r="CB62" s="266">
        <f>'Var Vorgaben'!$F$75</f>
        <v>12</v>
      </c>
      <c r="CC62" s="752">
        <f>CC12/CB62</f>
        <v>1114.9228130360207</v>
      </c>
      <c r="CD62" s="63">
        <f>'Var Vorgaben'!$C$29</f>
        <v>22.62</v>
      </c>
      <c r="CE62" s="208">
        <f t="shared" si="72"/>
        <v>25219.554030874788</v>
      </c>
      <c r="CF62" s="44">
        <f t="shared" si="56"/>
        <v>0.3732525707872878</v>
      </c>
      <c r="CG62" s="18"/>
      <c r="CH62" s="3" t="s">
        <v>13</v>
      </c>
      <c r="CI62" s="266">
        <f>'Var Vorgaben'!$F$76</f>
        <v>12</v>
      </c>
      <c r="CJ62" s="752">
        <f>CJ12/CI62</f>
        <v>1114.9228130360207</v>
      </c>
      <c r="CK62" s="63">
        <f>'Var Vorgaben'!$C$29</f>
        <v>22.62</v>
      </c>
      <c r="CL62" s="208">
        <f t="shared" si="73"/>
        <v>25219.554030874788</v>
      </c>
      <c r="CM62" s="44">
        <f t="shared" si="57"/>
        <v>0.37132939270277215</v>
      </c>
      <c r="CN62" s="18"/>
      <c r="CO62" s="3" t="s">
        <v>13</v>
      </c>
      <c r="CP62" s="266">
        <f>'Var Vorgaben'!$F$77</f>
        <v>12</v>
      </c>
      <c r="CQ62" s="752">
        <f>CQ12/CP62</f>
        <v>1114.9228130360207</v>
      </c>
      <c r="CR62" s="63">
        <f>'Var Vorgaben'!$C$29</f>
        <v>22.62</v>
      </c>
      <c r="CS62" s="208">
        <f t="shared" si="74"/>
        <v>25219.554030874788</v>
      </c>
      <c r="CT62" s="44">
        <f t="shared" si="58"/>
        <v>0.3744438874996619</v>
      </c>
      <c r="CU62" s="18"/>
      <c r="CV62" s="3" t="s">
        <v>13</v>
      </c>
      <c r="CW62" s="266">
        <f>'Var Vorgaben'!$F$78</f>
        <v>12</v>
      </c>
      <c r="CX62" s="752">
        <f>CX12/CW62</f>
        <v>1029.1595197255576</v>
      </c>
      <c r="CY62" s="63">
        <f>'Var Vorgaben'!$C$29</f>
        <v>22.62</v>
      </c>
      <c r="CZ62" s="208">
        <f>CX62*CY62</f>
        <v>23279.588336192115</v>
      </c>
      <c r="DA62" s="44">
        <f t="shared" si="59"/>
        <v>0.36337892524447102</v>
      </c>
      <c r="DB62" s="18"/>
      <c r="DC62" s="3" t="s">
        <v>13</v>
      </c>
      <c r="DD62" s="266">
        <f>'Var Vorgaben'!$F$79</f>
        <v>12</v>
      </c>
      <c r="DE62" s="752">
        <f>DE12/DD62</f>
        <v>943.39622641509447</v>
      </c>
      <c r="DF62" s="63">
        <f>'Var Vorgaben'!$C$29</f>
        <v>22.62</v>
      </c>
      <c r="DG62" s="208">
        <f t="shared" si="76"/>
        <v>21339.622641509439</v>
      </c>
      <c r="DH62" s="44">
        <f t="shared" si="60"/>
        <v>0.31944952395323889</v>
      </c>
    </row>
    <row r="63" spans="1:112" x14ac:dyDescent="0.3">
      <c r="A63" s="135" t="s">
        <v>113</v>
      </c>
      <c r="B63" s="591">
        <f>('Var Vorgaben'!$F$27*D57)+('Var Vorgaben'!$F$27*D62)</f>
        <v>0</v>
      </c>
      <c r="C63" s="160" t="s">
        <v>111</v>
      </c>
      <c r="D63" s="590">
        <f>SUM(D53:D62)</f>
        <v>136</v>
      </c>
      <c r="E63" s="63"/>
      <c r="F63" s="82">
        <f>SUM(F53:F62)</f>
        <v>4708.2000000000007</v>
      </c>
      <c r="G63" s="668">
        <f t="shared" si="45"/>
        <v>0.42097731898232782</v>
      </c>
      <c r="H63" s="135" t="s">
        <v>113</v>
      </c>
      <c r="I63" s="591">
        <f>('Var Vorgaben'!$F$27*K57)+('Var Vorgaben'!$F$27*K62)</f>
        <v>1.8</v>
      </c>
      <c r="J63" s="160" t="s">
        <v>111</v>
      </c>
      <c r="K63" s="590">
        <f>SUM(K53:K62)</f>
        <v>141</v>
      </c>
      <c r="L63" s="63"/>
      <c r="M63" s="82">
        <f>SUM(M53:M62)</f>
        <v>4851.54</v>
      </c>
      <c r="N63" s="668">
        <f t="shared" si="46"/>
        <v>0.42341681278891113</v>
      </c>
      <c r="O63" s="135" t="s">
        <v>113</v>
      </c>
      <c r="P63" s="591">
        <f>('Var Vorgaben'!$F$27*R57)+('Var Vorgaben'!$F$27*R62)</f>
        <v>79.886963979416834</v>
      </c>
      <c r="Q63" s="160" t="s">
        <v>111</v>
      </c>
      <c r="R63" s="590">
        <f>SUM(R53:R62)</f>
        <v>489.76329331046315</v>
      </c>
      <c r="S63" s="63"/>
      <c r="T63" s="82">
        <f>SUM(T53:T62)</f>
        <v>13640.325694682675</v>
      </c>
      <c r="U63" s="668">
        <f t="shared" si="47"/>
        <v>0.19008371297408616</v>
      </c>
      <c r="V63" s="135" t="s">
        <v>113</v>
      </c>
      <c r="W63" s="591">
        <f>('Var Vorgaben'!$F$27*Y57)+('Var Vorgaben'!$F$27*Y62)</f>
        <v>311.44785591766731</v>
      </c>
      <c r="X63" s="160" t="s">
        <v>111</v>
      </c>
      <c r="Y63" s="590">
        <f>SUM(Y53:Y62)</f>
        <v>618.05317324185262</v>
      </c>
      <c r="Z63" s="63"/>
      <c r="AA63" s="82">
        <f>SUM(AA53:AA62)</f>
        <v>16454.222778730706</v>
      </c>
      <c r="AB63" s="668">
        <f t="shared" si="48"/>
        <v>0.475097232642749</v>
      </c>
      <c r="AC63" s="135" t="s">
        <v>113</v>
      </c>
      <c r="AD63" s="591">
        <f>('Var Vorgaben'!$F$27*AF57)+('Var Vorgaben'!$F$27*AF62)</f>
        <v>695.83893653516293</v>
      </c>
      <c r="AE63" s="160" t="s">
        <v>111</v>
      </c>
      <c r="AF63" s="590">
        <f>SUM(AF53:AF62)</f>
        <v>1044.1543739279587</v>
      </c>
      <c r="AG63" s="63"/>
      <c r="AH63" s="82">
        <f>SUM(AH53:AH62)</f>
        <v>26115.251938250429</v>
      </c>
      <c r="AI63" s="668">
        <f t="shared" si="49"/>
        <v>0.47414114068465846</v>
      </c>
      <c r="AJ63" s="135" t="s">
        <v>113</v>
      </c>
      <c r="AK63" s="591">
        <f>('Var Vorgaben'!$F$27*AM57)+('Var Vorgaben'!$F$27*AM62)</f>
        <v>898.06878216123516</v>
      </c>
      <c r="AL63" s="160" t="s">
        <v>111</v>
      </c>
      <c r="AM63" s="590">
        <f>SUM(AM53:AM62)</f>
        <v>1268.8542024013723</v>
      </c>
      <c r="AN63" s="63"/>
      <c r="AO63" s="82">
        <f>SUM(AO53:AO62)</f>
        <v>31197.962058319041</v>
      </c>
      <c r="AP63" s="668">
        <f t="shared" si="50"/>
        <v>0.49208481342093152</v>
      </c>
      <c r="AQ63" s="135" t="s">
        <v>113</v>
      </c>
      <c r="AR63" s="591">
        <f>('Var Vorgaben'!$F$27*AT57)+('Var Vorgaben'!$F$27*AT62)</f>
        <v>1083.3174957118354</v>
      </c>
      <c r="AS63" s="160" t="s">
        <v>111</v>
      </c>
      <c r="AT63" s="590">
        <f>SUM(AT53:AT62)</f>
        <v>1475.6861063464837</v>
      </c>
      <c r="AU63" s="63"/>
      <c r="AV63" s="82">
        <f>SUM(AV53:AV62)</f>
        <v>35853.879725557461</v>
      </c>
      <c r="AW63" s="668">
        <f t="shared" si="51"/>
        <v>0.50206725184045597</v>
      </c>
      <c r="AX63" s="135" t="s">
        <v>113</v>
      </c>
      <c r="AY63" s="591">
        <f>('Var Vorgaben'!$F$27*BA57)+('Var Vorgaben'!$F$27*BA62)</f>
        <v>1083.3174957118354</v>
      </c>
      <c r="AZ63" s="160" t="s">
        <v>111</v>
      </c>
      <c r="BA63" s="590">
        <f>SUM(BA53:BA62)</f>
        <v>1474.6861063464837</v>
      </c>
      <c r="BB63" s="63"/>
      <c r="BC63" s="82">
        <f>SUM(BC53:BC62)</f>
        <v>35853.879725557461</v>
      </c>
      <c r="BD63" s="668">
        <f t="shared" si="52"/>
        <v>0.50623447826610724</v>
      </c>
      <c r="BE63" s="135" t="s">
        <v>113</v>
      </c>
      <c r="BF63" s="591">
        <f>('Var Vorgaben'!$F$27*BH57)+('Var Vorgaben'!$F$27*BH62)</f>
        <v>1083.3174957118354</v>
      </c>
      <c r="BG63" s="160" t="s">
        <v>111</v>
      </c>
      <c r="BH63" s="590">
        <f>SUM(BH53:BH62)</f>
        <v>1474.6861063464837</v>
      </c>
      <c r="BI63" s="63"/>
      <c r="BJ63" s="82">
        <f>SUM(BJ53:BJ62)</f>
        <v>35853.879725557461</v>
      </c>
      <c r="BK63" s="668">
        <f>BJ63/$BJ$68</f>
        <v>0.50719512747451001</v>
      </c>
      <c r="BL63" s="135" t="s">
        <v>113</v>
      </c>
      <c r="BM63" s="591">
        <f>('Var Vorgaben'!$F$27*BO57)+('Var Vorgaben'!$F$27*BO62)</f>
        <v>1083.3174957118354</v>
      </c>
      <c r="BN63" s="160" t="s">
        <v>111</v>
      </c>
      <c r="BO63" s="590">
        <f>SUM(BO53:BO62)</f>
        <v>1605.6861063464837</v>
      </c>
      <c r="BP63" s="63"/>
      <c r="BQ63" s="82">
        <f>SUM(BQ53:BQ62)</f>
        <v>38794.479725557467</v>
      </c>
      <c r="BR63" s="668">
        <f t="shared" si="54"/>
        <v>0.32682727116988597</v>
      </c>
      <c r="BS63" s="135" t="s">
        <v>113</v>
      </c>
      <c r="BT63" s="591">
        <f>('Var Vorgaben'!$F$27*BV57)+('Var Vorgaben'!$F$27*BV62)</f>
        <v>1006.1305317324187</v>
      </c>
      <c r="BU63" s="160" t="s">
        <v>111</v>
      </c>
      <c r="BV63" s="590">
        <f>SUM(BV53:BV62)</f>
        <v>1388.9228130360207</v>
      </c>
      <c r="BW63" s="63"/>
      <c r="BX63" s="82">
        <f>SUM(BX53:BX62)</f>
        <v>33913.914030874788</v>
      </c>
      <c r="BY63" s="668">
        <f t="shared" si="55"/>
        <v>0.50112854150193298</v>
      </c>
      <c r="BZ63" s="135" t="s">
        <v>113</v>
      </c>
      <c r="CA63" s="591">
        <f>('Var Vorgaben'!$F$27*CC57)+('Var Vorgaben'!$F$27*CC62)</f>
        <v>1006.1305317324187</v>
      </c>
      <c r="CB63" s="160" t="s">
        <v>111</v>
      </c>
      <c r="CC63" s="590">
        <f>SUM(CC53:CC62)</f>
        <v>1388.9228130360207</v>
      </c>
      <c r="CD63" s="63"/>
      <c r="CE63" s="82">
        <f>SUM(CE53:CE62)</f>
        <v>33913.914030874788</v>
      </c>
      <c r="CF63" s="668">
        <f t="shared" si="56"/>
        <v>0.50193019202425615</v>
      </c>
      <c r="CG63" s="135" t="s">
        <v>113</v>
      </c>
      <c r="CH63" s="591">
        <f>('Var Vorgaben'!$F$27*CJ57)+('Var Vorgaben'!$F$27*CJ62)</f>
        <v>1006.1305317324187</v>
      </c>
      <c r="CI63" s="160" t="s">
        <v>111</v>
      </c>
      <c r="CJ63" s="590">
        <f>SUM(CJ53:CJ62)</f>
        <v>1389.9228130360207</v>
      </c>
      <c r="CK63" s="63"/>
      <c r="CL63" s="82">
        <f>SUM(CL53:CL62)</f>
        <v>33913.914030874788</v>
      </c>
      <c r="CM63" s="668">
        <f t="shared" si="57"/>
        <v>0.49934400449118249</v>
      </c>
      <c r="CN63" s="135" t="s">
        <v>113</v>
      </c>
      <c r="CO63" s="591">
        <f>('Var Vorgaben'!$F$27*CQ57)+('Var Vorgaben'!$F$27*CQ62)</f>
        <v>1006.1305317324187</v>
      </c>
      <c r="CP63" s="160" t="s">
        <v>111</v>
      </c>
      <c r="CQ63" s="590">
        <f>SUM(CQ53:CQ62)</f>
        <v>1388.9228130360207</v>
      </c>
      <c r="CR63" s="63"/>
      <c r="CS63" s="82">
        <f>SUM(CS53:CS62)</f>
        <v>33913.914030874788</v>
      </c>
      <c r="CT63" s="668">
        <f t="shared" si="58"/>
        <v>0.50353221133504722</v>
      </c>
      <c r="CU63" s="135" t="s">
        <v>113</v>
      </c>
      <c r="CV63" s="591">
        <f>('Var Vorgaben'!$F$27*CX57)+('Var Vorgaben'!$F$27*CX62)</f>
        <v>928.94356775300196</v>
      </c>
      <c r="CW63" s="160" t="s">
        <v>111</v>
      </c>
      <c r="CX63" s="590">
        <f>SUM(CX53:CX62)</f>
        <v>1303.1595197255576</v>
      </c>
      <c r="CY63" s="63"/>
      <c r="CZ63" s="82">
        <f>SUM(CZ53:CZ62)</f>
        <v>31973.948336192116</v>
      </c>
      <c r="DA63" s="668">
        <f t="shared" si="59"/>
        <v>0.499092115136956</v>
      </c>
      <c r="DB63" s="135" t="s">
        <v>113</v>
      </c>
      <c r="DC63" s="591">
        <f>('Var Vorgaben'!$F$27*DE57)+('Var Vorgaben'!$F$27*DE62)</f>
        <v>851.75660377358508</v>
      </c>
      <c r="DD63" s="160" t="s">
        <v>111</v>
      </c>
      <c r="DE63" s="590">
        <f>SUM(DE53:DE62)</f>
        <v>1217.3962264150946</v>
      </c>
      <c r="DF63" s="63"/>
      <c r="DG63" s="82">
        <f>SUM(DG53:DG62)</f>
        <v>30033.982641509439</v>
      </c>
      <c r="DH63" s="668">
        <f t="shared" si="60"/>
        <v>0.44960220798784389</v>
      </c>
    </row>
    <row r="64" spans="1:112" ht="18" customHeight="1" x14ac:dyDescent="0.3">
      <c r="A64" s="18" t="s">
        <v>79</v>
      </c>
      <c r="B64" s="4" t="s">
        <v>77</v>
      </c>
      <c r="C64" s="47"/>
      <c r="D64" s="47"/>
      <c r="E64" s="63"/>
      <c r="F64" s="45">
        <f>'Var Vorgaben'!$C$36</f>
        <v>660</v>
      </c>
      <c r="G64" s="44">
        <f t="shared" si="45"/>
        <v>5.9013005082268456E-2</v>
      </c>
      <c r="H64" s="18" t="s">
        <v>79</v>
      </c>
      <c r="I64" s="4" t="s">
        <v>77</v>
      </c>
      <c r="J64" s="47"/>
      <c r="K64" s="47"/>
      <c r="L64" s="63"/>
      <c r="M64" s="45">
        <f>'Var Vorgaben'!$C$36</f>
        <v>660</v>
      </c>
      <c r="N64" s="44">
        <f t="shared" si="46"/>
        <v>5.7601317610631135E-2</v>
      </c>
      <c r="O64" s="18" t="s">
        <v>79</v>
      </c>
      <c r="P64" s="4" t="s">
        <v>77</v>
      </c>
      <c r="Q64" s="47"/>
      <c r="R64" s="47"/>
      <c r="S64" s="63"/>
      <c r="T64" s="45">
        <f>'Var Vorgaben'!$C$36</f>
        <v>660</v>
      </c>
      <c r="U64" s="44">
        <f t="shared" si="47"/>
        <v>9.1973794006841286E-3</v>
      </c>
      <c r="V64" s="18" t="s">
        <v>79</v>
      </c>
      <c r="W64" s="4" t="s">
        <v>77</v>
      </c>
      <c r="X64" s="47"/>
      <c r="Y64" s="47"/>
      <c r="Z64" s="63"/>
      <c r="AA64" s="45">
        <f>'Var Vorgaben'!$C$36</f>
        <v>660</v>
      </c>
      <c r="AB64" s="44">
        <f t="shared" si="48"/>
        <v>1.9056759943079059E-2</v>
      </c>
      <c r="AC64" s="18" t="s">
        <v>79</v>
      </c>
      <c r="AD64" s="4" t="s">
        <v>77</v>
      </c>
      <c r="AE64" s="47"/>
      <c r="AF64" s="47"/>
      <c r="AG64" s="63"/>
      <c r="AH64" s="45">
        <f>'Var Vorgaben'!$C$36</f>
        <v>660</v>
      </c>
      <c r="AI64" s="44">
        <f t="shared" si="49"/>
        <v>1.1982773652416056E-2</v>
      </c>
      <c r="AJ64" s="18" t="s">
        <v>79</v>
      </c>
      <c r="AK64" s="4" t="s">
        <v>77</v>
      </c>
      <c r="AL64" s="47"/>
      <c r="AM64" s="47"/>
      <c r="AN64" s="63"/>
      <c r="AO64" s="45">
        <f>'Var Vorgaben'!$C$36</f>
        <v>660</v>
      </c>
      <c r="AP64" s="44">
        <f t="shared" si="50"/>
        <v>1.0410166415700611E-2</v>
      </c>
      <c r="AQ64" s="18" t="s">
        <v>79</v>
      </c>
      <c r="AR64" s="4" t="s">
        <v>77</v>
      </c>
      <c r="AS64" s="47"/>
      <c r="AT64" s="47"/>
      <c r="AU64" s="63"/>
      <c r="AV64" s="45">
        <f>'Var Vorgaben'!$C$36</f>
        <v>660</v>
      </c>
      <c r="AW64" s="44">
        <f t="shared" si="51"/>
        <v>9.242078925659385E-3</v>
      </c>
      <c r="AX64" s="18" t="s">
        <v>79</v>
      </c>
      <c r="AY64" s="4" t="s">
        <v>77</v>
      </c>
      <c r="AZ64" s="47"/>
      <c r="BA64" s="47"/>
      <c r="BB64" s="63"/>
      <c r="BC64" s="45">
        <f>'Var Vorgaben'!$C$36</f>
        <v>660</v>
      </c>
      <c r="BD64" s="44">
        <f t="shared" si="52"/>
        <v>9.3187894368225426E-3</v>
      </c>
      <c r="BE64" s="18" t="s">
        <v>79</v>
      </c>
      <c r="BF64" s="4" t="s">
        <v>77</v>
      </c>
      <c r="BG64" s="47"/>
      <c r="BH64" s="47"/>
      <c r="BI64" s="63"/>
      <c r="BJ64" s="45">
        <f>'Var Vorgaben'!$C$36</f>
        <v>660</v>
      </c>
      <c r="BK64" s="44">
        <f t="shared" si="77"/>
        <v>9.336473115197072E-3</v>
      </c>
      <c r="BL64" s="18" t="s">
        <v>79</v>
      </c>
      <c r="BM64" s="4" t="s">
        <v>77</v>
      </c>
      <c r="BN64" s="47"/>
      <c r="BO64" s="47"/>
      <c r="BP64" s="63"/>
      <c r="BQ64" s="45">
        <f>'Var Vorgaben'!$C$36</f>
        <v>660</v>
      </c>
      <c r="BR64" s="44">
        <f t="shared" si="54"/>
        <v>5.5602240447116882E-3</v>
      </c>
      <c r="BS64" s="18" t="s">
        <v>79</v>
      </c>
      <c r="BT64" s="4" t="s">
        <v>77</v>
      </c>
      <c r="BU64" s="47"/>
      <c r="BV64" s="47"/>
      <c r="BW64" s="63"/>
      <c r="BX64" s="45">
        <f>'Var Vorgaben'!$C$36</f>
        <v>660</v>
      </c>
      <c r="BY64" s="44">
        <f t="shared" si="55"/>
        <v>9.7524820370238005E-3</v>
      </c>
      <c r="BZ64" s="18" t="s">
        <v>79</v>
      </c>
      <c r="CA64" s="4" t="s">
        <v>77</v>
      </c>
      <c r="CB64" s="47"/>
      <c r="CC64" s="47"/>
      <c r="CD64" s="63"/>
      <c r="CE64" s="45">
        <f>'Var Vorgaben'!$C$36</f>
        <v>660</v>
      </c>
      <c r="CF64" s="44">
        <f t="shared" si="56"/>
        <v>9.7680829890180645E-3</v>
      </c>
      <c r="CG64" s="18" t="s">
        <v>79</v>
      </c>
      <c r="CH64" s="4" t="s">
        <v>77</v>
      </c>
      <c r="CI64" s="47"/>
      <c r="CJ64" s="47"/>
      <c r="CK64" s="63"/>
      <c r="CL64" s="45">
        <f>'Var Vorgaben'!$C$36</f>
        <v>660</v>
      </c>
      <c r="CM64" s="44">
        <f t="shared" si="57"/>
        <v>9.7177530928499404E-3</v>
      </c>
      <c r="CN64" s="18" t="s">
        <v>79</v>
      </c>
      <c r="CO64" s="4" t="s">
        <v>77</v>
      </c>
      <c r="CP64" s="47"/>
      <c r="CQ64" s="47"/>
      <c r="CR64" s="63"/>
      <c r="CS64" s="45">
        <f>'Var Vorgaben'!$C$36</f>
        <v>660</v>
      </c>
      <c r="CT64" s="44">
        <f t="shared" si="58"/>
        <v>9.7992599491341838E-3</v>
      </c>
      <c r="CU64" s="18" t="s">
        <v>79</v>
      </c>
      <c r="CV64" s="4" t="s">
        <v>77</v>
      </c>
      <c r="CW64" s="47"/>
      <c r="CX64" s="47"/>
      <c r="CY64" s="63"/>
      <c r="CZ64" s="45">
        <f>'Var Vorgaben'!$C$36</f>
        <v>660</v>
      </c>
      <c r="DA64" s="44">
        <f t="shared" si="59"/>
        <v>1.0302162014114907E-2</v>
      </c>
      <c r="DB64" s="18" t="s">
        <v>79</v>
      </c>
      <c r="DC64" s="4" t="s">
        <v>77</v>
      </c>
      <c r="DD64" s="47"/>
      <c r="DE64" s="47"/>
      <c r="DF64" s="63"/>
      <c r="DG64" s="45">
        <f>'Var Vorgaben'!$C$36</f>
        <v>660</v>
      </c>
      <c r="DH64" s="44">
        <f t="shared" si="60"/>
        <v>9.8800568946810722E-3</v>
      </c>
    </row>
    <row r="65" spans="1:112" thickBot="1" x14ac:dyDescent="0.3">
      <c r="A65"/>
      <c r="B65" s="1" t="s">
        <v>260</v>
      </c>
      <c r="C65" s="242">
        <f>'Var Vorgaben'!$C$35</f>
        <v>0.6</v>
      </c>
      <c r="D65" s="777">
        <f>Eingabeseite!$D$36</f>
        <v>1.4999999999999999E-2</v>
      </c>
      <c r="E65" s="120">
        <f>(F71)*(-1)</f>
        <v>83750.049866666683</v>
      </c>
      <c r="F65" s="208">
        <f>D65*E65*C65</f>
        <v>753.75044880000007</v>
      </c>
      <c r="G65" s="44">
        <f t="shared" si="45"/>
        <v>6.739557434211596E-2</v>
      </c>
      <c r="H65"/>
      <c r="I65" s="1" t="s">
        <v>260</v>
      </c>
      <c r="J65" s="242">
        <f>'Var Vorgaben'!$C$35</f>
        <v>0.6</v>
      </c>
      <c r="K65" s="777">
        <f>Eingabeseite!$D$36</f>
        <v>1.4999999999999999E-2</v>
      </c>
      <c r="L65" s="120">
        <f>(M71)*(-1)</f>
        <v>93834.025315466686</v>
      </c>
      <c r="M65" s="208">
        <f>K65*L65*J65</f>
        <v>844.50622783920016</v>
      </c>
      <c r="N65" s="44">
        <f t="shared" si="46"/>
        <v>7.370404765745725E-2</v>
      </c>
      <c r="P65" s="1" t="s">
        <v>260</v>
      </c>
      <c r="Q65" s="242">
        <f>'Var Vorgaben'!$C$35</f>
        <v>0.6</v>
      </c>
      <c r="R65" s="777">
        <f>Eingabeseite!$D$36</f>
        <v>1.4999999999999999E-2</v>
      </c>
      <c r="S65" s="120">
        <f>(T71)*(-1)</f>
        <v>104192.09654330589</v>
      </c>
      <c r="T65" s="208">
        <f>R65*S65*Q65</f>
        <v>937.7288688897529</v>
      </c>
      <c r="U65" s="44">
        <f t="shared" si="47"/>
        <v>1.3067648760838548E-2</v>
      </c>
      <c r="W65" s="1" t="s">
        <v>260</v>
      </c>
      <c r="X65" s="242">
        <f>'Var Vorgaben'!$C$35</f>
        <v>0.6</v>
      </c>
      <c r="Y65" s="777">
        <f>Eingabeseite!$D$36</f>
        <v>1.4999999999999999E-2</v>
      </c>
      <c r="Z65" s="120">
        <f>(AA71)*(-1)</f>
        <v>168806.69325953699</v>
      </c>
      <c r="AA65" s="208">
        <f>Y65*Z65*X65</f>
        <v>1519.2602393358327</v>
      </c>
      <c r="AB65" s="44">
        <f t="shared" si="48"/>
        <v>4.3866935866799697E-2</v>
      </c>
      <c r="AD65" s="1" t="s">
        <v>260</v>
      </c>
      <c r="AE65" s="242">
        <f>'Var Vorgaben'!$C$35</f>
        <v>0.6</v>
      </c>
      <c r="AF65" s="777">
        <f>Eingabeseite!$D$36</f>
        <v>1.4999999999999999E-2</v>
      </c>
      <c r="AG65" s="120">
        <f>(AH71)*(-1)</f>
        <v>178160.17572014214</v>
      </c>
      <c r="AH65" s="208">
        <f>AF65*AG65*AE65</f>
        <v>1603.4415814812792</v>
      </c>
      <c r="AI65" s="44">
        <f t="shared" si="49"/>
        <v>2.9111632629942735E-2</v>
      </c>
      <c r="AK65" s="1" t="s">
        <v>260</v>
      </c>
      <c r="AL65" s="242">
        <f>'Var Vorgaben'!$C$35</f>
        <v>0.6</v>
      </c>
      <c r="AM65" s="777">
        <f>Eingabeseite!$D$36</f>
        <v>1.4999999999999999E-2</v>
      </c>
      <c r="AN65" s="120">
        <f>(AO71)*(-1)</f>
        <v>177855.374363373</v>
      </c>
      <c r="AO65" s="208">
        <f>AM65*AN65*AL65</f>
        <v>1600.6983692703568</v>
      </c>
      <c r="AP65" s="44">
        <f t="shared" si="50"/>
        <v>2.5247782432492431E-2</v>
      </c>
      <c r="AR65" s="1" t="s">
        <v>260</v>
      </c>
      <c r="AS65" s="242">
        <f>'Var Vorgaben'!$C$35</f>
        <v>0.6</v>
      </c>
      <c r="AT65" s="777">
        <f>Eingabeseite!$D$36</f>
        <v>1.4999999999999999E-2</v>
      </c>
      <c r="AU65" s="120">
        <f>(AV71)*(-1)</f>
        <v>170033.23567432433</v>
      </c>
      <c r="AV65" s="208">
        <f>AT65*AU65*AS65</f>
        <v>1530.2991210689188</v>
      </c>
      <c r="AW65" s="44">
        <f t="shared" si="51"/>
        <v>2.1429007964827475E-2</v>
      </c>
      <c r="AY65" s="1" t="s">
        <v>260</v>
      </c>
      <c r="AZ65" s="242">
        <f>'Var Vorgaben'!$C$35</f>
        <v>0.6</v>
      </c>
      <c r="BA65" s="777">
        <f>Eingabeseite!$D$36</f>
        <v>1.4999999999999999E-2</v>
      </c>
      <c r="BB65" s="120">
        <f>(BC71)*(-1)</f>
        <v>155716.10006983581</v>
      </c>
      <c r="BC65" s="208">
        <f>BA65*BB65*AZ65</f>
        <v>1401.4449006285222</v>
      </c>
      <c r="BD65" s="44">
        <f t="shared" si="52"/>
        <v>1.9787530206463472E-2</v>
      </c>
      <c r="BF65" s="1" t="s">
        <v>260</v>
      </c>
      <c r="BG65" s="242">
        <f>'Var Vorgaben'!$C$35</f>
        <v>0.6</v>
      </c>
      <c r="BH65" s="777">
        <f>Eingabeseite!$D$36</f>
        <v>1.4999999999999999E-2</v>
      </c>
      <c r="BI65" s="120">
        <f>(BJ71)*(-1)</f>
        <v>140811.11024490689</v>
      </c>
      <c r="BJ65" s="208">
        <f>BH65*BI65*BG65</f>
        <v>1267.299992204162</v>
      </c>
      <c r="BK65" s="44">
        <f t="shared" si="77"/>
        <v>1.7927442888035786E-2</v>
      </c>
      <c r="BM65" s="1" t="s">
        <v>260</v>
      </c>
      <c r="BN65" s="242">
        <f>'Var Vorgaben'!$C$35</f>
        <v>0.6</v>
      </c>
      <c r="BO65" s="777">
        <f>Eingabeseite!$D$36</f>
        <v>1.4999999999999999E-2</v>
      </c>
      <c r="BP65" s="120">
        <f>(BQ71)*(-1)</f>
        <v>125771.97551155361</v>
      </c>
      <c r="BQ65" s="208">
        <f>BO65*BP65*BN65</f>
        <v>1131.9477796039823</v>
      </c>
      <c r="BR65" s="44">
        <f t="shared" si="54"/>
        <v>9.5361867598667723E-3</v>
      </c>
      <c r="BT65" s="1" t="s">
        <v>260</v>
      </c>
      <c r="BU65" s="242">
        <f>'Var Vorgaben'!$C$35</f>
        <v>0.6</v>
      </c>
      <c r="BV65" s="777">
        <f>Eingabeseite!$D$36</f>
        <v>1.4999999999999999E-2</v>
      </c>
      <c r="BW65" s="120">
        <f>(BX71)*(-1)</f>
        <v>158742.58856560013</v>
      </c>
      <c r="BX65" s="208">
        <f>BV65*BW65*BU65</f>
        <v>1428.6832970904011</v>
      </c>
      <c r="BY65" s="44">
        <f t="shared" si="55"/>
        <v>2.1110921502227382E-2</v>
      </c>
      <c r="CA65" s="1" t="s">
        <v>260</v>
      </c>
      <c r="CB65" s="242">
        <f>'Var Vorgaben'!$C$35</f>
        <v>0.6</v>
      </c>
      <c r="CC65" s="777">
        <f>Eingabeseite!$D$36</f>
        <v>1.4999999999999999E-2</v>
      </c>
      <c r="CD65" s="120">
        <f>(CE71)*(-1)</f>
        <v>146733.00283181577</v>
      </c>
      <c r="CE65" s="208">
        <f>CC65*CD65*CB65</f>
        <v>1320.5970254863419</v>
      </c>
      <c r="CF65" s="44">
        <f t="shared" si="56"/>
        <v>1.9545002030304532E-2</v>
      </c>
      <c r="CH65" s="1" t="s">
        <v>260</v>
      </c>
      <c r="CI65" s="242">
        <f>'Var Vorgaben'!$C$35</f>
        <v>0.6</v>
      </c>
      <c r="CJ65" s="777">
        <f>Eingabeseite!$D$36</f>
        <v>1.4999999999999999E-2</v>
      </c>
      <c r="CK65" s="120">
        <f>(CL71)*(-1)</f>
        <v>134615.33082642735</v>
      </c>
      <c r="CL65" s="208">
        <f>CJ65*CK65*CI65</f>
        <v>1211.5379774378462</v>
      </c>
      <c r="CM65" s="44">
        <f t="shared" si="57"/>
        <v>1.7838525647502712E-2</v>
      </c>
      <c r="CO65" s="1" t="s">
        <v>260</v>
      </c>
      <c r="CP65" s="242">
        <f>'Var Vorgaben'!$C$35</f>
        <v>0.6</v>
      </c>
      <c r="CQ65" s="777">
        <f>Eingabeseite!$D$36</f>
        <v>1.4999999999999999E-2</v>
      </c>
      <c r="CR65" s="120">
        <f>(CS71)*(-1)</f>
        <v>122847.59977299042</v>
      </c>
      <c r="CS65" s="208">
        <f>CQ65*CR65*CP65</f>
        <v>1105.6283979569137</v>
      </c>
      <c r="CT65" s="44">
        <f t="shared" si="58"/>
        <v>1.6415666785946324E-2</v>
      </c>
      <c r="CV65" s="1" t="s">
        <v>260</v>
      </c>
      <c r="CW65" s="242">
        <f>'Var Vorgaben'!$C$35</f>
        <v>0.6</v>
      </c>
      <c r="CX65" s="777">
        <f>Eingabeseite!$D$36</f>
        <v>1.4999999999999999E-2</v>
      </c>
      <c r="CY65" s="120">
        <f>(CZ71)*(-1)</f>
        <v>110514.95914007255</v>
      </c>
      <c r="CZ65" s="208">
        <f>CX65*CY65*CW65</f>
        <v>994.63463226065278</v>
      </c>
      <c r="DA65" s="44">
        <f t="shared" si="59"/>
        <v>1.5525586555149769E-2</v>
      </c>
      <c r="DC65" s="1" t="s">
        <v>260</v>
      </c>
      <c r="DD65" s="242">
        <f>'Var Vorgaben'!$C$35</f>
        <v>0.6</v>
      </c>
      <c r="DE65" s="777">
        <f>Eingabeseite!$D$36</f>
        <v>1.4999999999999999E-2</v>
      </c>
      <c r="DF65" s="120">
        <f>(DG71)*(-1)</f>
        <v>100939.4904361411</v>
      </c>
      <c r="DG65" s="208">
        <f>DE65*DF65*DD65</f>
        <v>908.45541392526991</v>
      </c>
      <c r="DH65" s="44">
        <f t="shared" si="60"/>
        <v>1.3599380569488955E-2</v>
      </c>
    </row>
    <row r="66" spans="1:112" x14ac:dyDescent="0.3">
      <c r="A66"/>
      <c r="B66"/>
      <c r="C66" s="47"/>
      <c r="D66" s="1"/>
      <c r="E66" s="1"/>
      <c r="F66" s="82">
        <f>SUM(F64:F65)</f>
        <v>1413.7504488</v>
      </c>
      <c r="G66" s="668">
        <f t="shared" si="45"/>
        <v>0.12640857942438441</v>
      </c>
      <c r="H66"/>
      <c r="I66"/>
      <c r="J66" s="47"/>
      <c r="K66" s="1"/>
      <c r="L66" s="1"/>
      <c r="M66" s="82">
        <f>SUM(M64:M65)</f>
        <v>1504.5062278392002</v>
      </c>
      <c r="N66" s="668">
        <f t="shared" si="46"/>
        <v>0.13130536526808839</v>
      </c>
      <c r="Q66" s="47"/>
      <c r="R66" s="1"/>
      <c r="S66" s="1"/>
      <c r="T66" s="82">
        <f>SUM(T64:T65)</f>
        <v>1597.7288688897529</v>
      </c>
      <c r="U66" s="668">
        <f t="shared" si="47"/>
        <v>2.2265028161522676E-2</v>
      </c>
      <c r="W66" s="1"/>
      <c r="X66" s="47"/>
      <c r="Y66" s="1"/>
      <c r="Z66" s="1"/>
      <c r="AA66" s="82">
        <f>SUM(AA64:AA65)</f>
        <v>2179.2602393358329</v>
      </c>
      <c r="AB66" s="668">
        <f t="shared" si="48"/>
        <v>6.2923695809878763E-2</v>
      </c>
      <c r="AE66" s="47"/>
      <c r="AF66" s="1"/>
      <c r="AG66" s="1"/>
      <c r="AH66" s="82">
        <f>SUM(AH64:AH65)</f>
        <v>2263.4415814812792</v>
      </c>
      <c r="AI66" s="668">
        <f t="shared" si="49"/>
        <v>4.1094406282358789E-2</v>
      </c>
      <c r="AL66" s="47"/>
      <c r="AM66" s="1"/>
      <c r="AN66" s="1"/>
      <c r="AO66" s="82">
        <f>SUM(AO64:AO65)</f>
        <v>2260.698369270357</v>
      </c>
      <c r="AP66" s="668">
        <f t="shared" si="50"/>
        <v>3.5657948848193045E-2</v>
      </c>
      <c r="AR66" s="1"/>
      <c r="AS66" s="47"/>
      <c r="AT66" s="1"/>
      <c r="AU66" s="1"/>
      <c r="AV66" s="82">
        <f>SUM(AV64:AV65)</f>
        <v>2190.2991210689188</v>
      </c>
      <c r="AW66" s="668">
        <f t="shared" si="51"/>
        <v>3.0671086890486862E-2</v>
      </c>
      <c r="AZ66" s="47"/>
      <c r="BA66" s="1"/>
      <c r="BB66" s="1"/>
      <c r="BC66" s="82">
        <f>SUM(BC64:BC65)</f>
        <v>2061.4449006285222</v>
      </c>
      <c r="BD66" s="668">
        <f t="shared" si="52"/>
        <v>2.9106319643286013E-2</v>
      </c>
      <c r="BG66" s="47"/>
      <c r="BH66" s="1"/>
      <c r="BI66" s="1"/>
      <c r="BJ66" s="82">
        <f>SUM(BJ64:BJ65)</f>
        <v>1927.299992204162</v>
      </c>
      <c r="BK66" s="668">
        <f t="shared" si="77"/>
        <v>2.7263916003232858E-2</v>
      </c>
      <c r="BN66" s="47"/>
      <c r="BO66" s="1"/>
      <c r="BP66" s="1"/>
      <c r="BQ66" s="82">
        <f>SUM(BQ64:BQ65)</f>
        <v>1791.9477796039823</v>
      </c>
      <c r="BR66" s="668">
        <f t="shared" si="54"/>
        <v>1.509641080457846E-2</v>
      </c>
      <c r="BU66" s="47"/>
      <c r="BV66" s="1"/>
      <c r="BW66" s="1"/>
      <c r="BX66" s="82">
        <f>SUM(BX64:BX65)</f>
        <v>2088.6832970904011</v>
      </c>
      <c r="BY66" s="668">
        <f t="shared" si="55"/>
        <v>3.0863403539251183E-2</v>
      </c>
      <c r="CA66" s="1"/>
      <c r="CB66" s="47"/>
      <c r="CC66" s="1"/>
      <c r="CD66" s="1"/>
      <c r="CE66" s="82">
        <f>SUM(CE64:CE65)</f>
        <v>1980.5970254863419</v>
      </c>
      <c r="CF66" s="668">
        <f t="shared" si="56"/>
        <v>2.9313085019322595E-2</v>
      </c>
      <c r="CI66" s="47"/>
      <c r="CJ66" s="1"/>
      <c r="CK66" s="1"/>
      <c r="CL66" s="82">
        <f>SUM(CL64:CL65)</f>
        <v>1871.5379774378462</v>
      </c>
      <c r="CM66" s="668">
        <f t="shared" si="57"/>
        <v>2.7556278740352651E-2</v>
      </c>
      <c r="CP66" s="47"/>
      <c r="CQ66" s="1"/>
      <c r="CR66" s="1"/>
      <c r="CS66" s="82">
        <f>SUM(CS64:CS65)</f>
        <v>1765.6283979569137</v>
      </c>
      <c r="CT66" s="668">
        <f t="shared" si="58"/>
        <v>2.621492673508051E-2</v>
      </c>
      <c r="CW66" s="47"/>
      <c r="CX66" s="1"/>
      <c r="CY66" s="1"/>
      <c r="CZ66" s="82">
        <f>SUM(CZ64:CZ65)</f>
        <v>1654.6346322606528</v>
      </c>
      <c r="DA66" s="668">
        <f t="shared" si="59"/>
        <v>2.5827748569264678E-2</v>
      </c>
      <c r="DD66" s="47"/>
      <c r="DE66" s="1"/>
      <c r="DF66" s="1"/>
      <c r="DG66" s="82">
        <f>SUM(DG64:DG65)</f>
        <v>1568.45541392527</v>
      </c>
      <c r="DH66" s="668">
        <f t="shared" si="60"/>
        <v>2.3479437464170031E-2</v>
      </c>
    </row>
    <row r="67" spans="1:112" ht="13.5" thickBot="1" x14ac:dyDescent="0.35">
      <c r="A67" s="604" t="s">
        <v>42</v>
      </c>
      <c r="B67" s="605"/>
      <c r="C67" s="606"/>
      <c r="D67" s="607"/>
      <c r="E67" s="608"/>
      <c r="F67" s="609">
        <f>F66+F63+F51+F38</f>
        <v>8360.8504487999999</v>
      </c>
      <c r="G67" s="670">
        <f t="shared" si="45"/>
        <v>0.74757410610169828</v>
      </c>
      <c r="H67" s="604" t="s">
        <v>42</v>
      </c>
      <c r="I67" s="605"/>
      <c r="J67" s="606"/>
      <c r="K67" s="607"/>
      <c r="L67" s="608"/>
      <c r="M67" s="609">
        <f>M66+M63+M51+M38</f>
        <v>8494.9462278392002</v>
      </c>
      <c r="N67" s="670">
        <f t="shared" si="46"/>
        <v>0.74139408447727062</v>
      </c>
      <c r="O67" s="604" t="s">
        <v>42</v>
      </c>
      <c r="P67" s="605"/>
      <c r="Q67" s="606"/>
      <c r="R67" s="607"/>
      <c r="S67" s="608"/>
      <c r="T67" s="609">
        <f>T66+T63+T51+T38</f>
        <v>20956.992299421487</v>
      </c>
      <c r="U67" s="670">
        <f t="shared" si="47"/>
        <v>0.2920445595075683</v>
      </c>
      <c r="V67" s="604" t="s">
        <v>42</v>
      </c>
      <c r="W67" s="605"/>
      <c r="X67" s="606"/>
      <c r="Y67" s="607"/>
      <c r="Z67" s="608"/>
      <c r="AA67" s="609">
        <f>AA66+AA63+AA51+AA38</f>
        <v>26109.533961462766</v>
      </c>
      <c r="AB67" s="670">
        <f t="shared" si="48"/>
        <v>0.75388351655949393</v>
      </c>
      <c r="AC67" s="604" t="s">
        <v>42</v>
      </c>
      <c r="AD67" s="605"/>
      <c r="AE67" s="606"/>
      <c r="AF67" s="607"/>
      <c r="AG67" s="608"/>
      <c r="AH67" s="609">
        <f>AH66+AH63+AH51+AH38</f>
        <v>38614.612387656234</v>
      </c>
      <c r="AI67" s="670">
        <f t="shared" si="49"/>
        <v>0.7010759998743421</v>
      </c>
      <c r="AJ67" s="604" t="s">
        <v>42</v>
      </c>
      <c r="AK67" s="605"/>
      <c r="AL67" s="606"/>
      <c r="AM67" s="607"/>
      <c r="AN67" s="608"/>
      <c r="AO67" s="609">
        <f>AO66+AO63+AO51+AO38</f>
        <v>45177.598163438452</v>
      </c>
      <c r="AP67" s="670">
        <f t="shared" si="50"/>
        <v>0.71258532597431001</v>
      </c>
      <c r="AQ67" s="604" t="s">
        <v>42</v>
      </c>
      <c r="AR67" s="605"/>
      <c r="AS67" s="606"/>
      <c r="AT67" s="607"/>
      <c r="AU67" s="608"/>
      <c r="AV67" s="609">
        <f>AV66+AV63+AV51+AV38</f>
        <v>51180.607148513176</v>
      </c>
      <c r="AW67" s="670">
        <f t="shared" si="51"/>
        <v>0.71668971322685715</v>
      </c>
      <c r="AX67" s="604" t="s">
        <v>42</v>
      </c>
      <c r="AY67" s="605"/>
      <c r="AZ67" s="606"/>
      <c r="BA67" s="607"/>
      <c r="BB67" s="608"/>
      <c r="BC67" s="609">
        <f>BC66+BC63+BC51+BC38</f>
        <v>50992.752928072776</v>
      </c>
      <c r="BD67" s="670">
        <f t="shared" si="52"/>
        <v>0.71998595051610059</v>
      </c>
      <c r="BE67" s="604" t="s">
        <v>42</v>
      </c>
      <c r="BF67" s="605"/>
      <c r="BG67" s="606"/>
      <c r="BH67" s="607"/>
      <c r="BI67" s="608"/>
      <c r="BJ67" s="609">
        <f>BJ66+BJ63+BJ51+BJ38</f>
        <v>50858.608019648418</v>
      </c>
      <c r="BK67" s="670">
        <f t="shared" si="77"/>
        <v>0.71945458553302077</v>
      </c>
      <c r="BL67" s="604" t="s">
        <v>42</v>
      </c>
      <c r="BM67" s="605"/>
      <c r="BN67" s="606"/>
      <c r="BO67" s="607"/>
      <c r="BP67" s="608"/>
      <c r="BQ67" s="609">
        <f>BQ66+BQ63+BQ51+BQ38</f>
        <v>53722.85580704824</v>
      </c>
      <c r="BR67" s="670">
        <f t="shared" si="54"/>
        <v>0.45259259789231604</v>
      </c>
      <c r="BS67" s="604" t="s">
        <v>42</v>
      </c>
      <c r="BT67" s="605"/>
      <c r="BU67" s="606"/>
      <c r="BV67" s="607"/>
      <c r="BW67" s="608"/>
      <c r="BX67" s="609">
        <f>BX66+BX63+BX51+BX38</f>
        <v>48513.987894002923</v>
      </c>
      <c r="BY67" s="670">
        <f t="shared" si="55"/>
        <v>0.71686635678886912</v>
      </c>
      <c r="BZ67" s="604" t="s">
        <v>42</v>
      </c>
      <c r="CA67" s="605"/>
      <c r="CB67" s="606"/>
      <c r="CC67" s="607"/>
      <c r="CD67" s="608"/>
      <c r="CE67" s="609">
        <f>CE66+CE63+CE51+CE38</f>
        <v>48405.901622398866</v>
      </c>
      <c r="CF67" s="670">
        <f t="shared" si="56"/>
        <v>0.71641343061490348</v>
      </c>
      <c r="CG67" s="604" t="s">
        <v>42</v>
      </c>
      <c r="CH67" s="605"/>
      <c r="CI67" s="606"/>
      <c r="CJ67" s="607"/>
      <c r="CK67" s="608"/>
      <c r="CL67" s="609">
        <f>CL66+CL63+CL51+CL38</f>
        <v>48355.842574350369</v>
      </c>
      <c r="CM67" s="670">
        <f t="shared" si="57"/>
        <v>0.71198505868826978</v>
      </c>
      <c r="CN67" s="604" t="s">
        <v>42</v>
      </c>
      <c r="CO67" s="605"/>
      <c r="CP67" s="606"/>
      <c r="CQ67" s="607"/>
      <c r="CR67" s="608"/>
      <c r="CS67" s="609">
        <f>CS66+CS63+CS51+CS38</f>
        <v>48190.932994869436</v>
      </c>
      <c r="CT67" s="670">
        <f t="shared" si="58"/>
        <v>0.71550830243641383</v>
      </c>
      <c r="CU67" s="604" t="s">
        <v>42</v>
      </c>
      <c r="CV67" s="605"/>
      <c r="CW67" s="606"/>
      <c r="CX67" s="607"/>
      <c r="CY67" s="608"/>
      <c r="CZ67" s="609">
        <f>CZ66+CZ63+CZ51+CZ38</f>
        <v>45573.935798641454</v>
      </c>
      <c r="DA67" s="670">
        <f t="shared" si="59"/>
        <v>0.71137889427041745</v>
      </c>
      <c r="DB67" s="604" t="s">
        <v>42</v>
      </c>
      <c r="DC67" s="605"/>
      <c r="DD67" s="606"/>
      <c r="DE67" s="607"/>
      <c r="DF67" s="608"/>
      <c r="DG67" s="609">
        <f>DG66+DG63+DG51+DG38</f>
        <v>42981.753149774333</v>
      </c>
      <c r="DH67" s="670">
        <f t="shared" si="60"/>
        <v>0.64342752508016332</v>
      </c>
    </row>
    <row r="68" spans="1:112" ht="16" thickBot="1" x14ac:dyDescent="0.4">
      <c r="A68" s="662" t="s">
        <v>329</v>
      </c>
      <c r="B68" s="476"/>
      <c r="C68" s="597"/>
      <c r="D68" s="477"/>
      <c r="E68" s="478"/>
      <c r="F68" s="598">
        <f>F67+F37</f>
        <v>11183.9754488</v>
      </c>
      <c r="G68" s="44">
        <f t="shared" si="45"/>
        <v>1</v>
      </c>
      <c r="H68" s="475" t="s">
        <v>344</v>
      </c>
      <c r="I68" s="476"/>
      <c r="J68" s="597"/>
      <c r="K68" s="477"/>
      <c r="L68" s="478"/>
      <c r="M68" s="598">
        <f>M67+M37</f>
        <v>11458.0712278392</v>
      </c>
      <c r="N68" s="44">
        <f t="shared" si="46"/>
        <v>1</v>
      </c>
      <c r="O68" s="475" t="s">
        <v>343</v>
      </c>
      <c r="P68" s="476"/>
      <c r="Q68" s="597"/>
      <c r="R68" s="477"/>
      <c r="S68" s="478"/>
      <c r="T68" s="598">
        <f>T67+T37</f>
        <v>71759.570987243089</v>
      </c>
      <c r="U68" s="44">
        <f t="shared" si="47"/>
        <v>1</v>
      </c>
      <c r="V68" s="475" t="s">
        <v>342</v>
      </c>
      <c r="W68" s="476"/>
      <c r="X68" s="597"/>
      <c r="Y68" s="477"/>
      <c r="Z68" s="478"/>
      <c r="AA68" s="598">
        <f>AA67+AA37</f>
        <v>34633.379544653159</v>
      </c>
      <c r="AB68" s="44">
        <f t="shared" si="48"/>
        <v>1</v>
      </c>
      <c r="AC68" s="475" t="s">
        <v>341</v>
      </c>
      <c r="AD68" s="476"/>
      <c r="AE68" s="597"/>
      <c r="AF68" s="477"/>
      <c r="AG68" s="478"/>
      <c r="AH68" s="598">
        <f>AH67+AH37</f>
        <v>55079.06759691867</v>
      </c>
      <c r="AI68" s="44">
        <f t="shared" si="49"/>
        <v>1</v>
      </c>
      <c r="AJ68" s="475" t="s">
        <v>340</v>
      </c>
      <c r="AK68" s="476"/>
      <c r="AL68" s="597"/>
      <c r="AM68" s="477"/>
      <c r="AN68" s="478"/>
      <c r="AO68" s="598">
        <f>AO67+AO37</f>
        <v>63399.562854690594</v>
      </c>
      <c r="AP68" s="44">
        <f t="shared" si="50"/>
        <v>1</v>
      </c>
      <c r="AQ68" s="475" t="s">
        <v>339</v>
      </c>
      <c r="AR68" s="476"/>
      <c r="AS68" s="597"/>
      <c r="AT68" s="477"/>
      <c r="AU68" s="478"/>
      <c r="AV68" s="598">
        <f>AV67+AV37</f>
        <v>71412.504189679559</v>
      </c>
      <c r="AW68" s="44">
        <f t="shared" si="51"/>
        <v>1</v>
      </c>
      <c r="AX68" s="475" t="s">
        <v>338</v>
      </c>
      <c r="AY68" s="476"/>
      <c r="AZ68" s="597"/>
      <c r="BA68" s="477"/>
      <c r="BB68" s="478"/>
      <c r="BC68" s="598">
        <f>BC67+BC37</f>
        <v>70824.649969239166</v>
      </c>
      <c r="BD68" s="44">
        <f t="shared" si="52"/>
        <v>1</v>
      </c>
      <c r="BE68" s="475" t="s">
        <v>337</v>
      </c>
      <c r="BF68" s="476"/>
      <c r="BG68" s="597"/>
      <c r="BH68" s="477"/>
      <c r="BI68" s="478"/>
      <c r="BJ68" s="598">
        <f>BJ67+BJ37</f>
        <v>70690.505060814801</v>
      </c>
      <c r="BK68" s="44">
        <f t="shared" si="77"/>
        <v>1</v>
      </c>
      <c r="BL68" s="475" t="s">
        <v>336</v>
      </c>
      <c r="BM68" s="476"/>
      <c r="BN68" s="597"/>
      <c r="BO68" s="477"/>
      <c r="BP68" s="478"/>
      <c r="BQ68" s="598">
        <f>BQ67+BQ37</f>
        <v>118700.25284821462</v>
      </c>
      <c r="BR68" s="44">
        <f t="shared" si="54"/>
        <v>1</v>
      </c>
      <c r="BS68" s="475" t="s">
        <v>335</v>
      </c>
      <c r="BT68" s="476"/>
      <c r="BU68" s="597"/>
      <c r="BV68" s="477"/>
      <c r="BW68" s="478"/>
      <c r="BX68" s="598">
        <f>BX67+BX37</f>
        <v>67675.07978937171</v>
      </c>
      <c r="BY68" s="44">
        <f t="shared" si="55"/>
        <v>1</v>
      </c>
      <c r="BZ68" s="475" t="s">
        <v>334</v>
      </c>
      <c r="CA68" s="476"/>
      <c r="CB68" s="597"/>
      <c r="CC68" s="477"/>
      <c r="CD68" s="478"/>
      <c r="CE68" s="598">
        <f>CE67+CE37</f>
        <v>67566.993517767653</v>
      </c>
      <c r="CF68" s="44">
        <f t="shared" si="56"/>
        <v>1</v>
      </c>
      <c r="CG68" s="475" t="s">
        <v>333</v>
      </c>
      <c r="CH68" s="476"/>
      <c r="CI68" s="597"/>
      <c r="CJ68" s="477"/>
      <c r="CK68" s="478"/>
      <c r="CL68" s="598">
        <f>CL67+CL37</f>
        <v>67916.934469719155</v>
      </c>
      <c r="CM68" s="44">
        <f t="shared" si="57"/>
        <v>1</v>
      </c>
      <c r="CN68" s="475" t="s">
        <v>332</v>
      </c>
      <c r="CO68" s="476"/>
      <c r="CP68" s="597"/>
      <c r="CQ68" s="477"/>
      <c r="CR68" s="478"/>
      <c r="CS68" s="598">
        <f>CS67+CS37</f>
        <v>67352.024890238215</v>
      </c>
      <c r="CT68" s="44">
        <f t="shared" si="58"/>
        <v>1</v>
      </c>
      <c r="CU68" s="475" t="s">
        <v>331</v>
      </c>
      <c r="CV68" s="476"/>
      <c r="CW68" s="597"/>
      <c r="CX68" s="477"/>
      <c r="CY68" s="478"/>
      <c r="CZ68" s="599">
        <f>CZ67+CZ37</f>
        <v>64064.222548212638</v>
      </c>
      <c r="DA68" s="44">
        <f t="shared" si="59"/>
        <v>1</v>
      </c>
      <c r="DB68" s="475" t="s">
        <v>330</v>
      </c>
      <c r="DC68" s="476"/>
      <c r="DD68" s="597"/>
      <c r="DE68" s="477"/>
      <c r="DF68" s="478"/>
      <c r="DG68" s="599">
        <f>DG67+DG37+DC74</f>
        <v>66801.23475354792</v>
      </c>
      <c r="DH68" s="44">
        <f t="shared" si="60"/>
        <v>1</v>
      </c>
    </row>
    <row r="69" spans="1:112" x14ac:dyDescent="0.3">
      <c r="A69" s="23" t="s">
        <v>104</v>
      </c>
      <c r="B69"/>
      <c r="C69"/>
      <c r="D69"/>
      <c r="E69"/>
      <c r="F69" s="40">
        <f>F14</f>
        <v>1100</v>
      </c>
      <c r="G69" s="13"/>
      <c r="H69" s="23" t="s">
        <v>104</v>
      </c>
      <c r="I69"/>
      <c r="M69" s="40">
        <f>M14</f>
        <v>1100</v>
      </c>
      <c r="N69" s="51"/>
      <c r="O69" s="23" t="s">
        <v>104</v>
      </c>
      <c r="R69"/>
      <c r="T69" s="40">
        <f>T14</f>
        <v>7144.9742710120081</v>
      </c>
      <c r="U69" s="51"/>
      <c r="V69" s="23" t="s">
        <v>104</v>
      </c>
      <c r="AA69" s="40">
        <f>AA14</f>
        <v>25279.897084048032</v>
      </c>
      <c r="AB69" s="51"/>
      <c r="AC69" s="23" t="s">
        <v>104</v>
      </c>
      <c r="AH69" s="40">
        <f>AH14</f>
        <v>55383.868953687816</v>
      </c>
      <c r="AI69" s="51"/>
      <c r="AJ69" s="23" t="s">
        <v>104</v>
      </c>
      <c r="AO69" s="40">
        <f>AO14</f>
        <v>71221.701543739284</v>
      </c>
      <c r="AP69" s="51"/>
      <c r="AQ69" s="23" t="s">
        <v>104</v>
      </c>
      <c r="AV69" s="40">
        <f>AV14</f>
        <v>85729.639794168092</v>
      </c>
      <c r="AW69" s="51"/>
      <c r="AX69" s="23" t="s">
        <v>104</v>
      </c>
      <c r="BC69" s="40">
        <f>BC14</f>
        <v>85729.639794168092</v>
      </c>
      <c r="BD69" s="51"/>
      <c r="BE69" s="23" t="s">
        <v>104</v>
      </c>
      <c r="BJ69" s="40">
        <f>BJ14</f>
        <v>85729.639794168092</v>
      </c>
      <c r="BK69" s="51"/>
      <c r="BL69" s="23" t="s">
        <v>104</v>
      </c>
      <c r="BQ69" s="40">
        <f>BQ14</f>
        <v>85729.639794168092</v>
      </c>
      <c r="BR69" s="51"/>
      <c r="BS69" s="23" t="s">
        <v>104</v>
      </c>
      <c r="BX69" s="40">
        <f>BX14</f>
        <v>79684.665523156087</v>
      </c>
      <c r="BY69" s="51"/>
      <c r="BZ69" s="23" t="s">
        <v>104</v>
      </c>
      <c r="CE69" s="40">
        <f>CE14</f>
        <v>79684.665523156087</v>
      </c>
      <c r="CF69" s="51"/>
      <c r="CG69" s="23" t="s">
        <v>104</v>
      </c>
      <c r="CL69" s="40">
        <f>CL14</f>
        <v>79684.665523156087</v>
      </c>
      <c r="CM69" s="51"/>
      <c r="CN69" s="23" t="s">
        <v>104</v>
      </c>
      <c r="CS69" s="40">
        <f>CS14</f>
        <v>79684.665523156087</v>
      </c>
      <c r="CT69" s="51"/>
      <c r="CU69" s="23" t="s">
        <v>104</v>
      </c>
      <c r="CZ69" s="40">
        <f>CZ14</f>
        <v>73639.691252144097</v>
      </c>
      <c r="DA69" s="51"/>
      <c r="DB69" s="23" t="s">
        <v>104</v>
      </c>
      <c r="DG69" s="40">
        <f>DG14</f>
        <v>67594.716981132078</v>
      </c>
      <c r="DH69" s="13"/>
    </row>
    <row r="70" spans="1:112" x14ac:dyDescent="0.3">
      <c r="A70" s="23" t="s">
        <v>360</v>
      </c>
      <c r="F70" s="33">
        <f>F69-F68</f>
        <v>-10083.9754488</v>
      </c>
      <c r="G70" s="51"/>
      <c r="H70" s="23" t="s">
        <v>360</v>
      </c>
      <c r="I70" s="21"/>
      <c r="J70" s="12"/>
      <c r="K70" s="12"/>
      <c r="L70" s="32"/>
      <c r="M70" s="33">
        <f>M69-M68</f>
        <v>-10358.0712278392</v>
      </c>
      <c r="N70" s="51"/>
      <c r="O70" s="23" t="s">
        <v>360</v>
      </c>
      <c r="P70" s="21"/>
      <c r="Q70" s="12"/>
      <c r="R70" s="12"/>
      <c r="S70" s="32"/>
      <c r="T70" s="33">
        <f>T69-T68</f>
        <v>-64614.596716231084</v>
      </c>
      <c r="U70" s="51"/>
      <c r="V70" s="23" t="s">
        <v>360</v>
      </c>
      <c r="W70" s="21"/>
      <c r="X70" s="12"/>
      <c r="Y70" s="12"/>
      <c r="Z70" s="32"/>
      <c r="AA70" s="33">
        <f>AA69-AA68</f>
        <v>-9353.4824606051261</v>
      </c>
      <c r="AB70" s="51"/>
      <c r="AC70" s="23" t="s">
        <v>360</v>
      </c>
      <c r="AD70" s="21"/>
      <c r="AE70" s="12"/>
      <c r="AF70" s="12"/>
      <c r="AG70" s="32"/>
      <c r="AH70" s="33">
        <f>AH69-AH68</f>
        <v>304.80135676914506</v>
      </c>
      <c r="AI70" s="51"/>
      <c r="AJ70" s="23" t="s">
        <v>360</v>
      </c>
      <c r="AK70" s="21"/>
      <c r="AL70" s="12"/>
      <c r="AM70" s="12"/>
      <c r="AN70" s="32"/>
      <c r="AO70" s="33">
        <f>AO69-AO68</f>
        <v>7822.1386890486901</v>
      </c>
      <c r="AP70" s="51"/>
      <c r="AQ70" s="23" t="s">
        <v>360</v>
      </c>
      <c r="AR70" s="21"/>
      <c r="AS70" s="12"/>
      <c r="AT70" s="12"/>
      <c r="AU70" s="32"/>
      <c r="AV70" s="33">
        <f>AV69-AV68</f>
        <v>14317.135604488532</v>
      </c>
      <c r="AW70" s="51"/>
      <c r="AX70" s="23" t="s">
        <v>360</v>
      </c>
      <c r="AY70" s="21"/>
      <c r="AZ70" s="12"/>
      <c r="BA70" s="12"/>
      <c r="BB70" s="32"/>
      <c r="BC70" s="33">
        <f>BC69-BC68</f>
        <v>14904.989824928925</v>
      </c>
      <c r="BD70" s="51"/>
      <c r="BE70" s="23" t="s">
        <v>360</v>
      </c>
      <c r="BF70" s="21"/>
      <c r="BG70" s="12"/>
      <c r="BH70" s="12"/>
      <c r="BI70" s="32"/>
      <c r="BJ70" s="33">
        <f>BJ69-BJ68</f>
        <v>15039.13473335329</v>
      </c>
      <c r="BK70" s="51"/>
      <c r="BL70" s="23" t="s">
        <v>360</v>
      </c>
      <c r="BM70" s="21"/>
      <c r="BN70" s="12"/>
      <c r="BO70" s="12"/>
      <c r="BP70" s="32"/>
      <c r="BQ70" s="33">
        <f>BQ69-BQ68</f>
        <v>-32970.613054046524</v>
      </c>
      <c r="BR70" s="51"/>
      <c r="BS70" s="23" t="s">
        <v>360</v>
      </c>
      <c r="BT70" s="21"/>
      <c r="BU70" s="12"/>
      <c r="BV70" s="12"/>
      <c r="BW70" s="32"/>
      <c r="BX70" s="33">
        <f>BX69-BX68</f>
        <v>12009.585733784377</v>
      </c>
      <c r="BY70" s="51"/>
      <c r="BZ70" s="23" t="s">
        <v>360</v>
      </c>
      <c r="CA70" s="21"/>
      <c r="CB70" s="12"/>
      <c r="CC70" s="12"/>
      <c r="CD70" s="32"/>
      <c r="CE70" s="33">
        <f>CE69-CE68</f>
        <v>12117.672005388435</v>
      </c>
      <c r="CF70" s="51"/>
      <c r="CG70" s="23" t="s">
        <v>360</v>
      </c>
      <c r="CH70" s="21"/>
      <c r="CI70" s="12"/>
      <c r="CJ70" s="12"/>
      <c r="CK70" s="32"/>
      <c r="CL70" s="33">
        <f>CL69-CL68</f>
        <v>11767.731053436932</v>
      </c>
      <c r="CM70" s="51"/>
      <c r="CN70" s="23" t="s">
        <v>360</v>
      </c>
      <c r="CO70" s="21"/>
      <c r="CP70" s="12"/>
      <c r="CQ70" s="12"/>
      <c r="CR70" s="32"/>
      <c r="CS70" s="33">
        <f>CS69-CS68</f>
        <v>12332.640632917872</v>
      </c>
      <c r="CT70" s="51"/>
      <c r="CU70" s="23" t="s">
        <v>360</v>
      </c>
      <c r="CV70" s="21"/>
      <c r="CW70" s="12"/>
      <c r="CX70" s="12"/>
      <c r="CY70" s="32"/>
      <c r="CZ70" s="33">
        <f>CZ69-CZ68</f>
        <v>9575.4687039314595</v>
      </c>
      <c r="DA70" s="51"/>
      <c r="DB70" s="23" t="s">
        <v>360</v>
      </c>
      <c r="DC70" s="21"/>
      <c r="DD70" s="12"/>
      <c r="DE70" s="12"/>
      <c r="DF70" s="32"/>
      <c r="DG70" s="33">
        <f>DG69-DG68</f>
        <v>793.48222758415795</v>
      </c>
      <c r="DH70" s="51"/>
    </row>
    <row r="71" spans="1:112" x14ac:dyDescent="0.3">
      <c r="A71" s="64" t="s">
        <v>379</v>
      </c>
      <c r="F71" s="739">
        <f>'Var Erstellung'!E83*(-1)</f>
        <v>-83750.049866666683</v>
      </c>
      <c r="G71" s="51"/>
      <c r="H71" s="18" t="s">
        <v>361</v>
      </c>
      <c r="I71" s="21"/>
      <c r="J71" s="12"/>
      <c r="K71" s="12"/>
      <c r="L71" s="32"/>
      <c r="M71" s="739">
        <f>F72</f>
        <v>-93834.025315466686</v>
      </c>
      <c r="N71" s="51"/>
      <c r="O71" s="18" t="s">
        <v>362</v>
      </c>
      <c r="P71" s="21"/>
      <c r="Q71" s="12"/>
      <c r="R71" s="12"/>
      <c r="S71" s="32"/>
      <c r="T71" s="739">
        <f>M72</f>
        <v>-104192.09654330589</v>
      </c>
      <c r="U71" s="51"/>
      <c r="V71" s="18" t="s">
        <v>377</v>
      </c>
      <c r="W71" s="21"/>
      <c r="X71" s="12"/>
      <c r="Y71" s="12"/>
      <c r="Z71" s="32"/>
      <c r="AA71" s="739">
        <f>T72</f>
        <v>-168806.69325953699</v>
      </c>
      <c r="AB71" s="739"/>
      <c r="AC71" s="18" t="s">
        <v>376</v>
      </c>
      <c r="AD71" s="21"/>
      <c r="AE71" s="12"/>
      <c r="AF71" s="12"/>
      <c r="AG71" s="32"/>
      <c r="AH71" s="739">
        <f>AA72</f>
        <v>-178160.17572014214</v>
      </c>
      <c r="AI71" s="739"/>
      <c r="AJ71" s="18" t="s">
        <v>375</v>
      </c>
      <c r="AK71" s="21"/>
      <c r="AL71" s="12"/>
      <c r="AM71" s="12"/>
      <c r="AN71" s="32"/>
      <c r="AO71" s="739">
        <f>AH72</f>
        <v>-177855.374363373</v>
      </c>
      <c r="AP71" s="739"/>
      <c r="AQ71" s="18" t="s">
        <v>374</v>
      </c>
      <c r="AR71" s="21"/>
      <c r="AS71" s="12"/>
      <c r="AT71" s="12"/>
      <c r="AU71" s="32"/>
      <c r="AV71" s="739">
        <f>AO72</f>
        <v>-170033.23567432433</v>
      </c>
      <c r="AW71" s="739"/>
      <c r="AX71" s="18" t="s">
        <v>373</v>
      </c>
      <c r="AY71" s="21"/>
      <c r="AZ71" s="12"/>
      <c r="BA71" s="12"/>
      <c r="BB71" s="32"/>
      <c r="BC71" s="739">
        <f>AV72</f>
        <v>-155716.10006983581</v>
      </c>
      <c r="BD71" s="51"/>
      <c r="BE71" s="18" t="s">
        <v>372</v>
      </c>
      <c r="BF71" s="21"/>
      <c r="BG71" s="12"/>
      <c r="BH71" s="12"/>
      <c r="BI71" s="32"/>
      <c r="BJ71" s="739">
        <f>BC72</f>
        <v>-140811.11024490689</v>
      </c>
      <c r="BK71" s="51"/>
      <c r="BL71" s="18" t="s">
        <v>371</v>
      </c>
      <c r="BM71" s="21"/>
      <c r="BN71" s="12"/>
      <c r="BO71" s="12"/>
      <c r="BP71" s="32"/>
      <c r="BQ71" s="739">
        <f>BJ72</f>
        <v>-125771.97551155361</v>
      </c>
      <c r="BR71" s="51"/>
      <c r="BS71" s="18" t="s">
        <v>370</v>
      </c>
      <c r="BT71" s="21"/>
      <c r="BU71" s="12"/>
      <c r="BV71" s="12"/>
      <c r="BW71" s="32"/>
      <c r="BX71" s="739">
        <f>BQ72</f>
        <v>-158742.58856560013</v>
      </c>
      <c r="BY71" s="51"/>
      <c r="BZ71" s="18" t="s">
        <v>369</v>
      </c>
      <c r="CA71" s="21"/>
      <c r="CB71" s="12"/>
      <c r="CC71" s="12"/>
      <c r="CD71" s="32"/>
      <c r="CE71" s="739">
        <f>BX72</f>
        <v>-146733.00283181577</v>
      </c>
      <c r="CF71" s="51"/>
      <c r="CG71" s="18" t="s">
        <v>368</v>
      </c>
      <c r="CH71" s="21"/>
      <c r="CI71" s="12"/>
      <c r="CJ71" s="12"/>
      <c r="CK71" s="32"/>
      <c r="CL71" s="739">
        <f>CE72</f>
        <v>-134615.33082642735</v>
      </c>
      <c r="CM71" s="51"/>
      <c r="CN71" s="18" t="s">
        <v>367</v>
      </c>
      <c r="CO71" s="21"/>
      <c r="CP71" s="12"/>
      <c r="CQ71" s="12"/>
      <c r="CR71" s="32"/>
      <c r="CS71" s="739">
        <f>CL72</f>
        <v>-122847.59977299042</v>
      </c>
      <c r="CT71" s="51"/>
      <c r="CU71" s="18" t="s">
        <v>366</v>
      </c>
      <c r="CV71" s="21"/>
      <c r="CW71" s="12"/>
      <c r="CX71" s="12"/>
      <c r="CY71" s="32"/>
      <c r="CZ71" s="739">
        <f>CS72</f>
        <v>-110514.95914007255</v>
      </c>
      <c r="DA71" s="51"/>
      <c r="DB71" s="18" t="s">
        <v>365</v>
      </c>
      <c r="DC71" s="21"/>
      <c r="DD71" s="12"/>
      <c r="DE71" s="12"/>
      <c r="DF71" s="32"/>
      <c r="DG71" s="739">
        <f>CZ72</f>
        <v>-100939.4904361411</v>
      </c>
      <c r="DH71" s="13"/>
    </row>
    <row r="72" spans="1:112" ht="21.25" customHeight="1" x14ac:dyDescent="0.35">
      <c r="A72" s="67" t="s">
        <v>397</v>
      </c>
      <c r="B72" s="68"/>
      <c r="C72" s="68"/>
      <c r="D72" s="68"/>
      <c r="E72" s="68"/>
      <c r="F72" s="164">
        <f>((F68)*(-1))+F71+F69</f>
        <v>-93834.025315466686</v>
      </c>
      <c r="G72" s="69"/>
      <c r="H72" s="67" t="s">
        <v>362</v>
      </c>
      <c r="I72" s="68"/>
      <c r="J72" s="68"/>
      <c r="K72" s="68"/>
      <c r="L72" s="68"/>
      <c r="M72" s="164">
        <f>((M68)*(-1))+M71+M69</f>
        <v>-104192.09654330589</v>
      </c>
      <c r="N72" s="69"/>
      <c r="O72" s="67" t="s">
        <v>377</v>
      </c>
      <c r="P72" s="68"/>
      <c r="Q72" s="68"/>
      <c r="R72" s="68"/>
      <c r="S72" s="68"/>
      <c r="T72" s="164">
        <f>((T68)*(-1))+T71+T69</f>
        <v>-168806.69325953699</v>
      </c>
      <c r="U72" s="69"/>
      <c r="V72" s="67" t="s">
        <v>376</v>
      </c>
      <c r="W72" s="68"/>
      <c r="X72" s="68"/>
      <c r="Y72" s="68"/>
      <c r="Z72" s="68"/>
      <c r="AA72" s="164">
        <f>((AA68)*(-1))+AA71+AA69</f>
        <v>-178160.17572014214</v>
      </c>
      <c r="AB72" s="69"/>
      <c r="AC72" s="67" t="s">
        <v>375</v>
      </c>
      <c r="AD72" s="68"/>
      <c r="AE72" s="68"/>
      <c r="AF72" s="68"/>
      <c r="AG72" s="68"/>
      <c r="AH72" s="164">
        <f>((AH68)*(-1))+AH71+AH69</f>
        <v>-177855.374363373</v>
      </c>
      <c r="AI72" s="69"/>
      <c r="AJ72" s="67" t="s">
        <v>374</v>
      </c>
      <c r="AK72" s="68"/>
      <c r="AL72" s="68"/>
      <c r="AM72" s="68"/>
      <c r="AN72" s="68"/>
      <c r="AO72" s="164">
        <f>((AO68)*(-1))+AO71+AO69</f>
        <v>-170033.23567432433</v>
      </c>
      <c r="AP72" s="69"/>
      <c r="AQ72" s="67" t="s">
        <v>373</v>
      </c>
      <c r="AR72" s="68"/>
      <c r="AS72" s="68"/>
      <c r="AT72" s="68"/>
      <c r="AU72" s="68"/>
      <c r="AV72" s="164">
        <f>((AV68)*(-1))+AV71+AV69</f>
        <v>-155716.10006983581</v>
      </c>
      <c r="AW72" s="69"/>
      <c r="AX72" s="67" t="s">
        <v>372</v>
      </c>
      <c r="AY72" s="68"/>
      <c r="AZ72" s="68"/>
      <c r="BA72" s="68"/>
      <c r="BB72" s="68"/>
      <c r="BC72" s="164">
        <f>((BC68)*(-1))+BC71+BC69</f>
        <v>-140811.11024490689</v>
      </c>
      <c r="BD72" s="69"/>
      <c r="BE72" s="67" t="s">
        <v>371</v>
      </c>
      <c r="BF72" s="68"/>
      <c r="BG72" s="68"/>
      <c r="BH72" s="68"/>
      <c r="BI72" s="68"/>
      <c r="BJ72" s="164">
        <f>((BJ68)*(-1))+BJ71+BJ69</f>
        <v>-125771.97551155361</v>
      </c>
      <c r="BK72" s="69"/>
      <c r="BL72" s="67" t="s">
        <v>370</v>
      </c>
      <c r="BM72" s="68"/>
      <c r="BN72" s="68"/>
      <c r="BO72" s="68"/>
      <c r="BP72" s="68"/>
      <c r="BQ72" s="164">
        <f>((BQ68)*(-1))+BQ71+BQ69</f>
        <v>-158742.58856560013</v>
      </c>
      <c r="BR72" s="69"/>
      <c r="BS72" s="67" t="s">
        <v>369</v>
      </c>
      <c r="BT72" s="68"/>
      <c r="BU72" s="68"/>
      <c r="BV72" s="68"/>
      <c r="BW72" s="68"/>
      <c r="BX72" s="164">
        <f>((BX68)*(-1))+BX71+BX69</f>
        <v>-146733.00283181577</v>
      </c>
      <c r="BY72" s="69"/>
      <c r="BZ72" s="67" t="s">
        <v>368</v>
      </c>
      <c r="CA72" s="68"/>
      <c r="CB72" s="68"/>
      <c r="CC72" s="68"/>
      <c r="CD72" s="68"/>
      <c r="CE72" s="164">
        <f>((CE68)*(-1))+CE71+CE69</f>
        <v>-134615.33082642735</v>
      </c>
      <c r="CF72" s="69"/>
      <c r="CG72" s="67" t="s">
        <v>367</v>
      </c>
      <c r="CH72" s="68"/>
      <c r="CI72" s="68"/>
      <c r="CJ72" s="68"/>
      <c r="CK72" s="68"/>
      <c r="CL72" s="164">
        <f>((CL68)*(-1))+CL71+CL69</f>
        <v>-122847.59977299042</v>
      </c>
      <c r="CM72" s="69"/>
      <c r="CN72" s="67" t="s">
        <v>366</v>
      </c>
      <c r="CO72" s="68"/>
      <c r="CP72" s="68"/>
      <c r="CQ72" s="68"/>
      <c r="CR72" s="68"/>
      <c r="CS72" s="164">
        <f>((CS68)*(-1))+CS71+CS69</f>
        <v>-110514.95914007255</v>
      </c>
      <c r="CT72" s="69"/>
      <c r="CU72" s="67" t="s">
        <v>365</v>
      </c>
      <c r="CV72" s="68"/>
      <c r="CW72" s="68"/>
      <c r="CX72" s="68"/>
      <c r="CY72" s="68"/>
      <c r="CZ72" s="164">
        <f>((CZ68)*(-1))+CZ71+CZ69</f>
        <v>-100939.4904361411</v>
      </c>
      <c r="DA72" s="69"/>
      <c r="DB72" s="67" t="s">
        <v>364</v>
      </c>
      <c r="DC72" s="68"/>
      <c r="DD72" s="68"/>
      <c r="DE72" s="68"/>
      <c r="DF72" s="68"/>
      <c r="DG72" s="164">
        <f>((DG68)*(-1))+DG71+DG69</f>
        <v>-100146.00820855694</v>
      </c>
      <c r="DH72" s="174"/>
    </row>
    <row r="73" spans="1:112" x14ac:dyDescent="0.3">
      <c r="A73" s="167" t="s">
        <v>78</v>
      </c>
      <c r="B73" s="168"/>
      <c r="C73" s="166"/>
      <c r="D73" s="166"/>
      <c r="E73" s="166"/>
      <c r="F73" s="166">
        <f>F72*(-1)</f>
        <v>93834.025315466686</v>
      </c>
      <c r="G73" s="166"/>
      <c r="H73" s="167" t="s">
        <v>78</v>
      </c>
      <c r="I73" s="168"/>
      <c r="J73" s="166"/>
      <c r="K73" s="166"/>
      <c r="L73" s="166"/>
      <c r="M73" s="166">
        <f>M72*(-1)</f>
        <v>104192.09654330589</v>
      </c>
      <c r="N73" s="166"/>
      <c r="O73" s="167" t="s">
        <v>78</v>
      </c>
      <c r="P73" s="168"/>
      <c r="Q73" s="166"/>
      <c r="R73" s="166"/>
      <c r="S73" s="166"/>
      <c r="T73" s="166">
        <f>T72*(-1)</f>
        <v>168806.69325953699</v>
      </c>
      <c r="U73" s="166"/>
      <c r="V73" s="169" t="s">
        <v>78</v>
      </c>
      <c r="W73" s="168"/>
      <c r="X73" s="166"/>
      <c r="Y73" s="166"/>
      <c r="Z73" s="166"/>
      <c r="AA73" s="250">
        <f>(AA72)*(-1)</f>
        <v>178160.17572014214</v>
      </c>
      <c r="AB73" s="166"/>
      <c r="AC73" s="169" t="s">
        <v>78</v>
      </c>
      <c r="AD73" s="168"/>
      <c r="AE73" s="166"/>
      <c r="AF73" s="166"/>
      <c r="AG73" s="166"/>
      <c r="AH73" s="251">
        <f>(AA73)-($AA$73/'Var Vorgaben'!$B$23)</f>
        <v>163313.49441013031</v>
      </c>
      <c r="AI73" s="166"/>
      <c r="AJ73" s="169" t="s">
        <v>78</v>
      </c>
      <c r="AK73" s="168"/>
      <c r="AL73" s="166"/>
      <c r="AM73" s="166"/>
      <c r="AN73" s="166"/>
      <c r="AO73" s="251">
        <f>(AH73)-($AA$73/'Var Vorgaben'!$B$23)</f>
        <v>148466.81310011848</v>
      </c>
      <c r="AP73" s="166"/>
      <c r="AQ73" s="169" t="s">
        <v>78</v>
      </c>
      <c r="AR73" s="168"/>
      <c r="AS73" s="166"/>
      <c r="AT73" s="166"/>
      <c r="AU73" s="166"/>
      <c r="AV73" s="251">
        <f>(AO73)-($AA$73/'Var Vorgaben'!$B$23)</f>
        <v>133620.13179010665</v>
      </c>
      <c r="AW73" s="166"/>
      <c r="AX73" s="169" t="s">
        <v>78</v>
      </c>
      <c r="AY73" s="168"/>
      <c r="AZ73" s="166"/>
      <c r="BA73" s="166"/>
      <c r="BB73" s="166"/>
      <c r="BC73" s="251">
        <f>(AV73)-($AA$73/'Var Vorgaben'!$B$23)</f>
        <v>118773.45048009481</v>
      </c>
      <c r="BD73" s="166"/>
      <c r="BE73" s="169" t="s">
        <v>78</v>
      </c>
      <c r="BF73" s="168"/>
      <c r="BG73" s="166"/>
      <c r="BH73" s="166"/>
      <c r="BI73" s="166"/>
      <c r="BJ73" s="251">
        <f>(BC73)-($AA$73/'Var Vorgaben'!$B$23)</f>
        <v>103926.76917008296</v>
      </c>
      <c r="BK73" s="166"/>
      <c r="BL73" s="169" t="s">
        <v>78</v>
      </c>
      <c r="BM73" s="168"/>
      <c r="BN73" s="166"/>
      <c r="BO73" s="166"/>
      <c r="BP73" s="166"/>
      <c r="BQ73" s="251">
        <f>(BJ73)-($AA$73/'Var Vorgaben'!$B$23)</f>
        <v>89080.087860071115</v>
      </c>
      <c r="BR73" s="166"/>
      <c r="BS73" s="169" t="s">
        <v>78</v>
      </c>
      <c r="BT73" s="168"/>
      <c r="BU73" s="166"/>
      <c r="BV73" s="166"/>
      <c r="BW73" s="166"/>
      <c r="BX73" s="251">
        <f>(BQ73)-($AA$73/'Var Vorgaben'!$B$23)</f>
        <v>74233.40655005927</v>
      </c>
      <c r="BY73" s="166"/>
      <c r="BZ73" s="169" t="s">
        <v>78</v>
      </c>
      <c r="CA73" s="168"/>
      <c r="CB73" s="166"/>
      <c r="CC73" s="166"/>
      <c r="CD73" s="166"/>
      <c r="CE73" s="251">
        <f>(BX73)-($AA$73/'Var Vorgaben'!$B$23)</f>
        <v>59386.725240047424</v>
      </c>
      <c r="CF73" s="166"/>
      <c r="CG73" s="169" t="s">
        <v>78</v>
      </c>
      <c r="CH73" s="168"/>
      <c r="CI73" s="166"/>
      <c r="CJ73" s="166"/>
      <c r="CK73" s="166"/>
      <c r="CL73" s="251">
        <f>(CE73)-($AA$73/'Var Vorgaben'!$B$23)</f>
        <v>44540.043930035579</v>
      </c>
      <c r="CM73" s="166"/>
      <c r="CN73" s="169" t="s">
        <v>78</v>
      </c>
      <c r="CO73" s="168"/>
      <c r="CP73" s="166"/>
      <c r="CQ73" s="166"/>
      <c r="CR73" s="166"/>
      <c r="CS73" s="251">
        <f>(CL73)-($AA$73/'Var Vorgaben'!$B$23)</f>
        <v>29693.362620023734</v>
      </c>
      <c r="CT73" s="166"/>
      <c r="CU73" s="169" t="s">
        <v>78</v>
      </c>
      <c r="CV73" s="168"/>
      <c r="CW73" s="166"/>
      <c r="CX73" s="166"/>
      <c r="CY73" s="166"/>
      <c r="CZ73" s="251">
        <f>(CS73)-($AA$73/'Var Vorgaben'!$B$23)</f>
        <v>14846.681310011889</v>
      </c>
      <c r="DA73" s="236"/>
      <c r="DB73" s="169" t="s">
        <v>78</v>
      </c>
      <c r="DC73" s="168"/>
      <c r="DD73" s="166"/>
      <c r="DE73" s="166"/>
      <c r="DF73" s="166"/>
      <c r="DG73" s="251">
        <f>(CZ73)-($AA$73/'Var Vorgaben'!$B$23)</f>
        <v>4.3655745685100555E-11</v>
      </c>
      <c r="DH73" s="175"/>
    </row>
    <row r="74" spans="1:112" x14ac:dyDescent="0.3">
      <c r="A74"/>
      <c r="B74"/>
      <c r="C74"/>
      <c r="D74"/>
      <c r="E74"/>
      <c r="F74"/>
      <c r="G74"/>
      <c r="H74"/>
      <c r="I74"/>
      <c r="O74" s="23"/>
      <c r="P74" s="23"/>
      <c r="Q74" s="23"/>
      <c r="R74" s="23"/>
      <c r="S74" s="23"/>
      <c r="T74" s="163"/>
      <c r="CU74" s="231"/>
      <c r="CV74" s="232"/>
      <c r="DA74" s="77"/>
      <c r="DB74" s="231" t="s">
        <v>177</v>
      </c>
      <c r="DC74" s="232">
        <f>'Var Vorgaben'!C32</f>
        <v>6000</v>
      </c>
    </row>
    <row r="75" spans="1:112" ht="12.5" x14ac:dyDescent="0.25">
      <c r="A75" s="25"/>
      <c r="B75" s="25"/>
      <c r="C75" s="25"/>
      <c r="D75" s="25"/>
      <c r="E75" s="25"/>
      <c r="F75" s="25"/>
      <c r="G75" s="25"/>
      <c r="H75" s="25"/>
      <c r="I75" s="25"/>
      <c r="J75" s="25"/>
      <c r="K75" s="25"/>
      <c r="L75" s="25"/>
      <c r="M75" s="25"/>
      <c r="N75" s="25"/>
      <c r="O75" s="19"/>
      <c r="P75" s="25"/>
      <c r="Q75" s="19"/>
      <c r="R75" s="93"/>
      <c r="S75" s="19"/>
      <c r="T75" s="19"/>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row>
    <row r="76" spans="1:112" x14ac:dyDescent="0.3">
      <c r="A76" s="53"/>
      <c r="B76" s="54"/>
      <c r="C76" s="55"/>
      <c r="D76" s="55"/>
      <c r="E76" s="56"/>
      <c r="F76" s="57"/>
      <c r="G76" s="55"/>
      <c r="H76" s="53"/>
      <c r="I76" s="54"/>
      <c r="J76" s="55"/>
      <c r="K76" s="55"/>
      <c r="L76" s="56"/>
      <c r="M76" s="57"/>
      <c r="N76" s="55"/>
      <c r="O76" s="25"/>
      <c r="P76" s="54"/>
      <c r="Q76" s="25"/>
      <c r="R76" s="52"/>
      <c r="S76" s="25"/>
      <c r="T76" s="88"/>
      <c r="U76" s="55"/>
      <c r="V76" s="53"/>
      <c r="W76" s="54"/>
      <c r="X76" s="55"/>
      <c r="Y76" s="58"/>
      <c r="Z76" s="56"/>
      <c r="AA76" s="57"/>
      <c r="AB76" s="55"/>
      <c r="AC76" s="53"/>
      <c r="AD76" s="54"/>
      <c r="AE76" s="55"/>
      <c r="AF76" s="58"/>
      <c r="AG76" s="56"/>
      <c r="AH76" s="57"/>
      <c r="AI76" s="55"/>
      <c r="AJ76" s="53"/>
      <c r="AK76" s="54"/>
      <c r="AL76" s="55"/>
      <c r="AM76" s="58"/>
      <c r="AN76" s="56"/>
      <c r="AO76" s="57"/>
      <c r="AP76" s="55"/>
      <c r="AQ76" s="53"/>
      <c r="AR76" s="54"/>
      <c r="AS76" s="55"/>
      <c r="AT76" s="58"/>
      <c r="AU76" s="56"/>
      <c r="AV76" s="57"/>
      <c r="AW76" s="55"/>
      <c r="AX76" s="53"/>
      <c r="AY76" s="53"/>
      <c r="AZ76" s="53"/>
      <c r="BA76" s="53"/>
      <c r="BB76" s="53"/>
      <c r="BC76" s="53"/>
      <c r="BD76" s="53"/>
      <c r="BE76" s="53"/>
      <c r="BF76" s="53"/>
      <c r="BG76" s="53"/>
      <c r="BH76" s="53"/>
      <c r="BI76" s="53"/>
      <c r="BJ76" s="53"/>
      <c r="BK76" s="53"/>
      <c r="BL76" s="53"/>
      <c r="BM76" s="54"/>
      <c r="BN76" s="55"/>
      <c r="BO76" s="58"/>
      <c r="BP76" s="56"/>
      <c r="BQ76" s="57"/>
      <c r="BR76" s="55"/>
      <c r="BS76" s="53"/>
      <c r="BT76" s="54"/>
      <c r="BU76" s="55"/>
      <c r="BV76" s="58"/>
      <c r="BW76" s="56"/>
      <c r="BX76" s="57"/>
      <c r="BY76" s="55"/>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row>
    <row r="77" spans="1:112" ht="20.25" customHeight="1" x14ac:dyDescent="0.35">
      <c r="A77" s="2"/>
      <c r="B77" s="54"/>
      <c r="C77" s="59"/>
      <c r="D77" s="59"/>
      <c r="E77" s="60"/>
      <c r="F77" s="61"/>
      <c r="G77" s="59"/>
      <c r="H77" s="53"/>
      <c r="I77" s="54"/>
      <c r="J77" s="59"/>
      <c r="K77" s="59"/>
      <c r="L77" s="60"/>
      <c r="M77" s="61"/>
      <c r="N77" s="59"/>
      <c r="O77" s="53"/>
      <c r="P77" s="54"/>
      <c r="Q77" s="59"/>
      <c r="R77" s="62"/>
      <c r="S77" s="60"/>
      <c r="T77" s="61"/>
      <c r="U77" s="59"/>
      <c r="V77" s="53"/>
      <c r="W77" s="54"/>
      <c r="X77" s="59"/>
      <c r="Y77" s="62"/>
      <c r="Z77" s="60"/>
      <c r="AA77" s="61"/>
      <c r="AB77" s="59"/>
      <c r="AC77" s="53"/>
      <c r="AD77" s="54"/>
      <c r="AE77" s="59"/>
      <c r="AF77" s="62"/>
      <c r="AG77" s="60"/>
      <c r="AH77" s="61"/>
      <c r="AI77" s="59"/>
      <c r="AJ77" s="53"/>
      <c r="AK77" s="54"/>
      <c r="AL77" s="59"/>
      <c r="AM77" s="62"/>
      <c r="AN77" s="60"/>
      <c r="AO77" s="61"/>
      <c r="AP77" s="59"/>
      <c r="AQ77" s="53"/>
      <c r="AR77" s="54"/>
      <c r="AS77" s="59"/>
      <c r="AT77" s="62"/>
      <c r="AU77" s="60"/>
      <c r="AV77" s="61"/>
      <c r="AW77" s="59"/>
      <c r="AX77" s="53"/>
      <c r="AY77" s="53"/>
      <c r="AZ77" s="53"/>
      <c r="BA77" s="53"/>
      <c r="BB77" s="53"/>
      <c r="BC77" s="53"/>
      <c r="BD77" s="53"/>
      <c r="BE77" s="53"/>
      <c r="BF77" s="53"/>
      <c r="BG77" s="53"/>
      <c r="BH77" s="53"/>
      <c r="BI77" s="53"/>
      <c r="BJ77" s="53"/>
      <c r="BK77" s="53"/>
      <c r="BL77" s="53"/>
      <c r="BM77" s="54"/>
      <c r="BN77" s="59"/>
      <c r="BO77" s="62"/>
      <c r="BP77" s="60"/>
      <c r="BQ77" s="61"/>
      <c r="BR77" s="59"/>
      <c r="BS77" s="53"/>
      <c r="BT77" s="54"/>
      <c r="BU77" s="59"/>
      <c r="BV77" s="62"/>
      <c r="BW77" s="60"/>
      <c r="BX77" s="61"/>
      <c r="BY77" s="59"/>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row>
    <row r="78" spans="1:112" x14ac:dyDescent="0.3">
      <c r="A78" s="53"/>
      <c r="B78" s="54"/>
      <c r="C78" s="59"/>
      <c r="D78" s="59"/>
      <c r="E78" s="60"/>
      <c r="F78" s="61"/>
      <c r="G78" s="59"/>
      <c r="H78" s="59"/>
      <c r="I78" s="59"/>
      <c r="J78" s="25"/>
      <c r="K78" s="25"/>
      <c r="L78" s="25"/>
      <c r="M78" s="25"/>
      <c r="N78" s="25"/>
      <c r="O78" s="59"/>
      <c r="P78" s="59"/>
      <c r="Q78" s="25"/>
      <c r="R78" s="52"/>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row>
    <row r="79" spans="1:112" x14ac:dyDescent="0.3">
      <c r="A79" s="53"/>
      <c r="B79" s="54"/>
      <c r="C79" s="59"/>
      <c r="D79" s="59"/>
      <c r="E79" s="60"/>
      <c r="F79" s="61"/>
      <c r="G79" s="59"/>
      <c r="H79" s="59"/>
      <c r="I79" s="59"/>
      <c r="J79" s="25"/>
      <c r="K79" s="25"/>
      <c r="L79" s="25"/>
      <c r="M79" s="25"/>
      <c r="N79" s="25"/>
      <c r="O79" s="59"/>
      <c r="P79" s="59"/>
      <c r="Q79" s="25"/>
      <c r="R79" s="52"/>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row>
    <row r="80" spans="1:112" x14ac:dyDescent="0.3">
      <c r="A80" s="53"/>
      <c r="B80" s="25"/>
      <c r="C80" s="25"/>
      <c r="D80" s="25"/>
      <c r="E80" s="25"/>
      <c r="F80" s="25"/>
      <c r="G80" s="59"/>
      <c r="H80" s="53"/>
      <c r="I80" s="25"/>
      <c r="J80" s="25"/>
      <c r="K80" s="25"/>
      <c r="L80" s="25"/>
      <c r="M80" s="25"/>
      <c r="N80" s="59"/>
      <c r="O80" s="53"/>
      <c r="P80" s="25"/>
      <c r="Q80" s="25"/>
      <c r="R80" s="52"/>
      <c r="S80" s="25"/>
      <c r="T80" s="25"/>
      <c r="U80" s="59"/>
      <c r="V80" s="53"/>
      <c r="W80" s="25"/>
      <c r="X80" s="25"/>
      <c r="Y80" s="52"/>
      <c r="Z80" s="25"/>
      <c r="AA80" s="25"/>
      <c r="AB80" s="59"/>
      <c r="AC80" s="53"/>
      <c r="AD80" s="25"/>
      <c r="AE80" s="25"/>
      <c r="AF80" s="52"/>
      <c r="AG80" s="25"/>
      <c r="AH80" s="25"/>
      <c r="AI80" s="59"/>
      <c r="AJ80" s="53"/>
      <c r="AK80" s="25"/>
      <c r="AL80" s="25"/>
      <c r="AM80" s="52"/>
      <c r="AN80" s="25"/>
      <c r="AO80" s="25"/>
      <c r="AP80" s="59"/>
      <c r="AQ80" s="53"/>
      <c r="AR80" s="25"/>
      <c r="AS80" s="25"/>
      <c r="AT80" s="52"/>
      <c r="AU80" s="25"/>
      <c r="AV80" s="25"/>
      <c r="AW80" s="59"/>
      <c r="AX80" s="25"/>
      <c r="AY80" s="25"/>
      <c r="AZ80" s="25"/>
      <c r="BA80" s="25"/>
      <c r="BB80" s="25"/>
      <c r="BC80" s="25"/>
      <c r="BD80" s="25"/>
      <c r="BE80" s="25"/>
      <c r="BF80" s="25"/>
      <c r="BG80" s="25"/>
      <c r="BH80" s="25"/>
      <c r="BI80" s="25"/>
      <c r="BJ80" s="25"/>
      <c r="BK80" s="25"/>
      <c r="BL80" s="53"/>
      <c r="BM80" s="25"/>
      <c r="BN80" s="25"/>
      <c r="BO80" s="52"/>
      <c r="BP80" s="25"/>
      <c r="BQ80" s="25"/>
      <c r="BR80" s="59"/>
      <c r="BS80" s="53"/>
      <c r="BT80" s="25"/>
      <c r="BU80" s="25"/>
      <c r="BV80" s="52"/>
      <c r="BW80" s="25"/>
      <c r="BX80" s="25"/>
      <c r="BY80" s="59"/>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row>
    <row r="81" spans="1:112" x14ac:dyDescent="0.3">
      <c r="A81" s="53"/>
      <c r="B81" s="54"/>
      <c r="C81" s="59"/>
      <c r="D81" s="59"/>
      <c r="E81" s="60"/>
      <c r="F81" s="61"/>
      <c r="G81" s="59"/>
      <c r="H81" s="59"/>
      <c r="I81" s="59"/>
      <c r="J81" s="25"/>
      <c r="K81" s="25"/>
      <c r="L81" s="25"/>
      <c r="M81" s="25"/>
      <c r="N81" s="25"/>
      <c r="O81" s="59"/>
      <c r="P81" s="59"/>
      <c r="Q81" s="25"/>
      <c r="R81" s="52"/>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row>
    <row r="82" spans="1:112" x14ac:dyDescent="0.3">
      <c r="A82" s="53"/>
      <c r="B82" s="54"/>
      <c r="C82" s="59"/>
      <c r="D82" s="59"/>
      <c r="E82" s="60"/>
      <c r="F82" s="61"/>
      <c r="G82" s="59"/>
      <c r="H82" s="59"/>
      <c r="I82" s="59"/>
      <c r="J82" s="25"/>
      <c r="K82" s="25"/>
      <c r="L82" s="25"/>
      <c r="M82" s="25"/>
      <c r="N82" s="25"/>
      <c r="O82" s="59"/>
      <c r="P82" s="59"/>
      <c r="Q82" s="25"/>
      <c r="R82" s="52"/>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row>
    <row r="83" spans="1:112" x14ac:dyDescent="0.3">
      <c r="A83" s="3"/>
      <c r="B83" s="4"/>
      <c r="C83" s="47"/>
      <c r="D83" s="47"/>
      <c r="E83" s="63"/>
      <c r="F83" s="45"/>
      <c r="G83" s="47"/>
      <c r="H83" s="47"/>
      <c r="I83" s="47"/>
      <c r="J83" s="1"/>
      <c r="K83" s="1"/>
      <c r="L83" s="1"/>
      <c r="M83" s="1"/>
      <c r="N83" s="1"/>
      <c r="O83" s="47"/>
      <c r="P83" s="47"/>
      <c r="Q83" s="1"/>
      <c r="R83" s="48"/>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25"/>
      <c r="DB83" s="1"/>
      <c r="DC83" s="1"/>
      <c r="DD83" s="1"/>
      <c r="DE83" s="1"/>
      <c r="DF83" s="1"/>
      <c r="DG83" s="1"/>
      <c r="DH83" s="25"/>
    </row>
    <row r="84" spans="1:112" ht="12.5" x14ac:dyDescent="0.25">
      <c r="A84"/>
      <c r="B84"/>
      <c r="C84"/>
      <c r="D84"/>
      <c r="E84"/>
      <c r="F84"/>
      <c r="G84"/>
      <c r="H84"/>
      <c r="I84"/>
      <c r="R84"/>
    </row>
    <row r="85" spans="1:112" x14ac:dyDescent="0.3">
      <c r="A85" s="3"/>
      <c r="B85" s="4"/>
      <c r="C85" s="47"/>
      <c r="D85" s="47"/>
      <c r="E85" s="63"/>
      <c r="F85" s="45"/>
      <c r="G85" s="47"/>
      <c r="H85" s="47"/>
      <c r="I85" s="47"/>
      <c r="J85" s="1"/>
      <c r="K85" s="1"/>
      <c r="L85" s="1"/>
      <c r="M85" s="1"/>
      <c r="N85" s="1"/>
      <c r="O85" s="47"/>
      <c r="P85" s="47"/>
      <c r="Q85" s="1"/>
      <c r="R85" s="48"/>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25"/>
      <c r="DB85" s="1"/>
      <c r="DC85" s="1"/>
      <c r="DD85" s="1"/>
      <c r="DE85" s="1"/>
      <c r="DF85" s="1"/>
      <c r="DG85" s="1"/>
      <c r="DH85" s="25"/>
    </row>
    <row r="86" spans="1:112" x14ac:dyDescent="0.3">
      <c r="O86" s="12"/>
      <c r="P86" s="12"/>
    </row>
    <row r="87" spans="1:112" x14ac:dyDescent="0.3">
      <c r="O87" s="12"/>
      <c r="P87" s="12"/>
    </row>
    <row r="88" spans="1:112" x14ac:dyDescent="0.3">
      <c r="O88" s="12"/>
      <c r="P88" s="12"/>
    </row>
    <row r="89" spans="1:112" x14ac:dyDescent="0.3">
      <c r="O89" s="12"/>
      <c r="P89" s="12"/>
    </row>
    <row r="90" spans="1:112" x14ac:dyDescent="0.3">
      <c r="O90" s="12"/>
      <c r="P90" s="12"/>
    </row>
    <row r="91" spans="1:112" x14ac:dyDescent="0.3">
      <c r="O91" s="12"/>
      <c r="P91" s="12"/>
    </row>
    <row r="92" spans="1:112" x14ac:dyDescent="0.3">
      <c r="O92" s="12"/>
      <c r="P92" s="12"/>
    </row>
    <row r="93" spans="1:112" x14ac:dyDescent="0.3">
      <c r="O93" s="12"/>
      <c r="P93" s="12"/>
    </row>
    <row r="94" spans="1:112" x14ac:dyDescent="0.3">
      <c r="O94" s="12"/>
      <c r="P94" s="12"/>
    </row>
    <row r="95" spans="1:112" x14ac:dyDescent="0.3">
      <c r="O95" s="12"/>
      <c r="P95" s="12"/>
    </row>
    <row r="96" spans="1:112" x14ac:dyDescent="0.3">
      <c r="O96" s="12"/>
      <c r="P96" s="12"/>
    </row>
    <row r="97" spans="15:16" x14ac:dyDescent="0.3">
      <c r="O97" s="12"/>
      <c r="P97" s="12"/>
    </row>
    <row r="98" spans="15:16" x14ac:dyDescent="0.3">
      <c r="O98" s="12"/>
      <c r="P98" s="12"/>
    </row>
    <row r="99" spans="15:16" x14ac:dyDescent="0.3">
      <c r="O99" s="12"/>
      <c r="P99" s="12"/>
    </row>
    <row r="100" spans="15:16" x14ac:dyDescent="0.3">
      <c r="O100" s="12"/>
      <c r="P100" s="12"/>
    </row>
    <row r="101" spans="15:16" x14ac:dyDescent="0.3">
      <c r="O101" s="12"/>
      <c r="P101" s="12"/>
    </row>
    <row r="102" spans="15:16" x14ac:dyDescent="0.3">
      <c r="O102" s="12"/>
      <c r="P102" s="12"/>
    </row>
    <row r="103" spans="15:16" x14ac:dyDescent="0.3">
      <c r="O103" s="12"/>
      <c r="P103" s="12"/>
    </row>
    <row r="104" spans="15:16" x14ac:dyDescent="0.3">
      <c r="O104" s="12"/>
      <c r="P104" s="12"/>
    </row>
    <row r="105" spans="15:16" x14ac:dyDescent="0.3">
      <c r="O105" s="12"/>
      <c r="P105" s="12"/>
    </row>
    <row r="106" spans="15:16" x14ac:dyDescent="0.3">
      <c r="O106" s="12"/>
      <c r="P106" s="12"/>
    </row>
    <row r="107" spans="15:16" x14ac:dyDescent="0.3">
      <c r="O107" s="12"/>
      <c r="P107" s="12"/>
    </row>
    <row r="108" spans="15:16" x14ac:dyDescent="0.3">
      <c r="O108" s="12"/>
      <c r="P108" s="12"/>
    </row>
    <row r="109" spans="15:16" x14ac:dyDescent="0.3">
      <c r="O109" s="12"/>
      <c r="P109" s="12"/>
    </row>
    <row r="110" spans="15:16" x14ac:dyDescent="0.3">
      <c r="O110" s="12"/>
      <c r="P110" s="12"/>
    </row>
    <row r="111" spans="15:16" x14ac:dyDescent="0.3">
      <c r="O111" s="12"/>
      <c r="P111" s="12"/>
    </row>
    <row r="112" spans="15:16" x14ac:dyDescent="0.3">
      <c r="O112" s="12"/>
      <c r="P112" s="12"/>
    </row>
    <row r="113" spans="15:16" x14ac:dyDescent="0.3">
      <c r="O113" s="12"/>
      <c r="P113" s="12"/>
    </row>
    <row r="114" spans="15:16" x14ac:dyDescent="0.3">
      <c r="O114" s="12"/>
      <c r="P114" s="12"/>
    </row>
    <row r="115" spans="15:16" x14ac:dyDescent="0.3">
      <c r="O115" s="12"/>
      <c r="P115" s="12"/>
    </row>
    <row r="116" spans="15:16" x14ac:dyDescent="0.3">
      <c r="O116" s="12"/>
      <c r="P116" s="12"/>
    </row>
    <row r="117" spans="15:16" x14ac:dyDescent="0.3">
      <c r="O117" s="12"/>
      <c r="P117" s="12"/>
    </row>
    <row r="118" spans="15:16" x14ac:dyDescent="0.3">
      <c r="O118" s="12"/>
      <c r="P118" s="12"/>
    </row>
    <row r="119" spans="15:16" x14ac:dyDescent="0.3">
      <c r="O119" s="12"/>
      <c r="P119" s="12"/>
    </row>
    <row r="120" spans="15:16" x14ac:dyDescent="0.3">
      <c r="O120" s="12"/>
      <c r="P120" s="12"/>
    </row>
    <row r="121" spans="15:16" x14ac:dyDescent="0.3">
      <c r="O121" s="12"/>
      <c r="P121" s="12"/>
    </row>
    <row r="122" spans="15:16" x14ac:dyDescent="0.3">
      <c r="O122" s="12"/>
      <c r="P122" s="12"/>
    </row>
    <row r="123" spans="15:16" x14ac:dyDescent="0.3">
      <c r="O123" s="12"/>
      <c r="P123" s="12"/>
    </row>
    <row r="124" spans="15:16" x14ac:dyDescent="0.3">
      <c r="O124" s="12"/>
      <c r="P124" s="12"/>
    </row>
    <row r="125" spans="15:16" x14ac:dyDescent="0.3">
      <c r="O125" s="12"/>
      <c r="P125" s="12"/>
    </row>
    <row r="126" spans="15:16" x14ac:dyDescent="0.3">
      <c r="O126" s="12"/>
      <c r="P126" s="12"/>
    </row>
    <row r="127" spans="15:16" x14ac:dyDescent="0.3">
      <c r="O127" s="12"/>
      <c r="P127" s="12"/>
    </row>
    <row r="128" spans="15:16" x14ac:dyDescent="0.3">
      <c r="O128" s="12"/>
      <c r="P128" s="12"/>
    </row>
    <row r="129" spans="15:16" x14ac:dyDescent="0.3">
      <c r="O129" s="12"/>
      <c r="P129" s="12"/>
    </row>
    <row r="130" spans="15:16" x14ac:dyDescent="0.3">
      <c r="O130" s="12"/>
      <c r="P130" s="12"/>
    </row>
    <row r="131" spans="15:16" x14ac:dyDescent="0.3">
      <c r="O131" s="12"/>
      <c r="P131" s="12"/>
    </row>
    <row r="132" spans="15:16" x14ac:dyDescent="0.3">
      <c r="O132" s="12"/>
      <c r="P132" s="12"/>
    </row>
    <row r="133" spans="15:16" x14ac:dyDescent="0.3">
      <c r="O133" s="12"/>
      <c r="P133" s="12"/>
    </row>
    <row r="134" spans="15:16" x14ac:dyDescent="0.3">
      <c r="O134" s="12"/>
      <c r="P134" s="12"/>
    </row>
    <row r="135" spans="15:16" x14ac:dyDescent="0.3">
      <c r="O135" s="12"/>
      <c r="P135" s="12"/>
    </row>
    <row r="136" spans="15:16" x14ac:dyDescent="0.3">
      <c r="O136" s="12"/>
      <c r="P136" s="12"/>
    </row>
    <row r="137" spans="15:16" x14ac:dyDescent="0.3">
      <c r="O137" s="12"/>
      <c r="P137" s="12"/>
    </row>
    <row r="138" spans="15:16" x14ac:dyDescent="0.3">
      <c r="O138" s="12"/>
      <c r="P138" s="12"/>
    </row>
    <row r="139" spans="15:16" x14ac:dyDescent="0.3">
      <c r="O139" s="12"/>
      <c r="P139" s="12"/>
    </row>
    <row r="140" spans="15:16" x14ac:dyDescent="0.3">
      <c r="O140" s="12"/>
      <c r="P140" s="12"/>
    </row>
    <row r="141" spans="15:16" x14ac:dyDescent="0.3">
      <c r="O141" s="12"/>
      <c r="P141" s="12"/>
    </row>
    <row r="142" spans="15:16" x14ac:dyDescent="0.3">
      <c r="O142" s="12"/>
      <c r="P142" s="12"/>
    </row>
    <row r="143" spans="15:16" x14ac:dyDescent="0.3">
      <c r="O143" s="12"/>
      <c r="P143" s="12"/>
    </row>
    <row r="144" spans="15:16" x14ac:dyDescent="0.3">
      <c r="O144" s="12"/>
      <c r="P144" s="12"/>
    </row>
    <row r="145" spans="15:16" x14ac:dyDescent="0.3">
      <c r="O145" s="12"/>
      <c r="P145" s="12"/>
    </row>
    <row r="146" spans="15:16" x14ac:dyDescent="0.3">
      <c r="O146" s="12"/>
      <c r="P146" s="12"/>
    </row>
    <row r="147" spans="15:16" x14ac:dyDescent="0.3">
      <c r="O147" s="12"/>
      <c r="P147" s="12"/>
    </row>
    <row r="148" spans="15:16" x14ac:dyDescent="0.3">
      <c r="O148" s="12"/>
      <c r="P148" s="12"/>
    </row>
    <row r="149" spans="15:16" x14ac:dyDescent="0.3">
      <c r="O149" s="12"/>
      <c r="P149" s="12"/>
    </row>
    <row r="150" spans="15:16" x14ac:dyDescent="0.3">
      <c r="O150" s="12"/>
      <c r="P150" s="12"/>
    </row>
    <row r="151" spans="15:16" x14ac:dyDescent="0.3">
      <c r="O151" s="12"/>
      <c r="P151" s="12"/>
    </row>
    <row r="152" spans="15:16" x14ac:dyDescent="0.3">
      <c r="O152" s="12"/>
      <c r="P152" s="12"/>
    </row>
    <row r="153" spans="15:16" x14ac:dyDescent="0.3">
      <c r="O153" s="12"/>
      <c r="P153" s="12"/>
    </row>
    <row r="154" spans="15:16" x14ac:dyDescent="0.3">
      <c r="O154" s="12"/>
      <c r="P154" s="12"/>
    </row>
    <row r="155" spans="15:16" x14ac:dyDescent="0.3">
      <c r="O155" s="12"/>
      <c r="P155" s="12"/>
    </row>
    <row r="156" spans="15:16" x14ac:dyDescent="0.3">
      <c r="O156" s="12"/>
      <c r="P156" s="12"/>
    </row>
    <row r="157" spans="15:16" x14ac:dyDescent="0.3">
      <c r="O157" s="12"/>
      <c r="P157" s="12"/>
    </row>
    <row r="158" spans="15:16" x14ac:dyDescent="0.3">
      <c r="O158" s="12"/>
      <c r="P158" s="12"/>
    </row>
    <row r="159" spans="15:16" x14ac:dyDescent="0.3">
      <c r="O159" s="12"/>
      <c r="P159" s="12"/>
    </row>
    <row r="160" spans="15:16" x14ac:dyDescent="0.3">
      <c r="O160" s="12"/>
      <c r="P160" s="12"/>
    </row>
  </sheetData>
  <phoneticPr fontId="25" type="noConversion"/>
  <printOptions gridLines="1" gridLinesSet="0"/>
  <pageMargins left="0.78740157480314965" right="0.59055118110236227" top="0.39370078740157483" bottom="0.39370078740157483" header="0.51181102362204722" footer="0.51181102362204722"/>
  <pageSetup paperSize="9" scale="70" orientation="portrait" r:id="rId1"/>
  <headerFooter alignWithMargins="0">
    <oddFooter>&amp;L&amp;6&amp;F&amp;C&amp;6&amp;A &amp;R&amp;6Kontakt: matthias.zuercher@faw.admin.ch</oddFooter>
  </headerFooter>
  <colBreaks count="4" manualBreakCount="4">
    <brk id="7" max="1048575" man="1"/>
    <brk id="14" max="1048575" man="1"/>
    <brk id="21" max="1048575" man="1"/>
    <brk id="4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arErtragsphase">
    <tabColor rgb="FFFF66CC"/>
  </sheetPr>
  <dimension ref="A1:N172"/>
  <sheetViews>
    <sheetView zoomScale="75" zoomScaleNormal="75" workbookViewId="0">
      <selection activeCell="B138" sqref="B138"/>
    </sheetView>
  </sheetViews>
  <sheetFormatPr baseColWidth="10" defaultColWidth="11.36328125" defaultRowHeight="12.5" x14ac:dyDescent="0.25"/>
  <cols>
    <col min="1" max="1" width="35.1796875" customWidth="1"/>
    <col min="2" max="2" width="31.81640625" customWidth="1"/>
    <col min="3" max="3" width="18.7265625" customWidth="1"/>
    <col min="4" max="4" width="13.54296875" customWidth="1"/>
    <col min="5" max="5" width="12.7265625" customWidth="1"/>
    <col min="6" max="6" width="16.26953125" customWidth="1"/>
    <col min="7" max="7" width="9.54296875" customWidth="1"/>
    <col min="8" max="8" width="6.54296875" customWidth="1"/>
    <col min="9" max="9" width="15.54296875" customWidth="1"/>
    <col min="10" max="10" width="17" style="12" customWidth="1"/>
    <col min="11" max="11" width="11.36328125" style="20" customWidth="1"/>
  </cols>
  <sheetData>
    <row r="1" spans="1:10" ht="32.25" customHeight="1" x14ac:dyDescent="0.5">
      <c r="A1" s="369" t="str">
        <f>'Var Vorgaben'!A1</f>
        <v>Arbokost 2023</v>
      </c>
      <c r="B1" s="625" t="str">
        <f>'Var Erstellung'!B1</f>
        <v>Tafelkirsche</v>
      </c>
      <c r="C1" s="359"/>
      <c r="D1" s="359"/>
      <c r="E1" s="356"/>
      <c r="F1" s="624"/>
      <c r="G1" s="351"/>
      <c r="H1" s="71"/>
    </row>
    <row r="2" spans="1:10" ht="21.25" customHeight="1" x14ac:dyDescent="0.35">
      <c r="A2" s="1256" t="str">
        <f>'Var Erstellung'!A2</f>
        <v>Variante  1ha</v>
      </c>
      <c r="B2" s="621">
        <f>'Var Erstellung'!B2</f>
        <v>950</v>
      </c>
      <c r="C2" s="627"/>
      <c r="D2" s="627"/>
      <c r="E2" s="627"/>
      <c r="F2" s="627"/>
      <c r="G2" s="627"/>
      <c r="H2" s="1"/>
      <c r="I2" s="1"/>
    </row>
    <row r="3" spans="1:10" ht="18" customHeight="1" x14ac:dyDescent="0.35">
      <c r="A3" s="674"/>
      <c r="B3" s="621"/>
      <c r="C3" s="627"/>
      <c r="D3" s="627"/>
      <c r="E3" s="627"/>
      <c r="F3" s="351"/>
      <c r="G3" s="351"/>
      <c r="H3" s="1"/>
      <c r="I3" s="1"/>
    </row>
    <row r="4" spans="1:10" ht="21.25" customHeight="1" x14ac:dyDescent="0.35">
      <c r="A4" s="423"/>
      <c r="B4" s="621"/>
      <c r="C4" s="627"/>
      <c r="D4" s="627"/>
      <c r="E4" s="627"/>
      <c r="F4" s="422" t="s">
        <v>141</v>
      </c>
      <c r="G4" s="17"/>
      <c r="H4" s="1"/>
      <c r="I4" s="1"/>
    </row>
    <row r="5" spans="1:10" ht="23" x14ac:dyDescent="0.5">
      <c r="A5" s="1262" t="s">
        <v>105</v>
      </c>
      <c r="B5" s="1263" t="s">
        <v>400</v>
      </c>
      <c r="C5" s="1258"/>
      <c r="D5" s="1264"/>
      <c r="E5" s="1265"/>
      <c r="F5" s="1265"/>
      <c r="G5" s="1266"/>
      <c r="H5" s="19"/>
      <c r="I5" s="19"/>
      <c r="J5"/>
    </row>
    <row r="6" spans="1:10" ht="13.5" customHeight="1" x14ac:dyDescent="0.3">
      <c r="C6" s="36" t="s">
        <v>86</v>
      </c>
      <c r="D6" s="36" t="s">
        <v>64</v>
      </c>
      <c r="E6" s="37" t="s">
        <v>277</v>
      </c>
      <c r="F6" s="38" t="s">
        <v>66</v>
      </c>
      <c r="G6" s="817"/>
      <c r="H6" s="19"/>
      <c r="I6" s="19"/>
      <c r="J6"/>
    </row>
    <row r="7" spans="1:10" ht="15.5" x14ac:dyDescent="0.35">
      <c r="A7" s="379" t="s">
        <v>68</v>
      </c>
      <c r="B7" s="125" t="str">
        <f>'Var Vorgaben'!B39</f>
        <v>28+ mm</v>
      </c>
      <c r="C7" s="116">
        <f>D7/B2</f>
        <v>6.1578947368421071</v>
      </c>
      <c r="D7" s="62">
        <f>D11*G7</f>
        <v>5850.0000000000018</v>
      </c>
      <c r="E7" s="60">
        <f>'Var Vorgaben'!B40</f>
        <v>7.09</v>
      </c>
      <c r="F7" s="61">
        <f>D7*E7</f>
        <v>41476.500000000015</v>
      </c>
      <c r="G7" s="92">
        <f>'Var Vorgaben'!B80</f>
        <v>0.45000000000000012</v>
      </c>
      <c r="H7" s="19"/>
      <c r="I7" s="19"/>
      <c r="J7"/>
    </row>
    <row r="8" spans="1:10" ht="13" x14ac:dyDescent="0.3">
      <c r="A8" s="23"/>
      <c r="B8" s="107" t="str">
        <f>'Var Vorgaben'!C39</f>
        <v>24+ mm</v>
      </c>
      <c r="C8" s="116">
        <v>8.6199999999999992</v>
      </c>
      <c r="D8" s="62">
        <f>D11*G8</f>
        <v>6240.0000000000018</v>
      </c>
      <c r="E8" s="60">
        <f>'Var Vorgaben'!C40</f>
        <v>5.59</v>
      </c>
      <c r="F8" s="61">
        <f>D8*E8</f>
        <v>34881.600000000006</v>
      </c>
      <c r="G8" s="92">
        <f>'Var Vorgaben'!C80</f>
        <v>0.48000000000000015</v>
      </c>
      <c r="H8" s="19"/>
      <c r="I8" s="25"/>
    </row>
    <row r="9" spans="1:10" ht="13" x14ac:dyDescent="0.3">
      <c r="A9" s="23"/>
      <c r="B9" s="107" t="str">
        <f>'Var Vorgaben'!D39</f>
        <v xml:space="preserve"> 22+ mm</v>
      </c>
      <c r="C9" s="116">
        <f>D9/B2</f>
        <v>0</v>
      </c>
      <c r="D9" s="62">
        <f>D11*G9</f>
        <v>0</v>
      </c>
      <c r="E9" s="60">
        <f>'Var Vorgaben'!D40</f>
        <v>4</v>
      </c>
      <c r="F9" s="61">
        <f>D9*E9</f>
        <v>0</v>
      </c>
      <c r="G9" s="92">
        <f>'Var Vorgaben'!D80</f>
        <v>0</v>
      </c>
      <c r="H9" s="19"/>
      <c r="I9" s="19"/>
    </row>
    <row r="10" spans="1:10" ht="13.5" thickBot="1" x14ac:dyDescent="0.35">
      <c r="A10" s="23"/>
      <c r="B10" s="107" t="str">
        <f>'Var Vorgaben'!E39</f>
        <v xml:space="preserve"> Abgang</v>
      </c>
      <c r="C10" s="671">
        <f>D10/B2</f>
        <v>0.95789473684210547</v>
      </c>
      <c r="D10" s="791">
        <f>D11*G10</f>
        <v>910.00000000000023</v>
      </c>
      <c r="E10" s="792">
        <f>'Var Vorgaben'!E40</f>
        <v>0</v>
      </c>
      <c r="F10" s="208">
        <f>D10*E10</f>
        <v>0</v>
      </c>
      <c r="G10" s="92">
        <f>'Var Vorgaben'!E80</f>
        <v>7.0000000000000021E-2</v>
      </c>
      <c r="H10" s="19"/>
      <c r="I10" s="19"/>
    </row>
    <row r="11" spans="1:10" ht="16.5" customHeight="1" x14ac:dyDescent="0.35">
      <c r="A11" s="295" t="s">
        <v>66</v>
      </c>
      <c r="B11" s="125"/>
      <c r="C11" s="90">
        <f>SUM(C7:C10)</f>
        <v>15.735789473684212</v>
      </c>
      <c r="D11" s="90">
        <f>Eingabeseite!D16</f>
        <v>13000</v>
      </c>
      <c r="E11" s="91">
        <f>(E7*G7)+(E8*G8)+(E9*G9)+(E10*G10)</f>
        <v>5.8737000000000013</v>
      </c>
      <c r="F11" s="118">
        <f>D11*E11</f>
        <v>76358.10000000002</v>
      </c>
      <c r="G11" s="199">
        <f>SUM(G7:G10)</f>
        <v>1.0000000000000002</v>
      </c>
      <c r="H11" s="19"/>
      <c r="I11" s="19"/>
    </row>
    <row r="12" spans="1:10" ht="18" customHeight="1" x14ac:dyDescent="0.35">
      <c r="A12" s="295" t="str">
        <f>'Var Vorgaben'!A33</f>
        <v>Direktzahlungen ÖLN</v>
      </c>
      <c r="B12" s="125"/>
      <c r="C12" s="89"/>
      <c r="D12" s="90"/>
      <c r="E12" s="91"/>
      <c r="F12" s="309">
        <f>'Var Vorgaben'!C33</f>
        <v>1100</v>
      </c>
      <c r="G12" s="92"/>
      <c r="H12" s="25"/>
      <c r="I12" s="19"/>
    </row>
    <row r="13" spans="1:10" ht="15.75" customHeight="1" thickBot="1" x14ac:dyDescent="0.4">
      <c r="A13" s="594" t="s">
        <v>104</v>
      </c>
      <c r="B13" s="595"/>
      <c r="C13" s="595"/>
      <c r="D13" s="595"/>
      <c r="E13" s="595"/>
      <c r="F13" s="596">
        <f>SUM(F11:F12)</f>
        <v>77458.10000000002</v>
      </c>
      <c r="G13" s="464"/>
      <c r="H13" s="19"/>
      <c r="I13" s="19"/>
    </row>
    <row r="14" spans="1:10" x14ac:dyDescent="0.25">
      <c r="A14" s="4"/>
      <c r="B14" s="4"/>
      <c r="C14" s="36" t="s">
        <v>18</v>
      </c>
      <c r="D14" s="36" t="s">
        <v>196</v>
      </c>
      <c r="E14" s="37" t="s">
        <v>65</v>
      </c>
      <c r="F14" s="43" t="s">
        <v>20</v>
      </c>
      <c r="G14" s="817" t="s">
        <v>67</v>
      </c>
      <c r="H14" s="19"/>
      <c r="I14" s="19"/>
    </row>
    <row r="15" spans="1:10" ht="15.5" x14ac:dyDescent="0.35">
      <c r="A15" s="2" t="s">
        <v>36</v>
      </c>
      <c r="B15" s="21" t="str">
        <f>'Var Vorgaben'!B94</f>
        <v>Ammonsalpeter</v>
      </c>
      <c r="C15" s="70">
        <f>'Var Vorgaben'!B106</f>
        <v>1</v>
      </c>
      <c r="D15" s="12">
        <f>'Var Vorgaben'!B105</f>
        <v>200</v>
      </c>
      <c r="E15" s="32">
        <f>'Var Vorgaben'!$B$95*(1+Eingabeseite!C32)</f>
        <v>0.9</v>
      </c>
      <c r="F15" s="33">
        <f>D15*E15</f>
        <v>180</v>
      </c>
      <c r="G15" s="768">
        <f t="shared" ref="G15:G26" si="0">F15/$F$66</f>
        <v>2.0700363485451276E-3</v>
      </c>
      <c r="H15" s="19"/>
      <c r="I15" s="19"/>
    </row>
    <row r="16" spans="1:10" ht="13.5" thickBot="1" x14ac:dyDescent="0.35">
      <c r="A16" s="3"/>
      <c r="B16" s="21" t="str">
        <f>'Var Vorgaben'!C94</f>
        <v>Gründdunger (Terbona)</v>
      </c>
      <c r="C16" s="803">
        <f>'Var Vorgaben'!C106</f>
        <v>1</v>
      </c>
      <c r="D16" s="12">
        <f>'Var Vorgaben'!C105</f>
        <v>250</v>
      </c>
      <c r="E16" s="32">
        <f>'Var Vorgaben'!C95*(1+Eingabeseite!C32)</f>
        <v>1.05</v>
      </c>
      <c r="F16" s="666">
        <f>D16*E16</f>
        <v>262.5</v>
      </c>
      <c r="G16" s="768">
        <f t="shared" si="0"/>
        <v>3.0188030082949776E-3</v>
      </c>
      <c r="H16" s="19"/>
      <c r="I16" s="19"/>
    </row>
    <row r="17" spans="1:11" ht="13" x14ac:dyDescent="0.3">
      <c r="A17" s="3"/>
      <c r="B17" s="21"/>
      <c r="C17" s="235">
        <f>SUM(C15:C16)</f>
        <v>2</v>
      </c>
      <c r="D17" s="12"/>
      <c r="E17" s="32"/>
      <c r="F17" s="254">
        <f>SUM(F15:F16)</f>
        <v>442.5</v>
      </c>
      <c r="G17" s="818">
        <f t="shared" si="0"/>
        <v>5.0888393568401047E-3</v>
      </c>
      <c r="H17" s="19"/>
      <c r="I17" s="19"/>
    </row>
    <row r="18" spans="1:11" ht="18.75" customHeight="1" x14ac:dyDescent="0.25">
      <c r="A18" s="21" t="str">
        <f>'Var Vorgaben'!$A$111</f>
        <v>Fungzide</v>
      </c>
      <c r="B18" s="12"/>
      <c r="F18" s="33">
        <f>'Var Vorgaben'!$D$111*(1+Eingabeseite!$C$30)</f>
        <v>900</v>
      </c>
      <c r="G18" s="768">
        <f t="shared" si="0"/>
        <v>1.0350181742725636E-2</v>
      </c>
      <c r="H18" s="19"/>
      <c r="I18" s="19"/>
    </row>
    <row r="19" spans="1:11" x14ac:dyDescent="0.25">
      <c r="A19" s="21" t="str">
        <f>'Var Vorgaben'!$A$112</f>
        <v>Insektizide</v>
      </c>
      <c r="B19" s="12"/>
      <c r="F19" s="33">
        <f>'Var Vorgaben'!$D$112*(1+Eingabeseite!$C$30)</f>
        <v>900</v>
      </c>
      <c r="G19" s="768">
        <f t="shared" si="0"/>
        <v>1.0350181742725636E-2</v>
      </c>
      <c r="H19" s="19"/>
      <c r="I19" s="19"/>
    </row>
    <row r="20" spans="1:11" ht="13" x14ac:dyDescent="0.3">
      <c r="A20" s="21" t="str">
        <f>'Var Vorgaben'!$A$113</f>
        <v>Herbizide</v>
      </c>
      <c r="C20" s="12"/>
      <c r="D20" s="12"/>
      <c r="E20" s="33"/>
      <c r="F20" s="33">
        <f>'Var Vorgaben'!$D$113*(1+Eingabeseite!$C$30)</f>
        <v>500</v>
      </c>
      <c r="G20" s="768">
        <f t="shared" si="0"/>
        <v>5.7501009681809098E-3</v>
      </c>
      <c r="H20" s="103"/>
      <c r="I20" s="19"/>
    </row>
    <row r="21" spans="1:11" x14ac:dyDescent="0.25">
      <c r="A21" s="21" t="str">
        <f>'Var Vorgaben'!$A$114</f>
        <v>Behangsregulierung</v>
      </c>
      <c r="B21" s="12"/>
      <c r="F21" s="33">
        <f>'Var Vorgaben'!$D$114*(1+Eingabeseite!$C$30)</f>
        <v>100</v>
      </c>
      <c r="G21" s="768">
        <f t="shared" si="0"/>
        <v>1.1500201936361818E-3</v>
      </c>
      <c r="H21" s="19"/>
      <c r="I21" s="19"/>
    </row>
    <row r="22" spans="1:11" ht="13" thickBot="1" x14ac:dyDescent="0.3">
      <c r="A22" s="21" t="str">
        <f>'Var Vorgaben'!$A$115</f>
        <v>Blattdüngung</v>
      </c>
      <c r="C22" s="12"/>
      <c r="D22" s="12"/>
      <c r="E22" s="33"/>
      <c r="F22" s="666">
        <f>'Var Vorgaben'!$D$115*(1+Eingabeseite!$C$32)</f>
        <v>100</v>
      </c>
      <c r="G22" s="768">
        <f t="shared" si="0"/>
        <v>1.1500201936361818E-3</v>
      </c>
      <c r="H22" s="19"/>
      <c r="I22" s="19"/>
    </row>
    <row r="23" spans="1:11" x14ac:dyDescent="0.25">
      <c r="A23" s="12"/>
      <c r="C23" s="12"/>
      <c r="D23" s="12"/>
      <c r="E23" s="33"/>
      <c r="F23" s="33">
        <f>SUM(F18:F22)</f>
        <v>2500</v>
      </c>
      <c r="G23" s="768">
        <f t="shared" si="0"/>
        <v>2.8750504840904547E-2</v>
      </c>
      <c r="H23" s="19"/>
      <c r="I23" s="19"/>
    </row>
    <row r="24" spans="1:11" ht="15.5" x14ac:dyDescent="0.35">
      <c r="A24" s="2" t="s">
        <v>186</v>
      </c>
      <c r="B24" s="112"/>
      <c r="C24" s="108"/>
      <c r="D24" s="112"/>
      <c r="E24" s="252"/>
      <c r="F24" s="209">
        <f>'Var Vorgaben'!E153</f>
        <v>400</v>
      </c>
      <c r="G24" s="818">
        <f t="shared" si="0"/>
        <v>4.6000807745447273E-3</v>
      </c>
      <c r="H24" s="19"/>
      <c r="I24" s="19"/>
    </row>
    <row r="25" spans="1:11" ht="15.5" x14ac:dyDescent="0.35">
      <c r="A25" s="391" t="s">
        <v>552</v>
      </c>
      <c r="B25" s="197" t="str">
        <f>'Var Vorgaben'!F32</f>
        <v>Tafelkirschen</v>
      </c>
      <c r="C25" s="4" t="s">
        <v>195</v>
      </c>
      <c r="D25" s="47"/>
      <c r="E25" s="63"/>
      <c r="F25" s="120">
        <f>'Var Vorgaben'!G32</f>
        <v>700</v>
      </c>
      <c r="G25" s="768">
        <f t="shared" si="0"/>
        <v>8.050141355453273E-3</v>
      </c>
      <c r="H25" s="19"/>
    </row>
    <row r="26" spans="1:11" ht="13.5" customHeight="1" x14ac:dyDescent="0.3">
      <c r="A26" s="18"/>
      <c r="B26" s="197" t="str">
        <f>'Var Vorgaben'!F33</f>
        <v>Brennkirschen</v>
      </c>
      <c r="C26" s="4" t="s">
        <v>71</v>
      </c>
      <c r="D26" s="47"/>
      <c r="E26" s="63">
        <f>'Var Vorgaben'!G33</f>
        <v>2.57</v>
      </c>
      <c r="F26" s="120">
        <f>E26*D10/100</f>
        <v>23.387000000000004</v>
      </c>
      <c r="G26" s="768">
        <f t="shared" si="0"/>
        <v>2.6895522268569392E-4</v>
      </c>
      <c r="H26" s="19"/>
      <c r="I26" s="19"/>
    </row>
    <row r="27" spans="1:11" ht="13.5" customHeight="1" thickBot="1" x14ac:dyDescent="0.35">
      <c r="A27" s="18"/>
      <c r="B27" t="str">
        <f>'Var Vorgaben'!$F$34</f>
        <v>Kalibrierungskosten</v>
      </c>
      <c r="C27" s="4" t="s">
        <v>553</v>
      </c>
      <c r="D27" s="1"/>
      <c r="E27" s="1252">
        <f>'Var Vorgaben'!$G$34</f>
        <v>0.65</v>
      </c>
      <c r="F27" s="663">
        <f>E27*D11</f>
        <v>8450</v>
      </c>
      <c r="G27" s="768"/>
      <c r="H27" s="19"/>
      <c r="I27" s="19"/>
    </row>
    <row r="28" spans="1:11" ht="12.75" customHeight="1" x14ac:dyDescent="0.3">
      <c r="A28" s="150"/>
      <c r="C28" s="1"/>
      <c r="D28" s="1"/>
      <c r="E28" s="63"/>
      <c r="F28" s="209">
        <f>SUM(F25:F27)</f>
        <v>9173.3870000000006</v>
      </c>
      <c r="G28" s="818">
        <f t="shared" ref="G28:G33" si="1">F28/$F$66</f>
        <v>0.10549580294039634</v>
      </c>
      <c r="H28" s="19"/>
      <c r="I28" s="19"/>
    </row>
    <row r="29" spans="1:11" ht="56.25" customHeight="1" x14ac:dyDescent="0.3">
      <c r="A29" s="440" t="s">
        <v>461</v>
      </c>
      <c r="B29" s="253" t="s">
        <v>380</v>
      </c>
      <c r="C29" s="209">
        <f>'Var 1.-16. Standjahr'!AA73</f>
        <v>178160.17572014214</v>
      </c>
      <c r="D29" s="280">
        <f>'Var Erstellung'!$B$14</f>
        <v>12</v>
      </c>
      <c r="E29" s="120"/>
      <c r="F29" s="120">
        <f>C29/D29</f>
        <v>14846.681310011845</v>
      </c>
      <c r="G29" s="768">
        <f t="shared" si="1"/>
        <v>0.17073983314994504</v>
      </c>
      <c r="H29" s="19"/>
      <c r="I29" s="19"/>
    </row>
    <row r="30" spans="1:11" s="1" customFormat="1" ht="13" thickBot="1" x14ac:dyDescent="0.3">
      <c r="B30" s="100" t="s">
        <v>257</v>
      </c>
      <c r="C30" s="663">
        <f>'Var Erstellung'!F122</f>
        <v>54724.332000000002</v>
      </c>
      <c r="D30" s="280">
        <f>'Var Erstellung'!$B$14</f>
        <v>12</v>
      </c>
      <c r="F30" s="663">
        <f>C30/D30</f>
        <v>4560.3609999999999</v>
      </c>
      <c r="G30" s="768">
        <f t="shared" si="1"/>
        <v>5.2445072402708917E-2</v>
      </c>
      <c r="H30" s="54"/>
      <c r="I30" s="25"/>
      <c r="J30" s="47"/>
      <c r="K30" s="189"/>
    </row>
    <row r="31" spans="1:11" s="1" customFormat="1" ht="13" x14ac:dyDescent="0.3">
      <c r="B31" s="100"/>
      <c r="C31" s="209">
        <f>SUM(C29:C30)</f>
        <v>232884.50772014214</v>
      </c>
      <c r="D31" s="280"/>
      <c r="E31" s="281"/>
      <c r="F31" s="209">
        <f>SUM(F29:F30)</f>
        <v>19407.042310011846</v>
      </c>
      <c r="G31" s="818">
        <f t="shared" si="1"/>
        <v>0.22318490555265397</v>
      </c>
      <c r="H31" s="25"/>
      <c r="I31" s="25"/>
      <c r="J31" s="47"/>
      <c r="K31" s="189"/>
    </row>
    <row r="32" spans="1:11" ht="15.5" x14ac:dyDescent="0.35">
      <c r="A32" s="391" t="s">
        <v>401</v>
      </c>
      <c r="B32" s="442">
        <f>'Var Vorgaben'!$C$150</f>
        <v>498.75</v>
      </c>
      <c r="C32" s="443">
        <f>'Var Vorgaben'!$D$150*(1+Eingabeseite!$C$34)</f>
        <v>1.5</v>
      </c>
      <c r="D32" s="108" t="s">
        <v>230</v>
      </c>
      <c r="E32" s="63">
        <f>'Var Vorgaben'!$E$151</f>
        <v>50</v>
      </c>
      <c r="F32" s="121">
        <f>(B32*C32)+E32</f>
        <v>798.125</v>
      </c>
      <c r="G32" s="818">
        <f t="shared" si="1"/>
        <v>9.1785986704587767E-3</v>
      </c>
      <c r="H32" s="19"/>
      <c r="I32" s="19"/>
    </row>
    <row r="33" spans="1:11" s="78" customFormat="1" ht="16.5" customHeight="1" x14ac:dyDescent="0.35">
      <c r="A33" s="441" t="s">
        <v>403</v>
      </c>
      <c r="B33" s="80"/>
      <c r="C33" s="424" t="s">
        <v>402</v>
      </c>
      <c r="D33" s="425"/>
      <c r="E33" s="244">
        <f>(PMT('Var Vorgaben'!C34,'Var Vorgaben'!B23,,'Var Vorgaben'!C32))*(-1)</f>
        <v>460.07995743737365</v>
      </c>
      <c r="F33" s="162">
        <f>600+E33</f>
        <v>1060.0799574373737</v>
      </c>
      <c r="G33" s="818">
        <f t="shared" si="1"/>
        <v>1.2191133579219639E-2</v>
      </c>
      <c r="H33" s="819"/>
      <c r="I33" s="819"/>
      <c r="J33" s="185"/>
      <c r="K33" s="190"/>
    </row>
    <row r="34" spans="1:11" s="78" customFormat="1" ht="16.5" customHeight="1" x14ac:dyDescent="0.35">
      <c r="A34" s="441" t="str">
        <f>'Var Vorgaben'!A159</f>
        <v>Frostbekämpfung - Forstversicherung</v>
      </c>
      <c r="B34" s="80"/>
      <c r="C34" s="424"/>
      <c r="D34" s="425"/>
      <c r="E34" s="244"/>
      <c r="F34" s="162">
        <f>'Var Vorgaben'!B159</f>
        <v>5000</v>
      </c>
      <c r="G34" s="818">
        <f>F34/$F$66</f>
        <v>5.7501009681809094E-2</v>
      </c>
      <c r="H34" s="819"/>
      <c r="I34" s="819"/>
      <c r="J34" s="185"/>
      <c r="K34" s="190"/>
    </row>
    <row r="35" spans="1:11" ht="15.5" x14ac:dyDescent="0.35">
      <c r="A35" s="475" t="s">
        <v>357</v>
      </c>
      <c r="B35" s="460"/>
      <c r="C35" s="600"/>
      <c r="D35" s="600"/>
      <c r="E35" s="461"/>
      <c r="F35" s="822">
        <f>F17+F23+F24+F28+F31+F32+F33+F34</f>
        <v>38781.134267449219</v>
      </c>
      <c r="G35" s="820">
        <f>F35/$F$66</f>
        <v>0.44599087539682719</v>
      </c>
      <c r="H35" s="19"/>
      <c r="I35" s="19"/>
    </row>
    <row r="36" spans="1:11" ht="24" customHeight="1" x14ac:dyDescent="0.35">
      <c r="A36" s="391" t="s">
        <v>216</v>
      </c>
      <c r="C36" s="112" t="s">
        <v>72</v>
      </c>
      <c r="D36" s="151">
        <v>30</v>
      </c>
      <c r="E36" s="63">
        <v>15</v>
      </c>
      <c r="F36" s="444">
        <f>D36*E36</f>
        <v>450</v>
      </c>
      <c r="G36" s="818">
        <f>F36/$F$66</f>
        <v>5.1750908713628181E-3</v>
      </c>
      <c r="H36" s="19"/>
      <c r="I36" s="19"/>
      <c r="J36" s="300" t="s">
        <v>156</v>
      </c>
    </row>
    <row r="37" spans="1:11" ht="18" customHeight="1" x14ac:dyDescent="0.25">
      <c r="C37" s="50" t="s">
        <v>18</v>
      </c>
      <c r="D37" s="123" t="s">
        <v>142</v>
      </c>
      <c r="E37" s="10" t="s">
        <v>145</v>
      </c>
      <c r="F37" s="124" t="s">
        <v>29</v>
      </c>
      <c r="G37" s="768"/>
      <c r="H37" s="19"/>
      <c r="I37" s="19"/>
      <c r="J37" s="50" t="s">
        <v>145</v>
      </c>
      <c r="K37" s="191" t="s">
        <v>29</v>
      </c>
    </row>
    <row r="38" spans="1:11" ht="15.5" x14ac:dyDescent="0.35">
      <c r="A38" s="391" t="s">
        <v>133</v>
      </c>
      <c r="B38" s="21" t="str">
        <f>'Var Vorgaben'!B130</f>
        <v>Anbaugebläsepritze 1000 l</v>
      </c>
      <c r="C38" s="374">
        <f>'Var Vorgaben'!D117</f>
        <v>16</v>
      </c>
      <c r="D38" s="48">
        <f>'Var Vorgaben'!C130</f>
        <v>1</v>
      </c>
      <c r="E38" s="63">
        <f>'Var Vorgaben'!$D$130*(1+Eingabeseite!C28)</f>
        <v>37</v>
      </c>
      <c r="F38" s="45">
        <f>C38*D38*E38</f>
        <v>592</v>
      </c>
      <c r="G38" s="768">
        <f t="shared" ref="G38:G49" si="2">F38/$F$66</f>
        <v>6.8081195463261966E-3</v>
      </c>
      <c r="H38" s="19"/>
      <c r="I38" s="19"/>
      <c r="J38" s="182">
        <f>'Var Vorgaben'!H130</f>
        <v>11.67</v>
      </c>
      <c r="K38" s="20">
        <f>C38*D38*J38</f>
        <v>186.72</v>
      </c>
    </row>
    <row r="39" spans="1:11" ht="13" x14ac:dyDescent="0.3">
      <c r="A39" s="18"/>
      <c r="B39" s="21" t="str">
        <f>'Var Vorgaben'!B131</f>
        <v>Herbizidibalken + Herbizidfass</v>
      </c>
      <c r="C39" s="374">
        <f>'Var Vorgaben'!D118</f>
        <v>3</v>
      </c>
      <c r="D39" s="48">
        <f>'Var Vorgaben'!C131</f>
        <v>1</v>
      </c>
      <c r="E39" s="63">
        <f>'Var Vorgaben'!$D$131*(1+Eingabeseite!C28)</f>
        <v>69</v>
      </c>
      <c r="F39" s="45">
        <f>C39*D39*E39</f>
        <v>207</v>
      </c>
      <c r="G39" s="768">
        <f t="shared" si="2"/>
        <v>2.3805418008268965E-3</v>
      </c>
      <c r="H39" s="19"/>
      <c r="I39" s="19"/>
      <c r="J39" s="182">
        <f>'Var Vorgaben'!H131</f>
        <v>13.22</v>
      </c>
      <c r="K39" s="20">
        <f>C39*D39*J39</f>
        <v>39.660000000000004</v>
      </c>
    </row>
    <row r="40" spans="1:11" ht="13" x14ac:dyDescent="0.3">
      <c r="A40" s="18"/>
      <c r="B40" s="21" t="str">
        <f>'Var Vorgaben'!B132</f>
        <v>Düngerstreuer Einkasten 2.5 m</v>
      </c>
      <c r="C40" s="374">
        <f>C17</f>
        <v>2</v>
      </c>
      <c r="D40" s="48">
        <f>'Var Vorgaben'!C132</f>
        <v>1</v>
      </c>
      <c r="E40" s="63">
        <f>'Var Vorgaben'!$D$132*(1+Eingabeseite!C28)</f>
        <v>18</v>
      </c>
      <c r="F40" s="45">
        <f>C40*D40*E40</f>
        <v>36</v>
      </c>
      <c r="G40" s="768">
        <f t="shared" si="2"/>
        <v>4.1400726970902549E-4</v>
      </c>
      <c r="H40" s="19"/>
      <c r="I40" s="19"/>
      <c r="J40" s="182">
        <f>'Var Vorgaben'!H132</f>
        <v>7.03</v>
      </c>
      <c r="K40" s="20">
        <f>C40*D40*J40</f>
        <v>14.06</v>
      </c>
    </row>
    <row r="41" spans="1:11" ht="13" x14ac:dyDescent="0.3">
      <c r="A41" s="18"/>
      <c r="B41" s="21" t="str">
        <f>'Var Vorgaben'!B133</f>
        <v>Pneuwagen 2achsig, 3t (Ernte)</v>
      </c>
      <c r="C41" s="427">
        <f>'Var Vorgaben'!C133</f>
        <v>0.1</v>
      </c>
      <c r="D41" s="48">
        <f>C41*C42</f>
        <v>108.33333333333333</v>
      </c>
      <c r="E41" s="63">
        <f>'Var Vorgaben'!$D$133*(1+Eingabeseite!C28)</f>
        <v>25</v>
      </c>
      <c r="F41" s="45">
        <f>D41*E41</f>
        <v>2708.333333333333</v>
      </c>
      <c r="G41" s="768">
        <f t="shared" si="2"/>
        <v>3.1146380244313255E-2</v>
      </c>
      <c r="H41" s="19"/>
      <c r="I41" s="19"/>
      <c r="J41" s="182">
        <f>'Var Vorgaben'!H133</f>
        <v>1.53</v>
      </c>
      <c r="K41" s="20">
        <f>D41*J41</f>
        <v>165.75</v>
      </c>
    </row>
    <row r="42" spans="1:11" ht="13" x14ac:dyDescent="0.3">
      <c r="A42" s="18"/>
      <c r="B42" s="241" t="s">
        <v>229</v>
      </c>
      <c r="C42" s="426">
        <f>D56</f>
        <v>1083.3333333333333</v>
      </c>
      <c r="E42" s="240"/>
      <c r="F42" s="45"/>
      <c r="G42" s="768">
        <f t="shared" si="2"/>
        <v>0</v>
      </c>
      <c r="H42" s="19"/>
      <c r="I42" s="19"/>
    </row>
    <row r="43" spans="1:11" ht="13" x14ac:dyDescent="0.3">
      <c r="A43" s="18"/>
      <c r="B43" s="21" t="str">
        <f>'Var Vorgaben'!B134</f>
        <v>Mulchgerät mit Schwenkarm, 2.8m</v>
      </c>
      <c r="C43" s="47">
        <f>'Var Vorgaben'!E134</f>
        <v>6</v>
      </c>
      <c r="D43" s="52">
        <f>'Var Vorgaben'!C134</f>
        <v>0.5</v>
      </c>
      <c r="E43" s="63">
        <f>'Var Vorgaben'!$D$134*(1+Eingabeseite!C28)</f>
        <v>42</v>
      </c>
      <c r="F43" s="45">
        <f>C43*D43*E43</f>
        <v>126</v>
      </c>
      <c r="G43" s="768">
        <f t="shared" si="2"/>
        <v>1.4490254439815892E-3</v>
      </c>
      <c r="H43" s="19"/>
      <c r="I43" s="19"/>
      <c r="J43" s="182">
        <f>'Var Vorgaben'!H134</f>
        <v>14.5</v>
      </c>
      <c r="K43" s="20">
        <f>C43*D43*J43</f>
        <v>43.5</v>
      </c>
    </row>
    <row r="44" spans="1:11" ht="13" x14ac:dyDescent="0.3">
      <c r="A44" s="18"/>
      <c r="B44" s="21" t="s">
        <v>686</v>
      </c>
      <c r="C44" s="47"/>
      <c r="D44" s="47">
        <f>'Var Vorgaben'!$C$136</f>
        <v>100</v>
      </c>
      <c r="E44" s="63">
        <f>'Var Vorgaben'!$I$136*(1+Eingabeseite!$C$28)</f>
        <v>17.5</v>
      </c>
      <c r="F44" s="45">
        <f>D44*E44</f>
        <v>1750</v>
      </c>
      <c r="G44" s="768">
        <f t="shared" si="2"/>
        <v>2.0125353388633183E-2</v>
      </c>
      <c r="H44" s="19"/>
      <c r="I44" s="19"/>
      <c r="J44" s="182"/>
    </row>
    <row r="45" spans="1:11" ht="13.5" thickBot="1" x14ac:dyDescent="0.35">
      <c r="A45" s="18"/>
      <c r="B45" s="21" t="str">
        <f>'Var Vorgaben'!B135</f>
        <v>Schnittholzhacker</v>
      </c>
      <c r="C45" s="59">
        <f>'Var Vorgaben'!E135</f>
        <v>1</v>
      </c>
      <c r="D45" s="428">
        <f>'Var Vorgaben'!C135</f>
        <v>3</v>
      </c>
      <c r="E45" s="63">
        <f>'Var Vorgaben'!$D$135*(1+Eingabeseite!C28)</f>
        <v>68.3</v>
      </c>
      <c r="F45" s="208">
        <f>E45*D45*C45</f>
        <v>204.89999999999998</v>
      </c>
      <c r="G45" s="768">
        <f t="shared" si="2"/>
        <v>2.3563913767605366E-3</v>
      </c>
      <c r="H45" s="19"/>
      <c r="I45" s="19"/>
      <c r="J45" s="182">
        <f>'Var Vorgaben'!H135</f>
        <v>29.05</v>
      </c>
      <c r="K45" s="20">
        <f>C45*D45*J45</f>
        <v>87.15</v>
      </c>
    </row>
    <row r="46" spans="1:11" ht="13" x14ac:dyDescent="0.3">
      <c r="A46" s="18"/>
      <c r="B46" s="21" t="s">
        <v>146</v>
      </c>
      <c r="C46" s="47"/>
      <c r="D46" s="438">
        <f>(C38*D38)+(C39*D39)+(C40*D40)+(D41)+(C43*D43)+(C45*D45)</f>
        <v>135.33333333333331</v>
      </c>
      <c r="E46" s="63"/>
      <c r="F46" s="118">
        <f>SUM(F38:F45)</f>
        <v>5624.2333333333327</v>
      </c>
      <c r="G46" s="821">
        <f t="shared" si="2"/>
        <v>6.4679819070550676E-2</v>
      </c>
      <c r="H46" s="19"/>
      <c r="I46" s="19"/>
      <c r="J46" s="182"/>
    </row>
    <row r="47" spans="1:11" ht="12.75" customHeight="1" x14ac:dyDescent="0.3">
      <c r="A47" s="159"/>
      <c r="B47" s="64" t="str">
        <f>'Var Vorgaben'!B126</f>
        <v>Obstbautraktor 4-Rad</v>
      </c>
      <c r="C47" s="47"/>
      <c r="D47" s="439">
        <f>D46</f>
        <v>135.33333333333331</v>
      </c>
      <c r="E47" s="63">
        <f>'Var Vorgaben'!$D$126*(1+Eingabeseite!C28)</f>
        <v>41</v>
      </c>
      <c r="F47" s="118">
        <f>D47*E47</f>
        <v>5548.6666666666661</v>
      </c>
      <c r="G47" s="768">
        <f t="shared" si="2"/>
        <v>6.3810787144226278E-2</v>
      </c>
      <c r="H47" s="769">
        <f>D41</f>
        <v>108.33333333333333</v>
      </c>
      <c r="I47" s="19" t="s">
        <v>147</v>
      </c>
      <c r="J47" s="196">
        <f>'Var Vorgaben'!H141</f>
        <v>0</v>
      </c>
      <c r="K47" s="195">
        <f>D47*J47</f>
        <v>0</v>
      </c>
    </row>
    <row r="48" spans="1:11" ht="13.5" customHeight="1" thickBot="1" x14ac:dyDescent="0.35">
      <c r="A48" s="149"/>
      <c r="B48" s="21" t="str">
        <f>'Var Vorgaben'!B137</f>
        <v>Diverse Kleingeräte</v>
      </c>
      <c r="C48" s="47"/>
      <c r="D48" s="47"/>
      <c r="E48" s="63"/>
      <c r="F48" s="919">
        <f>'Var Vorgaben'!$D$137</f>
        <v>500</v>
      </c>
      <c r="G48" s="768">
        <f t="shared" si="2"/>
        <v>5.7501009681809098E-3</v>
      </c>
      <c r="H48" s="19"/>
      <c r="I48" s="19"/>
      <c r="K48" s="20">
        <f>F48</f>
        <v>500</v>
      </c>
    </row>
    <row r="49" spans="1:11" ht="13.5" thickBot="1" x14ac:dyDescent="0.35">
      <c r="A49" s="109"/>
      <c r="B49" s="21"/>
      <c r="C49" s="47"/>
      <c r="D49" s="47"/>
      <c r="E49" s="63"/>
      <c r="F49" s="118">
        <f>F48+F47+F46</f>
        <v>11672.899999999998</v>
      </c>
      <c r="G49" s="818">
        <f t="shared" si="2"/>
        <v>0.13424070718295786</v>
      </c>
      <c r="H49" s="19"/>
      <c r="I49" s="824" t="s">
        <v>156</v>
      </c>
      <c r="K49" s="298">
        <f>SUM(K38:K48)</f>
        <v>1036.8400000000001</v>
      </c>
    </row>
    <row r="50" spans="1:11" ht="13" thickTop="1" x14ac:dyDescent="0.25">
      <c r="B50" s="21"/>
      <c r="C50" s="59"/>
      <c r="D50" s="123" t="s">
        <v>34</v>
      </c>
      <c r="E50" s="126" t="s">
        <v>28</v>
      </c>
      <c r="F50" s="124" t="s">
        <v>29</v>
      </c>
      <c r="G50" s="768"/>
      <c r="H50" s="19"/>
      <c r="I50" s="19"/>
    </row>
    <row r="51" spans="1:11" ht="16" thickBot="1" x14ac:dyDescent="0.4">
      <c r="A51" s="391" t="s">
        <v>76</v>
      </c>
      <c r="B51" s="21" t="s">
        <v>36</v>
      </c>
      <c r="C51" s="59"/>
      <c r="D51" s="429">
        <f>C40*D40</f>
        <v>2</v>
      </c>
      <c r="E51" s="63">
        <f>'Var Vorgaben'!$C$30</f>
        <v>32.700000000000003</v>
      </c>
      <c r="F51" s="45">
        <f>D51*E51</f>
        <v>65.400000000000006</v>
      </c>
      <c r="G51" s="768">
        <f t="shared" ref="G51:G66" si="3">F51/$F$66</f>
        <v>7.52113206638063E-4</v>
      </c>
      <c r="H51" s="19"/>
      <c r="I51" s="825" t="s">
        <v>278</v>
      </c>
      <c r="K51" s="299">
        <f>F49-K49</f>
        <v>10636.059999999998</v>
      </c>
    </row>
    <row r="52" spans="1:11" ht="13.5" thickTop="1" x14ac:dyDescent="0.3">
      <c r="A52" s="18"/>
      <c r="B52" s="4" t="s">
        <v>223</v>
      </c>
      <c r="D52" s="142">
        <f>((C38*D38)+(C39*D39))+'Var Vorgaben'!B86+'Var Vorgaben'!C86</f>
        <v>39</v>
      </c>
      <c r="E52" s="63">
        <f>'Var Vorgaben'!$C$30</f>
        <v>32.700000000000003</v>
      </c>
      <c r="F52" s="45">
        <f t="shared" ref="F52:F59" si="4">D52*E52</f>
        <v>1275.3000000000002</v>
      </c>
      <c r="G52" s="768">
        <f t="shared" si="3"/>
        <v>1.466620752944223E-2</v>
      </c>
      <c r="H52" s="19"/>
      <c r="I52" s="19"/>
    </row>
    <row r="53" spans="1:11" x14ac:dyDescent="0.25">
      <c r="B53" s="87" t="s">
        <v>399</v>
      </c>
      <c r="C53" s="47"/>
      <c r="D53" s="189">
        <f>'Var Vorgaben'!D86</f>
        <v>100</v>
      </c>
      <c r="E53" s="63">
        <f>'Var Vorgaben'!$C$30</f>
        <v>32.700000000000003</v>
      </c>
      <c r="F53" s="45">
        <f t="shared" si="4"/>
        <v>3270.0000000000005</v>
      </c>
      <c r="G53" s="768">
        <f t="shared" si="3"/>
        <v>3.760566033190315E-2</v>
      </c>
      <c r="H53" s="19"/>
      <c r="I53" s="19"/>
    </row>
    <row r="54" spans="1:11" ht="13" x14ac:dyDescent="0.3">
      <c r="A54" s="18"/>
      <c r="B54" s="4" t="s">
        <v>128</v>
      </c>
      <c r="C54" s="55"/>
      <c r="D54" s="55">
        <f>(C43*D43)+(C45*D45)</f>
        <v>6</v>
      </c>
      <c r="E54" s="56">
        <f>'Var Vorgaben'!$C$30</f>
        <v>32.700000000000003</v>
      </c>
      <c r="F54" s="57">
        <f t="shared" si="4"/>
        <v>196.20000000000002</v>
      </c>
      <c r="G54" s="768">
        <f t="shared" si="3"/>
        <v>2.256339619914189E-3</v>
      </c>
      <c r="H54" s="19"/>
      <c r="I54" s="19"/>
    </row>
    <row r="55" spans="1:11" ht="13" x14ac:dyDescent="0.3">
      <c r="A55" s="18"/>
      <c r="B55" s="4" t="s">
        <v>524</v>
      </c>
      <c r="C55" s="54"/>
      <c r="D55" s="55">
        <f>'Var Vorgaben'!E86+(C39*D39)</f>
        <v>3</v>
      </c>
      <c r="E55" s="56">
        <f>'Var Vorgaben'!$C$30</f>
        <v>32.700000000000003</v>
      </c>
      <c r="F55" s="57">
        <f t="shared" si="4"/>
        <v>98.100000000000009</v>
      </c>
      <c r="G55" s="768">
        <f t="shared" si="3"/>
        <v>1.1281698099570945E-3</v>
      </c>
      <c r="H55" s="19"/>
      <c r="I55" s="19"/>
    </row>
    <row r="56" spans="1:11" ht="13" x14ac:dyDescent="0.3">
      <c r="A56" s="18"/>
      <c r="B56" s="107" t="s">
        <v>525</v>
      </c>
      <c r="C56" s="910">
        <f>'Var Vorgaben'!F80</f>
        <v>12</v>
      </c>
      <c r="D56" s="911">
        <f>D11/C56</f>
        <v>1083.3333333333333</v>
      </c>
      <c r="E56" s="56">
        <f>'Var Vorgaben'!C29</f>
        <v>22.62</v>
      </c>
      <c r="F56" s="57">
        <f t="shared" si="4"/>
        <v>24505</v>
      </c>
      <c r="G56" s="768">
        <f t="shared" si="3"/>
        <v>0.28181244845054637</v>
      </c>
      <c r="H56" s="19"/>
      <c r="I56" s="19"/>
    </row>
    <row r="57" spans="1:11" ht="13" x14ac:dyDescent="0.3">
      <c r="A57" s="18"/>
      <c r="B57" s="100" t="s">
        <v>254</v>
      </c>
      <c r="C57" s="54"/>
      <c r="D57" s="55">
        <f>'Var Erstellung'!$D$124+'Var Erstellung'!$D$125</f>
        <v>40</v>
      </c>
      <c r="E57" s="56">
        <f>'Var Vorgaben'!$C$29</f>
        <v>22.62</v>
      </c>
      <c r="F57" s="57">
        <f t="shared" si="4"/>
        <v>904.80000000000007</v>
      </c>
      <c r="G57" s="768">
        <f t="shared" si="3"/>
        <v>1.0405382712020175E-2</v>
      </c>
      <c r="H57" s="19"/>
      <c r="I57" s="19"/>
    </row>
    <row r="58" spans="1:11" ht="13" x14ac:dyDescent="0.3">
      <c r="A58" s="18"/>
      <c r="B58" s="1" t="s">
        <v>460</v>
      </c>
      <c r="C58" s="54"/>
      <c r="D58" s="55">
        <f>'Var Erstellung'!$D$133</f>
        <v>20</v>
      </c>
      <c r="E58" s="56">
        <f>'Var Vorgaben'!$C$29</f>
        <v>22.62</v>
      </c>
      <c r="F58" s="57">
        <f>D58*E58</f>
        <v>452.40000000000003</v>
      </c>
      <c r="G58" s="768">
        <f t="shared" si="3"/>
        <v>5.2026913560100875E-3</v>
      </c>
      <c r="H58" s="19"/>
      <c r="I58" s="19"/>
    </row>
    <row r="59" spans="1:11" ht="13" x14ac:dyDescent="0.3">
      <c r="A59" s="18"/>
      <c r="B59" s="1" t="s">
        <v>445</v>
      </c>
      <c r="C59" s="54"/>
      <c r="D59" s="55">
        <f>'Var Erstellung'!D155</f>
        <v>14</v>
      </c>
      <c r="E59" s="56">
        <f>'Var Vorgaben'!$C$30</f>
        <v>32.700000000000003</v>
      </c>
      <c r="F59" s="57">
        <f t="shared" si="4"/>
        <v>457.80000000000007</v>
      </c>
      <c r="G59" s="768">
        <f t="shared" si="3"/>
        <v>5.2647924464664419E-3</v>
      </c>
      <c r="H59" s="19"/>
      <c r="I59" s="19"/>
    </row>
    <row r="60" spans="1:11" ht="13.5" thickBot="1" x14ac:dyDescent="0.35">
      <c r="A60" s="18"/>
      <c r="B60" s="4" t="s">
        <v>127</v>
      </c>
      <c r="C60" s="55"/>
      <c r="D60" s="911">
        <f>'Var Vorgaben'!F86+'Var Vorgaben'!G86</f>
        <v>50</v>
      </c>
      <c r="E60" s="56">
        <f>'Var Vorgaben'!$C$26</f>
        <v>41.4</v>
      </c>
      <c r="F60" s="917">
        <f>D60*E60</f>
        <v>2070</v>
      </c>
      <c r="G60" s="768">
        <f t="shared" si="3"/>
        <v>2.3805418008268964E-2</v>
      </c>
      <c r="H60" s="19"/>
      <c r="I60" s="19"/>
    </row>
    <row r="61" spans="1:11" ht="13" x14ac:dyDescent="0.3">
      <c r="A61" s="135" t="s">
        <v>113</v>
      </c>
      <c r="B61" s="591">
        <f>('Var Vorgaben'!F27*D55)+('Var Vorgaben'!F27*D56)</f>
        <v>977.7</v>
      </c>
      <c r="C61" s="908" t="s">
        <v>111</v>
      </c>
      <c r="D61" s="909">
        <f>SUM(D51:D60)</f>
        <v>1357.3333333333333</v>
      </c>
      <c r="E61" s="56"/>
      <c r="F61" s="118">
        <f>SUM(F51:F60)</f>
        <v>33295</v>
      </c>
      <c r="G61" s="818">
        <f t="shared" si="3"/>
        <v>0.38289922347116678</v>
      </c>
      <c r="H61" s="19"/>
      <c r="I61" s="19"/>
    </row>
    <row r="62" spans="1:11" ht="15.5" x14ac:dyDescent="0.35">
      <c r="A62" s="391" t="s">
        <v>79</v>
      </c>
      <c r="B62" s="21" t="s">
        <v>77</v>
      </c>
      <c r="C62" s="47"/>
      <c r="D62" s="47"/>
      <c r="E62" s="63"/>
      <c r="F62" s="120">
        <f>'Var Vorgaben'!C36</f>
        <v>660</v>
      </c>
      <c r="G62" s="821">
        <f t="shared" si="3"/>
        <v>7.5901332779988008E-3</v>
      </c>
      <c r="H62" s="19"/>
      <c r="I62" s="19"/>
    </row>
    <row r="63" spans="1:11" ht="13" thickBot="1" x14ac:dyDescent="0.3">
      <c r="B63" t="s">
        <v>261</v>
      </c>
      <c r="C63" s="242">
        <f>'Var Vorgaben'!C35</f>
        <v>0.6</v>
      </c>
      <c r="D63" s="243">
        <f>Eingabeseite!D36</f>
        <v>1.4999999999999999E-2</v>
      </c>
      <c r="E63" s="120">
        <f>C31</f>
        <v>232884.50772014214</v>
      </c>
      <c r="F63" s="208">
        <f>$D$63*E63*$C$63</f>
        <v>2095.960569481279</v>
      </c>
      <c r="G63" s="821">
        <f t="shared" si="3"/>
        <v>2.4103969799686625E-2</v>
      </c>
      <c r="H63" s="19"/>
      <c r="I63" s="19"/>
    </row>
    <row r="64" spans="1:11" ht="13.5" thickBot="1" x14ac:dyDescent="0.35">
      <c r="F64" s="828">
        <f>SUM(F62:F63)</f>
        <v>2755.960569481279</v>
      </c>
      <c r="G64" s="818">
        <f t="shared" si="3"/>
        <v>3.1694103077685429E-2</v>
      </c>
      <c r="H64" s="19"/>
      <c r="I64" s="19"/>
    </row>
    <row r="65" spans="1:11" ht="16" thickBot="1" x14ac:dyDescent="0.4">
      <c r="A65" s="475" t="s">
        <v>42</v>
      </c>
      <c r="B65" s="476"/>
      <c r="C65" s="597"/>
      <c r="D65" s="477"/>
      <c r="E65" s="478"/>
      <c r="F65" s="827">
        <f>F64+F61+F49+F36</f>
        <v>48173.860569481272</v>
      </c>
      <c r="G65" s="820">
        <f t="shared" si="3"/>
        <v>0.55400912460317275</v>
      </c>
      <c r="H65" s="19"/>
      <c r="I65" s="19"/>
    </row>
    <row r="66" spans="1:11" s="76" customFormat="1" ht="24.75" customHeight="1" thickBot="1" x14ac:dyDescent="0.45">
      <c r="A66" s="487" t="s">
        <v>328</v>
      </c>
      <c r="B66" s="476"/>
      <c r="C66" s="597"/>
      <c r="D66" s="477"/>
      <c r="E66" s="478"/>
      <c r="F66" s="598">
        <f>F65+F35</f>
        <v>86954.994836930491</v>
      </c>
      <c r="G66" s="820">
        <f t="shared" si="3"/>
        <v>1</v>
      </c>
      <c r="H66" s="810"/>
      <c r="I66" s="810"/>
      <c r="J66" s="186"/>
      <c r="K66" s="192"/>
    </row>
    <row r="67" spans="1:11" s="76" customFormat="1" ht="15" customHeight="1" x14ac:dyDescent="0.4">
      <c r="A67" s="406" t="s">
        <v>80</v>
      </c>
      <c r="B67" s="431"/>
      <c r="C67" s="432"/>
      <c r="D67" s="433"/>
      <c r="E67" s="434"/>
      <c r="F67" s="435">
        <f>F13-F66</f>
        <v>-9496.8948369304708</v>
      </c>
      <c r="G67" s="809"/>
      <c r="H67" s="810"/>
      <c r="I67" s="810"/>
      <c r="J67" s="186"/>
      <c r="K67" s="192"/>
    </row>
    <row r="68" spans="1:11" s="76" customFormat="1" ht="18.75" customHeight="1" x14ac:dyDescent="0.4">
      <c r="A68" s="406" t="s">
        <v>405</v>
      </c>
      <c r="B68" s="431"/>
      <c r="C68" s="432"/>
      <c r="D68" s="433"/>
      <c r="E68" s="434"/>
      <c r="F68" s="445">
        <f>F13/F66</f>
        <v>0.89078379160690768</v>
      </c>
      <c r="G68" s="809"/>
      <c r="H68" s="810"/>
      <c r="I68" s="810"/>
      <c r="J68" s="186"/>
      <c r="K68" s="192"/>
    </row>
    <row r="69" spans="1:11" s="76" customFormat="1" ht="18.75" customHeight="1" x14ac:dyDescent="0.4">
      <c r="A69" s="406" t="s">
        <v>406</v>
      </c>
      <c r="B69" s="431"/>
      <c r="C69" s="432"/>
      <c r="D69" s="433"/>
      <c r="E69" s="434"/>
      <c r="F69" s="446">
        <f>F67+F29</f>
        <v>5349.7864730813744</v>
      </c>
      <c r="G69" s="809"/>
      <c r="H69" s="810"/>
      <c r="I69" s="810"/>
      <c r="J69" s="186"/>
      <c r="K69" s="192"/>
    </row>
    <row r="70" spans="1:11" s="1" customFormat="1" ht="16.5" customHeight="1" x14ac:dyDescent="0.3">
      <c r="A70" s="402" t="s">
        <v>81</v>
      </c>
      <c r="B70" s="100"/>
      <c r="C70" s="374"/>
      <c r="D70" s="429"/>
      <c r="E70" s="224"/>
      <c r="F70" s="435">
        <f>F66-F61</f>
        <v>53659.994836930491</v>
      </c>
      <c r="G70" s="768"/>
      <c r="H70" s="811"/>
      <c r="I70" s="25"/>
      <c r="J70" s="47"/>
      <c r="K70" s="189"/>
    </row>
    <row r="71" spans="1:11" ht="14.5" thickBot="1" x14ac:dyDescent="0.35">
      <c r="A71" s="406" t="s">
        <v>407</v>
      </c>
      <c r="B71" s="107"/>
      <c r="C71" s="107"/>
      <c r="D71" s="107"/>
      <c r="E71" s="107"/>
      <c r="F71" s="444">
        <f>F13-F70</f>
        <v>23798.105163069529</v>
      </c>
      <c r="G71" s="19"/>
      <c r="H71" s="812"/>
      <c r="I71" s="19"/>
    </row>
    <row r="72" spans="1:11" ht="18.5" thickBot="1" x14ac:dyDescent="0.45">
      <c r="A72" s="487" t="s">
        <v>82</v>
      </c>
      <c r="B72" s="475"/>
      <c r="C72" s="475"/>
      <c r="D72" s="475"/>
      <c r="E72" s="475"/>
      <c r="F72" s="601">
        <f>F71/D61</f>
        <v>17.532985139786</v>
      </c>
      <c r="G72" s="19"/>
      <c r="H72" s="19"/>
      <c r="I72" s="19"/>
    </row>
    <row r="73" spans="1:11" s="22" customFormat="1" ht="16" thickBot="1" x14ac:dyDescent="0.4">
      <c r="A73" s="475" t="s">
        <v>112</v>
      </c>
      <c r="B73" s="475"/>
      <c r="C73" s="475"/>
      <c r="D73" s="475"/>
      <c r="E73" s="475"/>
      <c r="F73" s="826">
        <f>(F71-(B61*'Var Vorgaben'!C28))/(D61-B61)</f>
        <v>7.316415391350068</v>
      </c>
      <c r="G73" s="101"/>
      <c r="H73" s="101"/>
      <c r="I73" s="101"/>
      <c r="J73" s="187"/>
      <c r="K73" s="193"/>
    </row>
    <row r="74" spans="1:11" s="75" customFormat="1" ht="22.5" customHeight="1" x14ac:dyDescent="0.3">
      <c r="A74" s="402" t="s">
        <v>327</v>
      </c>
      <c r="B74" s="107" t="s">
        <v>326</v>
      </c>
      <c r="C74" s="436">
        <f>F11-F35</f>
        <v>37576.965732550801</v>
      </c>
      <c r="D74" s="125" t="s">
        <v>106</v>
      </c>
      <c r="E74" s="125"/>
      <c r="F74" s="435">
        <f>F13-F35</f>
        <v>38676.965732550801</v>
      </c>
      <c r="G74" s="814"/>
      <c r="H74" s="814"/>
      <c r="I74" s="814"/>
      <c r="J74" s="188"/>
      <c r="K74" s="194"/>
    </row>
    <row r="75" spans="1:11" ht="15.75" customHeight="1" x14ac:dyDescent="0.3">
      <c r="A75" s="447" t="s">
        <v>158</v>
      </c>
      <c r="B75" s="1372" t="s">
        <v>159</v>
      </c>
      <c r="C75" s="1372"/>
      <c r="D75" s="1372"/>
      <c r="E75" s="1372"/>
      <c r="F75" s="804">
        <f>K49+F61+F17+F24+F28</f>
        <v>44347.726999999999</v>
      </c>
      <c r="G75" s="25"/>
      <c r="H75" s="19"/>
      <c r="I75" s="19"/>
    </row>
    <row r="76" spans="1:11" ht="15" customHeight="1" x14ac:dyDescent="0.3">
      <c r="A76" s="406" t="s">
        <v>182</v>
      </c>
      <c r="B76" s="1" t="s">
        <v>183</v>
      </c>
      <c r="C76" s="1"/>
      <c r="D76" s="1"/>
      <c r="E76" s="1"/>
      <c r="F76" s="808">
        <f>F13/D61</f>
        <v>57.06638015717094</v>
      </c>
      <c r="G76" s="25"/>
      <c r="H76" s="19"/>
      <c r="I76" s="19"/>
    </row>
    <row r="77" spans="1:11" ht="15.75" customHeight="1" x14ac:dyDescent="0.3">
      <c r="A77" s="406"/>
      <c r="B77" s="1" t="s">
        <v>412</v>
      </c>
      <c r="C77" s="1"/>
      <c r="D77" s="1"/>
      <c r="E77" s="1"/>
      <c r="F77" s="806">
        <f>D7/D61</f>
        <v>4.3099214145383122</v>
      </c>
      <c r="G77" s="25"/>
      <c r="H77" s="19"/>
      <c r="I77" s="19"/>
    </row>
    <row r="78" spans="1:11" ht="15" customHeight="1" x14ac:dyDescent="0.3">
      <c r="A78" s="406" t="s">
        <v>184</v>
      </c>
      <c r="B78" s="1" t="s">
        <v>299</v>
      </c>
      <c r="C78" s="1"/>
      <c r="D78" s="1"/>
      <c r="E78" s="1"/>
      <c r="F78" s="807">
        <f>(F67+F63)/E63</f>
        <v>-3.1779418647902985E-2</v>
      </c>
      <c r="G78" s="25"/>
      <c r="H78" s="19"/>
      <c r="I78" s="19"/>
    </row>
    <row r="79" spans="1:11" ht="20" x14ac:dyDescent="0.4">
      <c r="A79" s="462" t="s">
        <v>107</v>
      </c>
      <c r="B79" s="475" t="s">
        <v>108</v>
      </c>
      <c r="C79" s="392"/>
      <c r="D79" s="392"/>
      <c r="E79" s="392"/>
      <c r="F79" s="602">
        <f>F66/D11</f>
        <v>6.6888457566869608</v>
      </c>
      <c r="G79" s="19"/>
      <c r="H79" s="19"/>
      <c r="I79" s="19"/>
    </row>
    <row r="80" spans="1:11" ht="16" thickBot="1" x14ac:dyDescent="0.4">
      <c r="D80" s="42" t="s">
        <v>83</v>
      </c>
      <c r="E80" s="42" t="s">
        <v>84</v>
      </c>
      <c r="F80" s="321"/>
      <c r="G80" s="19"/>
      <c r="H80" s="815"/>
      <c r="I80" s="19"/>
    </row>
    <row r="81" spans="1:11" ht="15.5" x14ac:dyDescent="0.35">
      <c r="A81" s="475" t="s">
        <v>157</v>
      </c>
      <c r="B81" s="451" t="s">
        <v>97</v>
      </c>
      <c r="C81" s="716" t="str">
        <f>B7</f>
        <v>28+ mm</v>
      </c>
      <c r="D81" s="211">
        <f>F7/F11</f>
        <v>0.5431840236988611</v>
      </c>
      <c r="E81" s="84">
        <f>D81*F66</f>
        <v>47232.563976237594</v>
      </c>
      <c r="F81" s="448">
        <f>E81/D7</f>
        <v>8.0739425600406118</v>
      </c>
      <c r="G81" s="19"/>
      <c r="H81" s="816"/>
      <c r="I81" s="19"/>
    </row>
    <row r="82" spans="1:11" ht="14" x14ac:dyDescent="0.3">
      <c r="A82" s="282" t="s">
        <v>408</v>
      </c>
      <c r="C82" s="716" t="str">
        <f>B8</f>
        <v>24+ mm</v>
      </c>
      <c r="D82" s="211">
        <f>F8/F11</f>
        <v>0.4568159763011389</v>
      </c>
      <c r="E82" s="84">
        <f>D82*F66</f>
        <v>39722.430860692897</v>
      </c>
      <c r="F82" s="449">
        <f>E82/D8</f>
        <v>6.3657741763930904</v>
      </c>
      <c r="G82" s="19"/>
      <c r="H82" s="19"/>
      <c r="I82" s="19"/>
    </row>
    <row r="83" spans="1:11" s="1" customFormat="1" ht="14" x14ac:dyDescent="0.3">
      <c r="A83" s="125"/>
      <c r="B83" s="25"/>
      <c r="C83" s="716" t="str">
        <f>B9</f>
        <v xml:space="preserve"> 22+ mm</v>
      </c>
      <c r="D83" s="211">
        <f>F9/F11</f>
        <v>0</v>
      </c>
      <c r="E83" s="84">
        <f>D83*F66</f>
        <v>0</v>
      </c>
      <c r="F83" s="449" t="e">
        <f>E83/D9</f>
        <v>#DIV/0!</v>
      </c>
      <c r="G83" s="25"/>
      <c r="H83" s="25"/>
      <c r="I83" s="25"/>
      <c r="J83" s="47"/>
      <c r="K83" s="189"/>
    </row>
    <row r="84" spans="1:11" s="19" customFormat="1" ht="14.5" thickBot="1" x14ac:dyDescent="0.35">
      <c r="C84" s="103" t="str">
        <f>B10</f>
        <v xml:space="preserve"> Abgang</v>
      </c>
      <c r="D84" s="211">
        <f>F10/F11</f>
        <v>0</v>
      </c>
      <c r="E84" s="84">
        <f>D84*F66</f>
        <v>0</v>
      </c>
      <c r="F84" s="450">
        <f>E84/D10</f>
        <v>0</v>
      </c>
      <c r="J84" s="13"/>
      <c r="K84" s="153"/>
    </row>
    <row r="85" spans="1:11" ht="18" x14ac:dyDescent="0.4">
      <c r="A85" s="487" t="s">
        <v>287</v>
      </c>
      <c r="B85" s="392"/>
      <c r="C85" s="392"/>
      <c r="D85" s="392"/>
      <c r="E85" s="392"/>
      <c r="F85" s="603"/>
      <c r="G85" s="1"/>
    </row>
    <row r="86" spans="1:11" x14ac:dyDescent="0.25">
      <c r="F86" s="49"/>
    </row>
    <row r="87" spans="1:11" s="257" customFormat="1" ht="21.75" customHeight="1" x14ac:dyDescent="0.25">
      <c r="A87" s="310" t="s">
        <v>288</v>
      </c>
      <c r="B87" s="272" t="s">
        <v>167</v>
      </c>
      <c r="C87" s="311" t="s">
        <v>289</v>
      </c>
      <c r="J87" s="272"/>
      <c r="K87" s="312"/>
    </row>
    <row r="88" spans="1:11" x14ac:dyDescent="0.25">
      <c r="A88" t="s">
        <v>218</v>
      </c>
      <c r="B88" s="45">
        <f>F61</f>
        <v>33295</v>
      </c>
      <c r="C88" s="317">
        <f>B88/$B$91</f>
        <v>0.38289922347116678</v>
      </c>
    </row>
    <row r="89" spans="1:11" x14ac:dyDescent="0.25">
      <c r="A89" t="s">
        <v>290</v>
      </c>
      <c r="B89" s="45">
        <f>F64</f>
        <v>2755.960569481279</v>
      </c>
      <c r="C89" s="317">
        <f>B89/$B$91</f>
        <v>3.1694103077685429E-2</v>
      </c>
    </row>
    <row r="90" spans="1:11" x14ac:dyDescent="0.25">
      <c r="A90" s="42" t="s">
        <v>291</v>
      </c>
      <c r="B90" s="117">
        <f>B91-B88-B89</f>
        <v>50904.034267449213</v>
      </c>
      <c r="C90" s="452">
        <f>B90/$B$91</f>
        <v>0.58540667345114783</v>
      </c>
    </row>
    <row r="91" spans="1:11" ht="13" x14ac:dyDescent="0.3">
      <c r="A91" s="1" t="str">
        <f>A66</f>
        <v>Produktionskosten pro ha</v>
      </c>
      <c r="B91" s="209">
        <f>F66</f>
        <v>86954.994836930491</v>
      </c>
      <c r="C91" s="317">
        <f>SUM(C88:C90)</f>
        <v>1</v>
      </c>
      <c r="D91" s="12"/>
    </row>
    <row r="92" spans="1:11" x14ac:dyDescent="0.25">
      <c r="A92" s="1"/>
      <c r="F92" s="49"/>
    </row>
    <row r="93" spans="1:11" x14ac:dyDescent="0.25">
      <c r="A93" s="1"/>
      <c r="F93" s="49"/>
    </row>
    <row r="94" spans="1:11" s="257" customFormat="1" ht="30.75" customHeight="1" x14ac:dyDescent="0.25">
      <c r="A94" s="416" t="s">
        <v>345</v>
      </c>
      <c r="B94" s="272" t="s">
        <v>167</v>
      </c>
      <c r="C94" s="314" t="s">
        <v>356</v>
      </c>
      <c r="D94" s="315"/>
      <c r="J94" s="272"/>
      <c r="K94" s="312"/>
    </row>
    <row r="95" spans="1:11" x14ac:dyDescent="0.25">
      <c r="A95" s="100" t="str">
        <f>B62</f>
        <v>für Boden</v>
      </c>
      <c r="B95" s="45">
        <f>F62</f>
        <v>660</v>
      </c>
      <c r="C95" s="246">
        <f>B95/$B$97</f>
        <v>0.23948092991919104</v>
      </c>
    </row>
    <row r="96" spans="1:11" x14ac:dyDescent="0.25">
      <c r="A96" s="417" t="str">
        <f>B63</f>
        <v xml:space="preserve">für Investition Kirschenanlage </v>
      </c>
      <c r="B96" s="117">
        <f>F63</f>
        <v>2095.960569481279</v>
      </c>
      <c r="C96" s="453">
        <f>B96/$B$97</f>
        <v>0.76051907008080899</v>
      </c>
    </row>
    <row r="97" spans="1:3" ht="13" x14ac:dyDescent="0.3">
      <c r="A97" s="334" t="s">
        <v>290</v>
      </c>
      <c r="B97" s="209">
        <f>SUM(B95:B96)</f>
        <v>2755.960569481279</v>
      </c>
      <c r="C97" s="246">
        <f>SUM(C95:C96)</f>
        <v>1</v>
      </c>
    </row>
    <row r="98" spans="1:3" ht="13" x14ac:dyDescent="0.3">
      <c r="A98" s="334"/>
      <c r="B98" s="45"/>
      <c r="C98" s="335"/>
    </row>
    <row r="100" spans="1:3" ht="26" x14ac:dyDescent="0.25">
      <c r="A100" s="313" t="s">
        <v>292</v>
      </c>
      <c r="B100" s="272" t="s">
        <v>167</v>
      </c>
      <c r="C100" s="314" t="s">
        <v>356</v>
      </c>
    </row>
    <row r="101" spans="1:3" x14ac:dyDescent="0.25">
      <c r="A101" s="100" t="str">
        <f>B56</f>
        <v>Ernte (inkl. Sortieren  ohne kalibrieren)</v>
      </c>
      <c r="B101" s="45">
        <f>F56</f>
        <v>24505</v>
      </c>
      <c r="C101" s="246">
        <f>B101/B111</f>
        <v>0.73599639585523347</v>
      </c>
    </row>
    <row r="102" spans="1:3" x14ac:dyDescent="0.25">
      <c r="A102" s="1" t="str">
        <f>B53</f>
        <v>Baumerziehung (Sommer + Winter)</v>
      </c>
      <c r="B102" s="45">
        <f>F53</f>
        <v>3270.0000000000005</v>
      </c>
      <c r="C102" s="108">
        <f>B102/B111</f>
        <v>9.8212944886619621E-2</v>
      </c>
    </row>
    <row r="103" spans="1:3" x14ac:dyDescent="0.25">
      <c r="A103" s="412" t="str">
        <f>B55</f>
        <v>Behangsregulierung (chemisch)</v>
      </c>
      <c r="B103" s="45">
        <f>F55</f>
        <v>98.100000000000009</v>
      </c>
      <c r="C103" s="108">
        <f>B103/B111</f>
        <v>2.9463883465985887E-3</v>
      </c>
    </row>
    <row r="104" spans="1:3" x14ac:dyDescent="0.25">
      <c r="A104" s="413" t="str">
        <f>B60</f>
        <v>Verwaltung + übrige Arbeiten</v>
      </c>
      <c r="B104" s="45">
        <f>F60</f>
        <v>2070</v>
      </c>
      <c r="C104" s="108">
        <f>B104/B111</f>
        <v>6.2171497221805073E-2</v>
      </c>
    </row>
    <row r="105" spans="1:3" x14ac:dyDescent="0.25">
      <c r="A105" s="413" t="str">
        <f>B57</f>
        <v>Regendachfolie:  Ausrollen + Einrollen</v>
      </c>
      <c r="B105" s="45">
        <f>F57</f>
        <v>904.80000000000007</v>
      </c>
      <c r="C105" s="108">
        <f>B105/B111</f>
        <v>2.7175251539270164E-2</v>
      </c>
    </row>
    <row r="106" spans="1:3" x14ac:dyDescent="0.25">
      <c r="A106" s="1" t="s">
        <v>460</v>
      </c>
      <c r="B106" s="45">
        <f>F58</f>
        <v>452.40000000000003</v>
      </c>
      <c r="C106" s="108">
        <f>B106/B111</f>
        <v>1.3587625769635082E-2</v>
      </c>
    </row>
    <row r="107" spans="1:3" x14ac:dyDescent="0.25">
      <c r="A107" s="1" t="s">
        <v>445</v>
      </c>
      <c r="B107" s="45">
        <f>F59</f>
        <v>457.80000000000007</v>
      </c>
      <c r="C107" s="108">
        <f>B107/B111</f>
        <v>1.3749812284126748E-2</v>
      </c>
    </row>
    <row r="108" spans="1:3" x14ac:dyDescent="0.25">
      <c r="A108" s="413" t="str">
        <f>B52</f>
        <v>Pflanzenschutz inkl. Kontrolle und Mausen</v>
      </c>
      <c r="B108" s="45">
        <f>F52</f>
        <v>1275.3000000000002</v>
      </c>
      <c r="C108" s="108">
        <f>B108/B111</f>
        <v>3.8303048505781652E-2</v>
      </c>
    </row>
    <row r="109" spans="1:3" x14ac:dyDescent="0.25">
      <c r="A109" s="413" t="str">
        <f>B54</f>
        <v>Mulchen und Schnittholz hacken</v>
      </c>
      <c r="B109" s="45">
        <f>F54</f>
        <v>196.20000000000002</v>
      </c>
      <c r="C109" s="108">
        <f>B109/B111</f>
        <v>5.8927766931971774E-3</v>
      </c>
    </row>
    <row r="110" spans="1:3" x14ac:dyDescent="0.25">
      <c r="A110" s="414" t="str">
        <f>B51</f>
        <v>Düngung</v>
      </c>
      <c r="B110" s="117">
        <f>F51</f>
        <v>65.400000000000006</v>
      </c>
      <c r="C110" s="222">
        <f>B110/B111</f>
        <v>1.9642588977323923E-3</v>
      </c>
    </row>
    <row r="111" spans="1:3" ht="13" x14ac:dyDescent="0.3">
      <c r="A111" s="413" t="str">
        <f>A88</f>
        <v>Arbeitskosten</v>
      </c>
      <c r="B111" s="209">
        <f>SUM(B101:B110)</f>
        <v>33295</v>
      </c>
      <c r="C111" s="108">
        <f>SUM(C101:C110)</f>
        <v>1</v>
      </c>
    </row>
    <row r="112" spans="1:3" x14ac:dyDescent="0.25">
      <c r="B112" s="1"/>
    </row>
    <row r="113" spans="1:14" x14ac:dyDescent="0.25">
      <c r="B113" s="1"/>
      <c r="F113" s="49"/>
    </row>
    <row r="114" spans="1:14" ht="13" x14ac:dyDescent="0.25">
      <c r="A114" s="310" t="s">
        <v>293</v>
      </c>
      <c r="B114" s="285" t="s">
        <v>167</v>
      </c>
      <c r="C114" s="314" t="s">
        <v>356</v>
      </c>
      <c r="F114" s="49"/>
    </row>
    <row r="115" spans="1:14" s="257" customFormat="1" ht="12.75" customHeight="1" x14ac:dyDescent="0.25">
      <c r="A115" s="197" t="str">
        <f>A101</f>
        <v>Ernte (inkl. Sortieren  ohne kalibrieren)</v>
      </c>
      <c r="B115" s="45">
        <f>B101</f>
        <v>24505</v>
      </c>
      <c r="C115" s="317">
        <f>B115/B118</f>
        <v>0.73599639585523347</v>
      </c>
      <c r="D115" s="315"/>
      <c r="E115" s="315"/>
      <c r="F115" s="285"/>
      <c r="J115" s="272"/>
      <c r="K115" s="312"/>
    </row>
    <row r="116" spans="1:14" ht="13" x14ac:dyDescent="0.3">
      <c r="A116" s="197" t="str">
        <f>A102</f>
        <v>Baumerziehung (Sommer + Winter)</v>
      </c>
      <c r="B116" s="45">
        <f>B102</f>
        <v>3270.0000000000005</v>
      </c>
      <c r="C116" s="317">
        <f>B116/B118</f>
        <v>9.8212944886619621E-2</v>
      </c>
      <c r="D116" s="316"/>
      <c r="E116" s="45"/>
      <c r="F116" s="317"/>
    </row>
    <row r="117" spans="1:14" x14ac:dyDescent="0.25">
      <c r="A117" s="221" t="s">
        <v>294</v>
      </c>
      <c r="B117" s="117">
        <f>B103+B104+B105+B107+B108+B109+B110+B106</f>
        <v>5519.9999999999991</v>
      </c>
      <c r="C117" s="452">
        <f>B117/B118</f>
        <v>0.16579065925814684</v>
      </c>
    </row>
    <row r="118" spans="1:14" ht="18" customHeight="1" x14ac:dyDescent="0.3">
      <c r="A118" s="413" t="str">
        <f>A88</f>
        <v>Arbeitskosten</v>
      </c>
      <c r="B118" s="209">
        <f>SUM(B115:B117)</f>
        <v>33295</v>
      </c>
      <c r="C118" s="317">
        <f>SUM(C115:C117)</f>
        <v>0.99999999999999989</v>
      </c>
    </row>
    <row r="119" spans="1:14" x14ac:dyDescent="0.25">
      <c r="B119" s="1"/>
    </row>
    <row r="120" spans="1:14" x14ac:dyDescent="0.25">
      <c r="B120" s="1"/>
    </row>
    <row r="121" spans="1:14" ht="13" x14ac:dyDescent="0.25">
      <c r="A121" s="310" t="s">
        <v>295</v>
      </c>
      <c r="B121" s="285" t="s">
        <v>167</v>
      </c>
      <c r="C121" s="311" t="s">
        <v>346</v>
      </c>
    </row>
    <row r="122" spans="1:14" s="257" customFormat="1" ht="37.5" x14ac:dyDescent="0.25">
      <c r="A122" s="415" t="str">
        <f>A29</f>
        <v>Abschreibung Kirschenanlage (inkl. Regendach mit 1x Folie, Ernteschutznetz 1x, Bewässerungsanlage und Zaun)</v>
      </c>
      <c r="B122" s="454">
        <f>F31</f>
        <v>19407.042310011846</v>
      </c>
      <c r="C122" s="455">
        <f>B122/B125</f>
        <v>0.38124762780190402</v>
      </c>
      <c r="J122" s="272"/>
      <c r="K122" s="312"/>
    </row>
    <row r="123" spans="1:14" x14ac:dyDescent="0.25">
      <c r="A123" s="1" t="str">
        <f>A38</f>
        <v>Maschinen und Geräte</v>
      </c>
      <c r="B123" s="45">
        <f>F49</f>
        <v>11672.899999999998</v>
      </c>
      <c r="C123" s="317">
        <f>B123/B125</f>
        <v>0.22931188397899299</v>
      </c>
    </row>
    <row r="124" spans="1:14" x14ac:dyDescent="0.25">
      <c r="A124" s="221" t="s">
        <v>296</v>
      </c>
      <c r="B124" s="117">
        <f>B91-B97-B111-B122-B123</f>
        <v>19824.091957437369</v>
      </c>
      <c r="C124" s="452">
        <f>B124/B125</f>
        <v>0.38944048821910299</v>
      </c>
    </row>
    <row r="125" spans="1:14" ht="13" x14ac:dyDescent="0.3">
      <c r="A125" s="1" t="str">
        <f>A90</f>
        <v>Sachkosten</v>
      </c>
      <c r="B125" s="209">
        <f>SUM(B122:B124)</f>
        <v>50904.034267449213</v>
      </c>
      <c r="C125" s="317">
        <f>SUM(C122:C124)</f>
        <v>1</v>
      </c>
    </row>
    <row r="126" spans="1:14" x14ac:dyDescent="0.25">
      <c r="B126" s="1"/>
      <c r="J126"/>
      <c r="K126"/>
      <c r="M126" s="12"/>
      <c r="N126" s="20"/>
    </row>
    <row r="127" spans="1:14" x14ac:dyDescent="0.25">
      <c r="B127" s="1"/>
      <c r="J127"/>
      <c r="K127"/>
      <c r="M127" s="12"/>
      <c r="N127" s="20"/>
    </row>
    <row r="128" spans="1:14" ht="26" x14ac:dyDescent="0.25">
      <c r="A128" s="313" t="s">
        <v>297</v>
      </c>
      <c r="B128" s="285" t="s">
        <v>167</v>
      </c>
      <c r="C128" s="311" t="s">
        <v>289</v>
      </c>
      <c r="J128"/>
      <c r="K128"/>
      <c r="M128" s="12"/>
      <c r="N128" s="20"/>
    </row>
    <row r="129" spans="1:14" x14ac:dyDescent="0.25">
      <c r="A129" s="1" t="str">
        <f>A35</f>
        <v>Total Direktkosten</v>
      </c>
      <c r="B129" s="45">
        <f>F35</f>
        <v>38781.134267449219</v>
      </c>
      <c r="C129" s="317">
        <f>B129/B131</f>
        <v>0.44599087539682719</v>
      </c>
      <c r="J129"/>
      <c r="K129"/>
      <c r="M129" s="12"/>
      <c r="N129" s="20"/>
    </row>
    <row r="130" spans="1:14" x14ac:dyDescent="0.25">
      <c r="A130" s="221" t="str">
        <f>A65</f>
        <v>Total Strukturkosten</v>
      </c>
      <c r="B130" s="117">
        <f>F65</f>
        <v>48173.860569481272</v>
      </c>
      <c r="C130" s="452">
        <f>B130/B131</f>
        <v>0.55400912460317275</v>
      </c>
      <c r="J130"/>
      <c r="K130"/>
      <c r="M130" s="12"/>
      <c r="N130" s="20"/>
    </row>
    <row r="131" spans="1:14" ht="13" x14ac:dyDescent="0.3">
      <c r="A131" s="1" t="str">
        <f>A66</f>
        <v>Produktionskosten pro ha</v>
      </c>
      <c r="B131" s="209">
        <f>SUM(B129:B130)</f>
        <v>86954.994836930491</v>
      </c>
      <c r="C131" s="317">
        <f>SUM(C129:C130)</f>
        <v>1</v>
      </c>
      <c r="J131"/>
      <c r="K131"/>
      <c r="M131" s="12"/>
      <c r="N131" s="20"/>
    </row>
    <row r="132" spans="1:14" x14ac:dyDescent="0.25">
      <c r="B132" s="1"/>
      <c r="J132"/>
      <c r="K132"/>
      <c r="M132" s="12"/>
      <c r="N132" s="20"/>
    </row>
    <row r="133" spans="1:14" x14ac:dyDescent="0.25">
      <c r="J133"/>
      <c r="K133"/>
      <c r="M133" s="12"/>
      <c r="N133" s="20"/>
    </row>
    <row r="134" spans="1:14" ht="18" x14ac:dyDescent="0.4">
      <c r="A134" s="487" t="s">
        <v>347</v>
      </c>
      <c r="B134" s="392"/>
      <c r="C134" s="392"/>
      <c r="J134"/>
      <c r="K134"/>
      <c r="M134" s="12"/>
      <c r="N134" s="20"/>
    </row>
    <row r="135" spans="1:14" x14ac:dyDescent="0.25">
      <c r="B135" s="272" t="s">
        <v>167</v>
      </c>
      <c r="C135" s="311" t="s">
        <v>289</v>
      </c>
      <c r="J135"/>
      <c r="K135"/>
      <c r="M135" s="12"/>
      <c r="N135" s="20"/>
    </row>
    <row r="136" spans="1:14" ht="13" x14ac:dyDescent="0.3">
      <c r="A136" s="64" t="s">
        <v>348</v>
      </c>
      <c r="J136"/>
      <c r="K136"/>
      <c r="M136" s="12"/>
      <c r="N136" s="20"/>
    </row>
    <row r="137" spans="1:14" ht="13" x14ac:dyDescent="0.3">
      <c r="A137" s="71" t="s">
        <v>138</v>
      </c>
      <c r="B137" s="209">
        <f>F23</f>
        <v>2500</v>
      </c>
      <c r="C137" s="65">
        <f>B137/$F$66</f>
        <v>2.8750504840904547E-2</v>
      </c>
      <c r="J137"/>
      <c r="K137"/>
      <c r="M137" s="12"/>
      <c r="N137" s="20"/>
    </row>
    <row r="138" spans="1:14" x14ac:dyDescent="0.25">
      <c r="B138" s="45"/>
      <c r="C138" s="65"/>
      <c r="J138"/>
      <c r="K138"/>
      <c r="M138" s="12"/>
      <c r="N138" s="20"/>
    </row>
    <row r="139" spans="1:14" ht="13" x14ac:dyDescent="0.3">
      <c r="A139" s="64" t="s">
        <v>30</v>
      </c>
      <c r="B139" s="47"/>
      <c r="C139" s="65"/>
      <c r="J139"/>
      <c r="K139"/>
      <c r="M139" s="12"/>
      <c r="N139" s="20"/>
    </row>
    <row r="140" spans="1:14" x14ac:dyDescent="0.25">
      <c r="A140" s="1" t="s">
        <v>534</v>
      </c>
      <c r="B140" s="45">
        <f>F38</f>
        <v>592</v>
      </c>
      <c r="C140" s="336">
        <f>B140/$F$66</f>
        <v>6.8081195463261966E-3</v>
      </c>
      <c r="J140"/>
      <c r="K140"/>
      <c r="M140" s="12"/>
      <c r="N140" s="20"/>
    </row>
    <row r="141" spans="1:14" x14ac:dyDescent="0.25">
      <c r="A141" s="1" t="s">
        <v>537</v>
      </c>
      <c r="B141" s="45">
        <f>F39</f>
        <v>207</v>
      </c>
      <c r="C141" s="336">
        <f>B141/$F$66</f>
        <v>2.3805418008268965E-3</v>
      </c>
      <c r="J141"/>
      <c r="K141"/>
      <c r="M141" s="12"/>
      <c r="N141" s="20"/>
    </row>
    <row r="142" spans="1:14" x14ac:dyDescent="0.25">
      <c r="A142" s="1" t="s">
        <v>31</v>
      </c>
      <c r="B142" s="456">
        <f>((C38*D38)+(C39*D39))*E47</f>
        <v>779</v>
      </c>
      <c r="C142" s="337">
        <f>B142/$F$66</f>
        <v>8.9586573084258561E-3</v>
      </c>
      <c r="J142"/>
      <c r="K142"/>
      <c r="M142" s="12"/>
      <c r="N142" s="20"/>
    </row>
    <row r="143" spans="1:14" ht="13" x14ac:dyDescent="0.3">
      <c r="A143" s="1"/>
      <c r="B143" s="209">
        <f>SUM(B140:B142)</f>
        <v>1578</v>
      </c>
      <c r="C143" s="65">
        <f>SUM(C140:C142)</f>
        <v>1.8147318655578948E-2</v>
      </c>
      <c r="J143"/>
      <c r="K143"/>
      <c r="M143" s="12"/>
      <c r="N143" s="20"/>
    </row>
    <row r="144" spans="1:14" x14ac:dyDescent="0.25">
      <c r="A144" s="1"/>
      <c r="B144" s="47"/>
      <c r="C144" s="65"/>
      <c r="J144"/>
      <c r="K144"/>
      <c r="M144" s="12"/>
      <c r="N144" s="20"/>
    </row>
    <row r="145" spans="1:14" ht="13" x14ac:dyDescent="0.3">
      <c r="A145" s="107" t="s">
        <v>35</v>
      </c>
      <c r="B145" s="12"/>
      <c r="C145" s="65"/>
      <c r="J145"/>
      <c r="K145"/>
      <c r="M145" s="12"/>
      <c r="N145" s="20"/>
    </row>
    <row r="146" spans="1:14" ht="13" x14ac:dyDescent="0.3">
      <c r="A146" s="25" t="s">
        <v>223</v>
      </c>
      <c r="B146" s="121">
        <f>F52</f>
        <v>1275.3000000000002</v>
      </c>
      <c r="C146" s="65">
        <f>B146/$F$66</f>
        <v>1.466620752944223E-2</v>
      </c>
      <c r="J146"/>
      <c r="K146"/>
      <c r="M146" s="12"/>
      <c r="N146" s="20"/>
    </row>
    <row r="147" spans="1:14" x14ac:dyDescent="0.25">
      <c r="A147" s="1"/>
      <c r="C147" s="65"/>
      <c r="J147"/>
      <c r="K147"/>
      <c r="M147" s="12"/>
      <c r="N147" s="20"/>
    </row>
    <row r="148" spans="1:14" ht="13" x14ac:dyDescent="0.3">
      <c r="A148" s="107" t="s">
        <v>349</v>
      </c>
      <c r="B148" s="254">
        <f>B137+B143+B146</f>
        <v>5353.3</v>
      </c>
      <c r="C148" s="331">
        <f>B148/$F$66</f>
        <v>6.1564031025925725E-2</v>
      </c>
      <c r="J148"/>
      <c r="K148"/>
      <c r="M148" s="12"/>
      <c r="N148" s="20"/>
    </row>
    <row r="149" spans="1:14" x14ac:dyDescent="0.25">
      <c r="A149" s="1" t="s">
        <v>350</v>
      </c>
      <c r="B149" s="45">
        <f>F66-B148</f>
        <v>81601.694836930488</v>
      </c>
      <c r="C149" s="65">
        <f>B149/$F$66</f>
        <v>0.93843596897407422</v>
      </c>
      <c r="J149"/>
      <c r="K149"/>
      <c r="M149" s="12"/>
      <c r="N149" s="20"/>
    </row>
    <row r="150" spans="1:14" x14ac:dyDescent="0.25">
      <c r="A150" s="1"/>
      <c r="J150"/>
      <c r="K150"/>
      <c r="M150" s="12"/>
      <c r="N150" s="20"/>
    </row>
    <row r="151" spans="1:14" ht="28.5" customHeight="1" x14ac:dyDescent="0.3">
      <c r="A151" s="64" t="s">
        <v>351</v>
      </c>
      <c r="B151" s="272"/>
      <c r="C151" s="338" t="s">
        <v>352</v>
      </c>
      <c r="J151"/>
      <c r="K151"/>
      <c r="M151" s="12"/>
      <c r="N151" s="20"/>
    </row>
    <row r="152" spans="1:14" x14ac:dyDescent="0.25">
      <c r="A152" t="s">
        <v>348</v>
      </c>
      <c r="B152" s="45">
        <f>B137</f>
        <v>2500</v>
      </c>
      <c r="C152" s="65">
        <f>B152/$B$155</f>
        <v>0.46700166252591857</v>
      </c>
      <c r="J152"/>
      <c r="K152"/>
      <c r="M152" s="12"/>
      <c r="N152" s="20"/>
    </row>
    <row r="153" spans="1:14" x14ac:dyDescent="0.25">
      <c r="A153" t="s">
        <v>30</v>
      </c>
      <c r="B153" s="45">
        <f>B143</f>
        <v>1578</v>
      </c>
      <c r="C153" s="65">
        <f>B153/$B$155</f>
        <v>0.2947714493863598</v>
      </c>
      <c r="J153"/>
      <c r="K153"/>
      <c r="M153" s="12"/>
      <c r="N153" s="20"/>
    </row>
    <row r="154" spans="1:14" x14ac:dyDescent="0.25">
      <c r="A154" s="42" t="s">
        <v>35</v>
      </c>
      <c r="B154" s="117">
        <f>B146</f>
        <v>1275.3000000000002</v>
      </c>
      <c r="C154" s="330">
        <f>B154/$B$155</f>
        <v>0.23822688808772161</v>
      </c>
      <c r="J154"/>
      <c r="K154"/>
      <c r="M154" s="12"/>
      <c r="N154" s="20"/>
    </row>
    <row r="155" spans="1:14" ht="25.5" x14ac:dyDescent="0.25">
      <c r="A155" s="313" t="s">
        <v>430</v>
      </c>
      <c r="B155" s="323">
        <f>SUM(B152:B154)</f>
        <v>5353.3</v>
      </c>
      <c r="C155" s="65">
        <f>B155/$B$148</f>
        <v>1</v>
      </c>
      <c r="J155"/>
      <c r="K155"/>
      <c r="M155" s="12"/>
      <c r="N155" s="20"/>
    </row>
    <row r="156" spans="1:14" x14ac:dyDescent="0.25">
      <c r="J156"/>
      <c r="K156"/>
      <c r="M156" s="12"/>
      <c r="N156" s="20"/>
    </row>
    <row r="157" spans="1:14" x14ac:dyDescent="0.25">
      <c r="J157"/>
      <c r="K157"/>
      <c r="M157" s="12"/>
      <c r="N157" s="20"/>
    </row>
    <row r="158" spans="1:14" ht="18" x14ac:dyDescent="0.4">
      <c r="A158" s="487" t="s">
        <v>353</v>
      </c>
      <c r="B158" s="392"/>
      <c r="C158" s="392"/>
      <c r="J158"/>
      <c r="K158"/>
      <c r="M158" s="12"/>
      <c r="N158" s="20"/>
    </row>
    <row r="159" spans="1:14" x14ac:dyDescent="0.25">
      <c r="B159" s="272" t="s">
        <v>167</v>
      </c>
      <c r="C159" s="311" t="s">
        <v>289</v>
      </c>
      <c r="J159"/>
      <c r="K159"/>
      <c r="M159" s="12"/>
      <c r="N159" s="20"/>
    </row>
    <row r="160" spans="1:14" x14ac:dyDescent="0.25">
      <c r="A160" t="s">
        <v>30</v>
      </c>
      <c r="J160"/>
      <c r="K160"/>
      <c r="M160" s="12"/>
      <c r="N160" s="20"/>
    </row>
    <row r="161" spans="1:14" x14ac:dyDescent="0.25">
      <c r="A161" s="71" t="str">
        <f>B41</f>
        <v>Pneuwagen 2achsig, 3t (Ernte)</v>
      </c>
      <c r="B161" s="45">
        <f>F41</f>
        <v>2708.333333333333</v>
      </c>
      <c r="C161" s="65">
        <f>B161/$F$66</f>
        <v>3.1146380244313255E-2</v>
      </c>
      <c r="J161"/>
      <c r="K161"/>
      <c r="M161" s="12"/>
      <c r="N161" s="20"/>
    </row>
    <row r="162" spans="1:14" x14ac:dyDescent="0.25">
      <c r="A162" s="71" t="s">
        <v>31</v>
      </c>
      <c r="B162" s="177">
        <f>D41*E47</f>
        <v>4441.6666666666661</v>
      </c>
      <c r="C162" s="65">
        <f>B162/$F$66</f>
        <v>5.1080063600673742E-2</v>
      </c>
      <c r="J162"/>
      <c r="K162"/>
      <c r="M162" s="12"/>
      <c r="N162" s="20"/>
    </row>
    <row r="163" spans="1:14" x14ac:dyDescent="0.25">
      <c r="A163" t="s">
        <v>35</v>
      </c>
      <c r="B163" s="12"/>
      <c r="C163" s="65"/>
      <c r="J163"/>
      <c r="K163"/>
      <c r="M163" s="12"/>
      <c r="N163" s="20"/>
    </row>
    <row r="164" spans="1:14" x14ac:dyDescent="0.25">
      <c r="A164" s="332" t="str">
        <f>B56</f>
        <v>Ernte (inkl. Sortieren  ohne kalibrieren)</v>
      </c>
      <c r="B164" s="40">
        <f>F56</f>
        <v>24505</v>
      </c>
      <c r="C164" s="65">
        <f>B164/$F$66</f>
        <v>0.28181244845054637</v>
      </c>
      <c r="J164"/>
      <c r="K164"/>
      <c r="M164" s="12"/>
      <c r="N164" s="20"/>
    </row>
    <row r="165" spans="1:14" x14ac:dyDescent="0.25">
      <c r="A165" s="333"/>
      <c r="B165" s="41"/>
      <c r="C165" s="330"/>
      <c r="J165"/>
      <c r="K165"/>
      <c r="M165" s="12"/>
      <c r="N165" s="20"/>
    </row>
    <row r="166" spans="1:14" ht="13" x14ac:dyDescent="0.3">
      <c r="A166" s="64" t="s">
        <v>354</v>
      </c>
      <c r="B166" s="254">
        <f>B161+B162+B164</f>
        <v>31655</v>
      </c>
      <c r="C166" s="65">
        <f>B166/$F$66</f>
        <v>0.36403889229553338</v>
      </c>
      <c r="J166"/>
      <c r="K166"/>
      <c r="M166" s="12"/>
      <c r="N166" s="20"/>
    </row>
    <row r="167" spans="1:14" x14ac:dyDescent="0.25">
      <c r="A167" t="s">
        <v>350</v>
      </c>
      <c r="B167" s="33">
        <f>F66-B166</f>
        <v>55299.994836930491</v>
      </c>
      <c r="C167" s="65">
        <f>B167/$F$66</f>
        <v>0.63596110770446668</v>
      </c>
      <c r="J167"/>
      <c r="K167"/>
      <c r="M167" s="12"/>
      <c r="N167" s="20"/>
    </row>
    <row r="168" spans="1:14" x14ac:dyDescent="0.25">
      <c r="J168"/>
      <c r="K168"/>
      <c r="M168" s="12"/>
      <c r="N168" s="20"/>
    </row>
    <row r="169" spans="1:14" ht="13" x14ac:dyDescent="0.3">
      <c r="A169" s="64" t="s">
        <v>351</v>
      </c>
      <c r="B169" s="272"/>
      <c r="C169" s="311" t="s">
        <v>355</v>
      </c>
      <c r="J169"/>
      <c r="K169"/>
      <c r="M169" s="12"/>
      <c r="N169" s="20"/>
    </row>
    <row r="170" spans="1:14" x14ac:dyDescent="0.25">
      <c r="A170" t="s">
        <v>30</v>
      </c>
      <c r="B170" s="45">
        <f>B161+B162</f>
        <v>7149.9999999999991</v>
      </c>
      <c r="C170" s="65">
        <f>B170/$B$172</f>
        <v>0.22587268993839832</v>
      </c>
      <c r="J170"/>
      <c r="K170"/>
      <c r="M170" s="12"/>
      <c r="N170" s="20"/>
    </row>
    <row r="171" spans="1:14" x14ac:dyDescent="0.25">
      <c r="A171" s="42" t="s">
        <v>35</v>
      </c>
      <c r="B171" s="117">
        <f>B164</f>
        <v>24505</v>
      </c>
      <c r="C171" s="330">
        <f>B171/$B$172</f>
        <v>0.77412731006160163</v>
      </c>
      <c r="J171"/>
      <c r="K171"/>
      <c r="M171" s="12"/>
      <c r="N171" s="20"/>
    </row>
    <row r="172" spans="1:14" ht="13" x14ac:dyDescent="0.3">
      <c r="A172" t="s">
        <v>354</v>
      </c>
      <c r="B172" s="254">
        <f>SUM(B170:B171)</f>
        <v>31655</v>
      </c>
      <c r="C172" s="65">
        <f>SUM(C170:C171)</f>
        <v>1</v>
      </c>
      <c r="J172"/>
      <c r="K172"/>
      <c r="M172" s="12"/>
      <c r="N172" s="20"/>
    </row>
  </sheetData>
  <mergeCells count="1">
    <mergeCell ref="B75:E75"/>
  </mergeCells>
  <phoneticPr fontId="25" type="noConversion"/>
  <printOptions gridLines="1" gridLinesSet="0"/>
  <pageMargins left="0.39370078740157483" right="0.39370078740157483" top="0.39370078740157483" bottom="0.39370078740157483" header="0.51181102362204722" footer="0.51181102362204722"/>
  <pageSetup paperSize="9" scale="65" orientation="portrait" r:id="rId1"/>
  <headerFooter alignWithMargins="0">
    <oddFooter>&amp;L&amp;6&amp;F&amp;C&amp;6&amp;A &amp;R&amp;6Kontakt: matthias.zuercher@faw.admin.ch</oddFooter>
  </headerFooter>
  <cellWatches>
    <cellWatch r="D29"/>
  </cellWatche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arCashflow">
    <tabColor rgb="FFFF66CC"/>
  </sheetPr>
  <dimension ref="A1:O56"/>
  <sheetViews>
    <sheetView topLeftCell="A13" zoomScale="70" workbookViewId="0">
      <selection activeCell="C26" sqref="C26"/>
    </sheetView>
  </sheetViews>
  <sheetFormatPr baseColWidth="10" defaultColWidth="11.36328125" defaultRowHeight="12.5" x14ac:dyDescent="0.25"/>
  <cols>
    <col min="1" max="1" width="33.7265625" customWidth="1"/>
    <col min="2" max="2" width="5.7265625" customWidth="1"/>
    <col min="3" max="3" width="21.54296875" customWidth="1"/>
    <col min="4" max="4" width="18.26953125" customWidth="1"/>
    <col min="5" max="5" width="20.7265625" customWidth="1"/>
    <col min="6" max="6" width="15.26953125" customWidth="1"/>
    <col min="7" max="7" width="15.7265625" customWidth="1"/>
    <col min="8" max="8" width="12.7265625" customWidth="1"/>
    <col min="9" max="10" width="13.7265625" customWidth="1"/>
    <col min="11" max="11" width="14.81640625" customWidth="1"/>
  </cols>
  <sheetData>
    <row r="1" spans="1:10" ht="42.75" customHeight="1" x14ac:dyDescent="0.5">
      <c r="A1" s="369" t="str">
        <f>'Var Vorgaben'!A1</f>
        <v>Arbokost 2023</v>
      </c>
      <c r="B1" s="630"/>
      <c r="C1" s="676" t="str">
        <f>'Var Erstellung'!B1</f>
        <v>Tafelkirsche</v>
      </c>
      <c r="D1" s="351"/>
      <c r="E1" s="351"/>
      <c r="F1" s="351"/>
      <c r="G1" s="632"/>
      <c r="H1" s="351"/>
      <c r="I1" s="351"/>
      <c r="J1" s="351"/>
    </row>
    <row r="2" spans="1:10" ht="21.75" customHeight="1" x14ac:dyDescent="0.35">
      <c r="A2" s="1263" t="s">
        <v>394</v>
      </c>
      <c r="B2" s="351"/>
      <c r="C2" s="677">
        <f>'Var Erstellung'!B2</f>
        <v>950</v>
      </c>
      <c r="D2" s="351"/>
      <c r="E2" s="351"/>
      <c r="F2" s="362"/>
      <c r="G2" s="351"/>
      <c r="H2" s="351"/>
      <c r="I2" s="351"/>
      <c r="J2" s="351"/>
    </row>
    <row r="3" spans="1:10" ht="24" customHeight="1" x14ac:dyDescent="0.4">
      <c r="A3" s="409"/>
      <c r="B3" s="634"/>
      <c r="C3" s="677"/>
      <c r="D3" s="635"/>
      <c r="E3" s="678"/>
      <c r="F3" s="362"/>
      <c r="G3" s="351"/>
      <c r="H3" s="351"/>
      <c r="I3" s="351"/>
      <c r="J3" s="351"/>
    </row>
    <row r="4" spans="1:10" s="1" customFormat="1" ht="23" x14ac:dyDescent="0.5">
      <c r="A4" s="1267" t="s">
        <v>393</v>
      </c>
      <c r="B4" s="1268"/>
      <c r="C4" s="1268"/>
      <c r="D4" s="1268"/>
      <c r="E4" s="1268"/>
      <c r="F4" s="1269"/>
      <c r="G4" s="1269"/>
      <c r="H4" s="1269"/>
      <c r="I4" s="1258"/>
      <c r="J4" s="1258"/>
    </row>
    <row r="5" spans="1:10" s="1" customFormat="1" ht="20" x14ac:dyDescent="0.4">
      <c r="A5" s="132"/>
      <c r="B5" s="74"/>
      <c r="F5" s="420"/>
      <c r="G5" s="420"/>
      <c r="H5" s="420"/>
    </row>
    <row r="6" spans="1:10" s="1" customFormat="1" ht="20" x14ac:dyDescent="0.4">
      <c r="A6" s="132"/>
      <c r="B6" s="74"/>
      <c r="G6" s="133"/>
    </row>
    <row r="7" spans="1:10" s="1" customFormat="1" ht="20" x14ac:dyDescent="0.4">
      <c r="A7" s="132"/>
      <c r="B7" s="74"/>
      <c r="G7" s="133"/>
    </row>
    <row r="8" spans="1:10" s="1" customFormat="1" ht="20" x14ac:dyDescent="0.4">
      <c r="A8" s="132"/>
      <c r="B8" s="74"/>
      <c r="G8" s="133"/>
    </row>
    <row r="9" spans="1:10" s="1" customFormat="1" ht="20" x14ac:dyDescent="0.4">
      <c r="A9" s="132"/>
      <c r="B9" s="74"/>
      <c r="G9" s="133"/>
    </row>
    <row r="10" spans="1:10" s="1" customFormat="1" ht="20" x14ac:dyDescent="0.4">
      <c r="A10" s="132"/>
      <c r="B10" s="74"/>
      <c r="G10" s="133"/>
    </row>
    <row r="11" spans="1:10" s="1" customFormat="1" ht="20" x14ac:dyDescent="0.4">
      <c r="A11" s="132"/>
      <c r="B11" s="74"/>
      <c r="G11" s="133"/>
    </row>
    <row r="12" spans="1:10" s="1" customFormat="1" ht="20" x14ac:dyDescent="0.4">
      <c r="A12" s="132"/>
      <c r="B12" s="74"/>
      <c r="G12" s="133"/>
    </row>
    <row r="13" spans="1:10" s="1" customFormat="1" ht="20" x14ac:dyDescent="0.4">
      <c r="A13" s="132"/>
      <c r="B13" s="74"/>
      <c r="G13" s="133"/>
    </row>
    <row r="14" spans="1:10" s="1" customFormat="1" ht="20" x14ac:dyDescent="0.4">
      <c r="A14" s="132"/>
      <c r="B14" s="74"/>
      <c r="G14" s="133"/>
    </row>
    <row r="15" spans="1:10" s="1" customFormat="1" ht="20" x14ac:dyDescent="0.4">
      <c r="A15" s="132"/>
      <c r="B15" s="74"/>
      <c r="G15" s="133"/>
    </row>
    <row r="16" spans="1:10" s="1" customFormat="1" ht="20" x14ac:dyDescent="0.4">
      <c r="A16" s="132"/>
      <c r="B16" s="74"/>
      <c r="G16" s="133"/>
    </row>
    <row r="17" spans="1:15" s="1" customFormat="1" ht="20" x14ac:dyDescent="0.4">
      <c r="A17" s="132"/>
      <c r="B17" s="74"/>
      <c r="G17" s="133"/>
    </row>
    <row r="18" spans="1:15" s="1" customFormat="1" ht="20" x14ac:dyDescent="0.4">
      <c r="A18" s="74"/>
      <c r="B18" s="74"/>
      <c r="G18" s="133"/>
    </row>
    <row r="19" spans="1:15" ht="150.75" customHeight="1" x14ac:dyDescent="0.4">
      <c r="A19" s="72"/>
      <c r="B19" s="72"/>
      <c r="G19" s="86"/>
    </row>
    <row r="21" spans="1:15" ht="25.5" customHeight="1" x14ac:dyDescent="0.4">
      <c r="A21" s="27" t="s">
        <v>398</v>
      </c>
      <c r="B21" s="72"/>
      <c r="D21" s="1"/>
      <c r="E21" s="637" t="str">
        <f>'Var Vorgaben'!B19</f>
        <v>28+ mm</v>
      </c>
      <c r="F21" s="637" t="str">
        <f>'Var Vorgaben'!C19</f>
        <v>24+ mm</v>
      </c>
      <c r="G21" s="637" t="str">
        <f>'Var Vorgaben'!D19</f>
        <v xml:space="preserve"> 22+ mm</v>
      </c>
      <c r="H21" s="637" t="str">
        <f>'Var Vorgaben'!E19</f>
        <v xml:space="preserve"> Abgang</v>
      </c>
    </row>
    <row r="22" spans="1:15" ht="28.5" customHeight="1" x14ac:dyDescent="0.4">
      <c r="A22" s="27"/>
      <c r="B22" s="72"/>
      <c r="D22" s="1"/>
      <c r="E22" s="63">
        <f>'Var 1.-16. Standjahr'!E8</f>
        <v>7.09</v>
      </c>
      <c r="F22" s="63">
        <f>'Var 1.-16. Standjahr'!E9</f>
        <v>5.59</v>
      </c>
      <c r="G22" s="63">
        <f>'Var 1.-16. Standjahr'!E10</f>
        <v>4</v>
      </c>
      <c r="H22" s="63">
        <f>'Var 1.-16. Standjahr'!E11</f>
        <v>0</v>
      </c>
    </row>
    <row r="23" spans="1:15" ht="17.5" x14ac:dyDescent="0.35">
      <c r="A23" s="3"/>
      <c r="B23" s="3"/>
      <c r="C23" s="1"/>
      <c r="D23" s="411"/>
    </row>
    <row r="24" spans="1:15" ht="39.75" customHeight="1" x14ac:dyDescent="0.35">
      <c r="A24" s="890"/>
      <c r="B24" s="877"/>
      <c r="C24" s="888" t="s">
        <v>381</v>
      </c>
      <c r="D24" s="875"/>
      <c r="E24" s="875"/>
      <c r="F24" s="875"/>
      <c r="G24" s="875"/>
      <c r="H24" s="876"/>
      <c r="I24" s="876"/>
      <c r="J24" s="877"/>
    </row>
    <row r="25" spans="1:15" ht="20.25" customHeight="1" x14ac:dyDescent="0.3">
      <c r="A25" s="885"/>
      <c r="B25" s="886"/>
      <c r="C25" s="889" t="s">
        <v>85</v>
      </c>
      <c r="D25" s="879" t="s">
        <v>358</v>
      </c>
      <c r="E25" s="879" t="s">
        <v>96</v>
      </c>
      <c r="F25" s="879" t="s">
        <v>360</v>
      </c>
      <c r="G25" s="879" t="s">
        <v>359</v>
      </c>
      <c r="H25" s="879" t="s">
        <v>64</v>
      </c>
      <c r="I25" s="880" t="s">
        <v>86</v>
      </c>
      <c r="J25" s="881" t="s">
        <v>78</v>
      </c>
    </row>
    <row r="26" spans="1:15" ht="14" x14ac:dyDescent="0.3">
      <c r="A26" s="846" t="s">
        <v>87</v>
      </c>
      <c r="B26" s="834">
        <v>0</v>
      </c>
      <c r="C26" s="920">
        <f>'Var 1.-16. Standjahr'!F71</f>
        <v>-83750.049866666683</v>
      </c>
      <c r="D26" s="835">
        <v>0</v>
      </c>
      <c r="E26" s="835">
        <f>C26*(-1)</f>
        <v>83750.049866666683</v>
      </c>
      <c r="F26" s="835">
        <f>D26-E26</f>
        <v>-83750.049866666683</v>
      </c>
      <c r="G26" s="836">
        <f>D26/E26</f>
        <v>0</v>
      </c>
      <c r="H26" s="835"/>
      <c r="I26" s="835"/>
      <c r="J26" s="837">
        <f>('Var 1.-16. Standjahr'!F71)*(-1)</f>
        <v>83750.049866666683</v>
      </c>
      <c r="K26" s="8"/>
      <c r="L26" s="8"/>
      <c r="M26" s="8"/>
      <c r="N26" s="8"/>
      <c r="O26" s="49"/>
    </row>
    <row r="27" spans="1:15" ht="14" x14ac:dyDescent="0.3">
      <c r="A27" s="846" t="s">
        <v>88</v>
      </c>
      <c r="B27" s="834">
        <v>1</v>
      </c>
      <c r="C27" s="920">
        <f>'Var 1.-16. Standjahr'!F72</f>
        <v>-93834.025315466686</v>
      </c>
      <c r="D27" s="835">
        <f>'Var 1.-16. Standjahr'!F14</f>
        <v>1100</v>
      </c>
      <c r="E27" s="835">
        <f>'Var 1.-16. Standjahr'!F68</f>
        <v>11183.9754488</v>
      </c>
      <c r="F27" s="835">
        <f t="shared" ref="F27:F42" si="0">D27-E27</f>
        <v>-10083.9754488</v>
      </c>
      <c r="G27" s="836">
        <f t="shared" ref="G27:G42" si="1">D27/E27</f>
        <v>9.8355008470447425E-2</v>
      </c>
      <c r="H27" s="838">
        <f>'Var 1.-16. Standjahr'!D12</f>
        <v>0</v>
      </c>
      <c r="I27" s="839">
        <f t="shared" ref="I27:I42" si="2">H27/$C$2</f>
        <v>0</v>
      </c>
      <c r="J27" s="840">
        <f>'Var 1.-16. Standjahr'!F73</f>
        <v>93834.025315466686</v>
      </c>
      <c r="K27" s="100"/>
      <c r="L27" s="1"/>
      <c r="M27" s="45"/>
      <c r="N27" s="45"/>
      <c r="O27" s="33"/>
    </row>
    <row r="28" spans="1:15" ht="14" x14ac:dyDescent="0.3">
      <c r="A28" s="846" t="s">
        <v>49</v>
      </c>
      <c r="B28" s="834">
        <v>2</v>
      </c>
      <c r="C28" s="920">
        <f>'Var 1.-16. Standjahr'!M72</f>
        <v>-104192.09654330589</v>
      </c>
      <c r="D28" s="835">
        <f>'Var 1.-16. Standjahr'!M14</f>
        <v>1100</v>
      </c>
      <c r="E28" s="835">
        <f>'Var 1.-16. Standjahr'!M68</f>
        <v>11458.0712278392</v>
      </c>
      <c r="F28" s="835">
        <f t="shared" si="0"/>
        <v>-10358.0712278392</v>
      </c>
      <c r="G28" s="836">
        <f t="shared" si="1"/>
        <v>9.6002196017718547E-2</v>
      </c>
      <c r="H28" s="838">
        <f>'Var 1.-16. Standjahr'!K12</f>
        <v>0</v>
      </c>
      <c r="I28" s="839">
        <f t="shared" si="2"/>
        <v>0</v>
      </c>
      <c r="J28" s="840">
        <f>'Var 1.-16. Standjahr'!M73</f>
        <v>104192.09654330589</v>
      </c>
      <c r="K28" s="224"/>
      <c r="L28" s="63"/>
      <c r="M28" s="1"/>
      <c r="N28" s="1"/>
    </row>
    <row r="29" spans="1:15" ht="14" x14ac:dyDescent="0.3">
      <c r="A29" s="846" t="s">
        <v>50</v>
      </c>
      <c r="B29" s="834">
        <v>3</v>
      </c>
      <c r="C29" s="920">
        <f>'Var 1.-16. Standjahr'!T72</f>
        <v>-168806.69325953699</v>
      </c>
      <c r="D29" s="835">
        <f>'Var 1.-16. Standjahr'!T14</f>
        <v>7144.9742710120081</v>
      </c>
      <c r="E29" s="835">
        <f>'Var 1.-16. Standjahr'!T68</f>
        <v>71759.570987243089</v>
      </c>
      <c r="F29" s="835">
        <f t="shared" si="0"/>
        <v>-64614.596716231084</v>
      </c>
      <c r="G29" s="836">
        <f t="shared" si="1"/>
        <v>9.9568241179733244E-2</v>
      </c>
      <c r="H29" s="838">
        <f>'Var 1.-16. Standjahr'!R12</f>
        <v>1029.1595197255576</v>
      </c>
      <c r="I29" s="839">
        <f t="shared" si="2"/>
        <v>1.083325810237429</v>
      </c>
      <c r="J29" s="840">
        <f>'Var 1.-16. Standjahr'!T73</f>
        <v>168806.69325953699</v>
      </c>
      <c r="K29" s="858"/>
      <c r="L29" s="63"/>
      <c r="M29" s="1"/>
      <c r="N29" s="171"/>
    </row>
    <row r="30" spans="1:15" ht="14" x14ac:dyDescent="0.3">
      <c r="A30" s="846" t="s">
        <v>51</v>
      </c>
      <c r="B30" s="834">
        <v>4</v>
      </c>
      <c r="C30" s="920">
        <f>'Var 1.-16. Standjahr'!AA72</f>
        <v>-178160.17572014214</v>
      </c>
      <c r="D30" s="835">
        <f>'Var 1.-16. Standjahr'!AA14</f>
        <v>25279.897084048032</v>
      </c>
      <c r="E30" s="835">
        <f>'Var 1.-16. Standjahr'!AA68</f>
        <v>34633.379544653159</v>
      </c>
      <c r="F30" s="835">
        <f t="shared" si="0"/>
        <v>-9353.4824606051261</v>
      </c>
      <c r="G30" s="836">
        <f t="shared" si="1"/>
        <v>0.72992868199461769</v>
      </c>
      <c r="H30" s="838">
        <f>'Var 1.-16. Standjahr'!Y12</f>
        <v>4116.6380789022305</v>
      </c>
      <c r="I30" s="839">
        <f t="shared" si="2"/>
        <v>4.3333032409497161</v>
      </c>
      <c r="J30" s="840">
        <f>'Var 1.-16. Standjahr'!AA73</f>
        <v>178160.17572014214</v>
      </c>
      <c r="K30" s="855"/>
      <c r="L30" s="7"/>
      <c r="M30" s="1"/>
      <c r="N30" s="1"/>
    </row>
    <row r="31" spans="1:15" ht="14" x14ac:dyDescent="0.3">
      <c r="A31" s="846" t="s">
        <v>52</v>
      </c>
      <c r="B31" s="834">
        <v>5</v>
      </c>
      <c r="C31" s="920">
        <f>'Var 1.-16. Standjahr'!AH72</f>
        <v>-177855.374363373</v>
      </c>
      <c r="D31" s="835">
        <f>'Var 1.-16. Standjahr'!AH14</f>
        <v>55383.868953687816</v>
      </c>
      <c r="E31" s="835">
        <f>'Var 1.-16. Standjahr'!AH68</f>
        <v>55079.06759691867</v>
      </c>
      <c r="F31" s="835">
        <f t="shared" si="0"/>
        <v>304.80135676914506</v>
      </c>
      <c r="G31" s="836">
        <f t="shared" si="1"/>
        <v>1.0055338873744151</v>
      </c>
      <c r="H31" s="838">
        <f>'Var 1.-16. Standjahr'!AF12</f>
        <v>9241.8524871355057</v>
      </c>
      <c r="I31" s="839">
        <f t="shared" si="2"/>
        <v>9.7282657759321118</v>
      </c>
      <c r="J31" s="840">
        <f>'Var 1.-16. Standjahr'!AH73</f>
        <v>163313.49441013031</v>
      </c>
      <c r="K31" s="855"/>
      <c r="L31" s="1"/>
      <c r="M31" s="1"/>
      <c r="N31" s="1"/>
    </row>
    <row r="32" spans="1:15" ht="14" x14ac:dyDescent="0.3">
      <c r="A32" s="846" t="s">
        <v>53</v>
      </c>
      <c r="B32" s="834">
        <v>6</v>
      </c>
      <c r="C32" s="920">
        <f>'Var 1.-16. Standjahr'!AO72</f>
        <v>-170033.23567432433</v>
      </c>
      <c r="D32" s="835">
        <f>'Var 1.-16. Standjahr'!AO14</f>
        <v>71221.701543739284</v>
      </c>
      <c r="E32" s="835">
        <f>'Var 1.-16. Standjahr'!AO68</f>
        <v>63399.562854690594</v>
      </c>
      <c r="F32" s="835">
        <f t="shared" si="0"/>
        <v>7822.1386890486901</v>
      </c>
      <c r="G32" s="836">
        <f t="shared" si="1"/>
        <v>1.1233784325449805</v>
      </c>
      <c r="H32" s="838">
        <f>'Var 1.-16. Standjahr'!AM12</f>
        <v>11938.250428816467</v>
      </c>
      <c r="I32" s="839">
        <f t="shared" si="2"/>
        <v>12.566579398754175</v>
      </c>
      <c r="J32" s="840">
        <f>'Var 1.-16. Standjahr'!AO73</f>
        <v>148466.81310011848</v>
      </c>
      <c r="K32" s="100"/>
      <c r="L32" s="7"/>
      <c r="M32" s="1"/>
      <c r="N32" s="172"/>
    </row>
    <row r="33" spans="1:15" ht="14" x14ac:dyDescent="0.3">
      <c r="A33" s="846" t="s">
        <v>54</v>
      </c>
      <c r="B33" s="834">
        <v>7</v>
      </c>
      <c r="C33" s="920">
        <f>'Var 1.-16. Standjahr'!AV72</f>
        <v>-155716.10006983581</v>
      </c>
      <c r="D33" s="835">
        <f>'Var 1.-16. Standjahr'!AV14</f>
        <v>85729.639794168092</v>
      </c>
      <c r="E33" s="835">
        <f>'Var 1.-16. Standjahr'!AV68</f>
        <v>71412.504189679559</v>
      </c>
      <c r="F33" s="835">
        <f t="shared" si="0"/>
        <v>14317.135604488532</v>
      </c>
      <c r="G33" s="836">
        <f t="shared" si="1"/>
        <v>1.2004849958273502</v>
      </c>
      <c r="H33" s="838">
        <f>'Var 1.-16. Standjahr'!AT12</f>
        <v>14408.233276157805</v>
      </c>
      <c r="I33" s="839">
        <f t="shared" si="2"/>
        <v>15.166561343324005</v>
      </c>
      <c r="J33" s="840">
        <f>'Var 1.-16. Standjahr'!AV73</f>
        <v>133620.13179010665</v>
      </c>
      <c r="K33" s="855"/>
      <c r="L33" s="7"/>
      <c r="M33" s="1"/>
      <c r="N33" s="1"/>
      <c r="O33" s="1"/>
    </row>
    <row r="34" spans="1:15" ht="14" x14ac:dyDescent="0.3">
      <c r="A34" s="846" t="s">
        <v>55</v>
      </c>
      <c r="B34" s="834">
        <v>8</v>
      </c>
      <c r="C34" s="920">
        <f>'Var 1.-16. Standjahr'!BC72</f>
        <v>-140811.11024490689</v>
      </c>
      <c r="D34" s="835">
        <f>'Var 1.-16. Standjahr'!BC14</f>
        <v>85729.639794168092</v>
      </c>
      <c r="E34" s="835">
        <f>'Var 1.-16. Standjahr'!BC68</f>
        <v>70824.649969239166</v>
      </c>
      <c r="F34" s="835">
        <f t="shared" si="0"/>
        <v>14904.989824928925</v>
      </c>
      <c r="G34" s="836">
        <f t="shared" si="1"/>
        <v>1.2104491844492351</v>
      </c>
      <c r="H34" s="838">
        <f>'Var 1.-16. Standjahr'!BA12</f>
        <v>14408.233276157805</v>
      </c>
      <c r="I34" s="839">
        <f t="shared" si="2"/>
        <v>15.166561343324005</v>
      </c>
      <c r="J34" s="840">
        <f>'Var 1.-16. Standjahr'!BC73</f>
        <v>118773.45048009481</v>
      </c>
      <c r="K34" s="859"/>
      <c r="L34" s="7"/>
      <c r="M34" s="1"/>
      <c r="N34" s="1"/>
      <c r="O34" s="1"/>
    </row>
    <row r="35" spans="1:15" ht="14" x14ac:dyDescent="0.3">
      <c r="A35" s="846" t="s">
        <v>56</v>
      </c>
      <c r="B35" s="834">
        <v>9</v>
      </c>
      <c r="C35" s="920">
        <f>'Var 1.-16. Standjahr'!BJ72</f>
        <v>-125771.97551155361</v>
      </c>
      <c r="D35" s="835">
        <f>'Var 1.-16. Standjahr'!BJ14</f>
        <v>85729.639794168092</v>
      </c>
      <c r="E35" s="835">
        <f>'Var 1.-16. Standjahr'!BJ68</f>
        <v>70690.505060814801</v>
      </c>
      <c r="F35" s="835">
        <f t="shared" si="0"/>
        <v>15039.13473335329</v>
      </c>
      <c r="G35" s="836">
        <f t="shared" si="1"/>
        <v>1.2127461774451205</v>
      </c>
      <c r="H35" s="838">
        <f>'Var 1.-16. Standjahr'!BH12</f>
        <v>14408.233276157805</v>
      </c>
      <c r="I35" s="839">
        <f t="shared" si="2"/>
        <v>15.166561343324005</v>
      </c>
      <c r="J35" s="840">
        <f>'Var 1.-16. Standjahr'!BJ73</f>
        <v>103926.76917008296</v>
      </c>
      <c r="K35" s="859"/>
      <c r="L35" s="7"/>
      <c r="M35" s="1"/>
      <c r="N35" s="1"/>
      <c r="O35" s="1"/>
    </row>
    <row r="36" spans="1:15" ht="14" x14ac:dyDescent="0.3">
      <c r="A36" s="846" t="s">
        <v>57</v>
      </c>
      <c r="B36" s="834">
        <v>10</v>
      </c>
      <c r="C36" s="920">
        <f>'Var 1.-16. Standjahr'!BQ72</f>
        <v>-158742.58856560013</v>
      </c>
      <c r="D36" s="835">
        <f>'Var 1.-16. Standjahr'!BQ14</f>
        <v>85729.639794168092</v>
      </c>
      <c r="E36" s="835">
        <f>'Var 1.-16. Standjahr'!BQ68</f>
        <v>118700.25284821462</v>
      </c>
      <c r="F36" s="835">
        <f t="shared" si="0"/>
        <v>-32970.613054046524</v>
      </c>
      <c r="G36" s="836">
        <f t="shared" si="1"/>
        <v>0.72223637049697798</v>
      </c>
      <c r="H36" s="838">
        <f>'Var 1.-16. Standjahr'!BO12</f>
        <v>14408.233276157805</v>
      </c>
      <c r="I36" s="839">
        <f t="shared" si="2"/>
        <v>15.166561343324005</v>
      </c>
      <c r="J36" s="840">
        <f>'Var 1.-16. Standjahr'!BQ73</f>
        <v>89080.087860071115</v>
      </c>
      <c r="K36" s="859"/>
      <c r="L36" s="7"/>
      <c r="M36" s="1"/>
      <c r="N36" s="1"/>
      <c r="O36" s="1"/>
    </row>
    <row r="37" spans="1:15" ht="14" x14ac:dyDescent="0.3">
      <c r="A37" s="846" t="s">
        <v>58</v>
      </c>
      <c r="B37" s="834">
        <v>11</v>
      </c>
      <c r="C37" s="920">
        <f>'Var 1.-16. Standjahr'!BX72</f>
        <v>-146733.00283181577</v>
      </c>
      <c r="D37" s="835">
        <f>'Var 1.-16. Standjahr'!BX14</f>
        <v>79684.665523156087</v>
      </c>
      <c r="E37" s="835">
        <f>'Var 1.-16. Standjahr'!BX68</f>
        <v>67675.07978937171</v>
      </c>
      <c r="F37" s="835">
        <f t="shared" si="0"/>
        <v>12009.585733784377</v>
      </c>
      <c r="G37" s="836">
        <f t="shared" si="1"/>
        <v>1.1774594986982263</v>
      </c>
      <c r="H37" s="838">
        <f>'Var 1.-16. Standjahr'!BV12</f>
        <v>13379.073756432248</v>
      </c>
      <c r="I37" s="839">
        <f t="shared" si="2"/>
        <v>14.083235533086578</v>
      </c>
      <c r="J37" s="840">
        <f>'Var 1.-16. Standjahr'!BX73</f>
        <v>74233.40655005927</v>
      </c>
      <c r="K37" s="859"/>
      <c r="L37" s="9"/>
    </row>
    <row r="38" spans="1:15" ht="14" x14ac:dyDescent="0.3">
      <c r="A38" s="846" t="s">
        <v>59</v>
      </c>
      <c r="B38" s="834">
        <v>12</v>
      </c>
      <c r="C38" s="920">
        <f>'Var 1.-16. Standjahr'!CE72</f>
        <v>-134615.33082642735</v>
      </c>
      <c r="D38" s="835">
        <f>'Var 1.-16. Standjahr'!CE14</f>
        <v>79684.665523156087</v>
      </c>
      <c r="E38" s="835">
        <f>'Var 1.-16. Standjahr'!CE68</f>
        <v>67566.993517767653</v>
      </c>
      <c r="F38" s="835">
        <f t="shared" si="0"/>
        <v>12117.672005388435</v>
      </c>
      <c r="G38" s="836">
        <f t="shared" si="1"/>
        <v>1.1793430693671745</v>
      </c>
      <c r="H38" s="838">
        <f>'Var 1.-16. Standjahr'!CC12</f>
        <v>13379.073756432248</v>
      </c>
      <c r="I38" s="839">
        <f t="shared" si="2"/>
        <v>14.083235533086578</v>
      </c>
      <c r="J38" s="840">
        <f>'Var 1.-16. Standjahr'!CE73</f>
        <v>59386.725240047424</v>
      </c>
      <c r="K38" s="859"/>
      <c r="L38" s="9"/>
    </row>
    <row r="39" spans="1:15" ht="14" x14ac:dyDescent="0.3">
      <c r="A39" s="846" t="s">
        <v>60</v>
      </c>
      <c r="B39" s="834">
        <v>13</v>
      </c>
      <c r="C39" s="920">
        <f>'Var 1.-16. Standjahr'!CL72</f>
        <v>-122847.59977299042</v>
      </c>
      <c r="D39" s="835">
        <f>'Var 1.-16. Standjahr'!CL14</f>
        <v>79684.665523156087</v>
      </c>
      <c r="E39" s="835">
        <f>'Var 1.-16. Standjahr'!CL68</f>
        <v>67916.934469719155</v>
      </c>
      <c r="F39" s="835">
        <f t="shared" si="0"/>
        <v>11767.731053436932</v>
      </c>
      <c r="G39" s="836">
        <f t="shared" si="1"/>
        <v>1.1732665224853984</v>
      </c>
      <c r="H39" s="838">
        <f>'Var 1.-16. Standjahr'!CJ12</f>
        <v>13379.073756432248</v>
      </c>
      <c r="I39" s="839">
        <f t="shared" si="2"/>
        <v>14.083235533086578</v>
      </c>
      <c r="J39" s="840">
        <f>'Var 1.-16. Standjahr'!CL73</f>
        <v>44540.043930035579</v>
      </c>
      <c r="K39" s="859"/>
      <c r="L39" s="9"/>
    </row>
    <row r="40" spans="1:15" ht="14" x14ac:dyDescent="0.3">
      <c r="A40" s="846" t="s">
        <v>61</v>
      </c>
      <c r="B40" s="834">
        <v>14</v>
      </c>
      <c r="C40" s="920">
        <f>'Var 1.-16. Standjahr'!CS72</f>
        <v>-110514.95914007255</v>
      </c>
      <c r="D40" s="835">
        <f>'Var 1.-16. Standjahr'!CS14</f>
        <v>79684.665523156087</v>
      </c>
      <c r="E40" s="835">
        <f>'Var 1.-16. Standjahr'!CS68</f>
        <v>67352.024890238215</v>
      </c>
      <c r="F40" s="835">
        <f t="shared" si="0"/>
        <v>12332.640632917872</v>
      </c>
      <c r="G40" s="836">
        <f t="shared" si="1"/>
        <v>1.183107199123056</v>
      </c>
      <c r="H40" s="838">
        <f>'Var 1.-16. Standjahr'!CQ12</f>
        <v>13379.073756432248</v>
      </c>
      <c r="I40" s="839">
        <f t="shared" si="2"/>
        <v>14.083235533086578</v>
      </c>
      <c r="J40" s="840">
        <f>'Var 1.-16. Standjahr'!CS73</f>
        <v>29693.362620023734</v>
      </c>
      <c r="K40" s="859"/>
      <c r="L40" s="9"/>
    </row>
    <row r="41" spans="1:15" ht="14" x14ac:dyDescent="0.3">
      <c r="A41" s="846" t="s">
        <v>62</v>
      </c>
      <c r="B41" s="834">
        <v>15</v>
      </c>
      <c r="C41" s="920">
        <f>'Var 1.-16. Standjahr'!CZ72</f>
        <v>-100939.4904361411</v>
      </c>
      <c r="D41" s="835">
        <f>'Var 1.-16. Standjahr'!CZ14</f>
        <v>73639.691252144097</v>
      </c>
      <c r="E41" s="835">
        <f>'Var 1.-16. Standjahr'!CZ68</f>
        <v>64064.222548212638</v>
      </c>
      <c r="F41" s="835">
        <f t="shared" si="0"/>
        <v>9575.4687039314595</v>
      </c>
      <c r="G41" s="836">
        <f t="shared" si="1"/>
        <v>1.1494667120439224</v>
      </c>
      <c r="H41" s="838">
        <f>'Var 1.-16. Standjahr'!CX12</f>
        <v>12349.914236706692</v>
      </c>
      <c r="I41" s="839">
        <f t="shared" si="2"/>
        <v>12.99990972284915</v>
      </c>
      <c r="J41" s="840">
        <f>'Var 1.-16. Standjahr'!CZ73</f>
        <v>14846.681310011889</v>
      </c>
      <c r="K41" s="9"/>
      <c r="L41" s="9"/>
    </row>
    <row r="42" spans="1:15" ht="14" x14ac:dyDescent="0.3">
      <c r="A42" s="847" t="s">
        <v>198</v>
      </c>
      <c r="B42" s="841">
        <v>16</v>
      </c>
      <c r="C42" s="921">
        <f>'Var 1.-16. Standjahr'!DG72</f>
        <v>-100146.00820855694</v>
      </c>
      <c r="D42" s="842">
        <f>'Var 1.-16. Standjahr'!DG14</f>
        <v>67594.716981132078</v>
      </c>
      <c r="E42" s="842">
        <f>'Var 1.-16. Standjahr'!DG68</f>
        <v>66801.23475354792</v>
      </c>
      <c r="F42" s="842">
        <f t="shared" si="0"/>
        <v>793.48222758415795</v>
      </c>
      <c r="G42" s="843">
        <f t="shared" si="1"/>
        <v>1.0118782568991662</v>
      </c>
      <c r="H42" s="842">
        <f>'Var 1.-16. Standjahr'!DE12</f>
        <v>11320.754716981133</v>
      </c>
      <c r="I42" s="839">
        <f t="shared" si="2"/>
        <v>11.916583912611719</v>
      </c>
      <c r="J42" s="845">
        <f>'Var 1.-16. Standjahr'!DG73</f>
        <v>4.3655745685100555E-11</v>
      </c>
    </row>
    <row r="43" spans="1:15" x14ac:dyDescent="0.25">
      <c r="B43" s="1"/>
      <c r="C43" s="45"/>
      <c r="D43" s="8"/>
      <c r="E43" s="8"/>
      <c r="F43" s="8"/>
      <c r="G43" s="8"/>
      <c r="H43" s="1"/>
      <c r="I43" s="1"/>
      <c r="J43" s="1"/>
    </row>
    <row r="44" spans="1:15" ht="15.5" x14ac:dyDescent="0.35">
      <c r="A44" s="27" t="s">
        <v>90</v>
      </c>
    </row>
    <row r="46" spans="1:15" ht="33.75" customHeight="1" x14ac:dyDescent="0.4">
      <c r="A46" s="861" t="s">
        <v>214</v>
      </c>
      <c r="B46" s="682"/>
      <c r="C46" s="685"/>
      <c r="D46" s="862">
        <f>C42</f>
        <v>-100146.00820855694</v>
      </c>
    </row>
    <row r="47" spans="1:15" s="1" customFormat="1" ht="16.5" x14ac:dyDescent="0.35">
      <c r="A47" s="679"/>
      <c r="B47" s="679"/>
      <c r="C47" s="680"/>
      <c r="D47" s="681"/>
    </row>
    <row r="48" spans="1:15" ht="21.75" customHeight="1" x14ac:dyDescent="0.35">
      <c r="A48" s="682" t="s">
        <v>91</v>
      </c>
      <c r="B48" s="683"/>
      <c r="C48" s="514"/>
      <c r="D48" s="684">
        <f>'Var Ertragsphase'!F72</f>
        <v>17.532985139786</v>
      </c>
    </row>
    <row r="49" spans="1:5" x14ac:dyDescent="0.25">
      <c r="A49" t="s">
        <v>92</v>
      </c>
      <c r="B49" s="12"/>
      <c r="D49" s="20">
        <f>'Var Ertragsphase'!D61</f>
        <v>1357.3333333333333</v>
      </c>
    </row>
    <row r="50" spans="1:5" ht="18.75" customHeight="1" x14ac:dyDescent="0.25">
      <c r="A50" t="s">
        <v>93</v>
      </c>
      <c r="D50" s="34">
        <f>2700/D49</f>
        <v>1.9891944990176817</v>
      </c>
      <c r="E50" t="s">
        <v>94</v>
      </c>
    </row>
    <row r="51" spans="1:5" ht="22.75" customHeight="1" x14ac:dyDescent="0.25">
      <c r="A51" t="s">
        <v>95</v>
      </c>
    </row>
    <row r="53" spans="1:5" ht="15.5" x14ac:dyDescent="0.35">
      <c r="A53" s="675" t="s">
        <v>96</v>
      </c>
      <c r="B53" s="675" t="str">
        <f>'Var Vorgaben'!B19</f>
        <v>28+ mm</v>
      </c>
      <c r="C53" s="717"/>
      <c r="D53" s="686">
        <f>'Var Ertragsphase'!F81</f>
        <v>8.0739425600406118</v>
      </c>
    </row>
    <row r="54" spans="1:5" ht="15.5" x14ac:dyDescent="0.35">
      <c r="A54" s="675" t="s">
        <v>97</v>
      </c>
      <c r="B54" s="675" t="str">
        <f>'Var Vorgaben'!C19</f>
        <v>24+ mm</v>
      </c>
      <c r="C54" s="717"/>
      <c r="D54" s="686">
        <f>'Var Ertragsphase'!F82</f>
        <v>6.3657741763930904</v>
      </c>
    </row>
    <row r="55" spans="1:5" ht="15.5" x14ac:dyDescent="0.35">
      <c r="A55" s="675"/>
      <c r="B55" s="675" t="str">
        <f>'Var Vorgaben'!D19</f>
        <v xml:space="preserve"> 22+ mm</v>
      </c>
      <c r="C55" s="717"/>
      <c r="D55" s="686" t="e">
        <f>'Var Ertragsphase'!F83</f>
        <v>#DIV/0!</v>
      </c>
    </row>
    <row r="56" spans="1:5" ht="15.5" x14ac:dyDescent="0.35">
      <c r="A56" s="675"/>
      <c r="B56" s="675" t="str">
        <f>'Var Vorgaben'!E19</f>
        <v xml:space="preserve"> Abgang</v>
      </c>
      <c r="C56" s="717"/>
      <c r="D56" s="686">
        <f>'Var Ertragsphase'!F84</f>
        <v>0</v>
      </c>
    </row>
  </sheetData>
  <phoneticPr fontId="25" type="noConversion"/>
  <printOptions gridLines="1" gridLinesSet="0"/>
  <pageMargins left="0.78740157480314965" right="0.78740157480314965" top="0.98425196850393704" bottom="0.98425196850393704" header="0.51181102362204722" footer="0.51181102362204722"/>
  <pageSetup paperSize="9" scale="75" orientation="landscape" r:id="rId1"/>
  <headerFooter alignWithMargins="0">
    <oddFooter>&amp;L&amp;6&amp;F&amp;C&amp;6&amp;A  &amp;R&amp;6Kontakt: matthias.zuercher@faw.admin.ch</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Vorgaben">
    <tabColor rgb="FF00359E"/>
  </sheetPr>
  <dimension ref="A1:Y163"/>
  <sheetViews>
    <sheetView topLeftCell="A37" zoomScale="75" zoomScaleNormal="60" zoomScaleSheetLayoutView="70" workbookViewId="0">
      <selection activeCell="G41" sqref="G41:G56"/>
    </sheetView>
  </sheetViews>
  <sheetFormatPr baseColWidth="10" defaultColWidth="11.36328125" defaultRowHeight="12.5" x14ac:dyDescent="0.25"/>
  <cols>
    <col min="1" max="1" width="32.7265625" customWidth="1"/>
    <col min="2" max="2" width="32.81640625" customWidth="1"/>
    <col min="3" max="3" width="23.36328125" style="137" bestFit="1" customWidth="1"/>
    <col min="4" max="4" width="22.36328125" style="12" bestFit="1" customWidth="1"/>
    <col min="5" max="5" width="28" style="12" bestFit="1" customWidth="1"/>
    <col min="6" max="6" width="22.36328125" style="12" bestFit="1" customWidth="1"/>
    <col min="7" max="7" width="25.54296875" bestFit="1" customWidth="1"/>
    <col min="8" max="8" width="81.36328125" bestFit="1" customWidth="1"/>
    <col min="9" max="9" width="23.36328125" bestFit="1" customWidth="1"/>
    <col min="10" max="10" width="4.36328125" customWidth="1"/>
    <col min="11" max="11" width="5.81640625" customWidth="1"/>
    <col min="12" max="12" width="6.36328125" customWidth="1"/>
    <col min="14" max="14" width="16" bestFit="1" customWidth="1"/>
  </cols>
  <sheetData>
    <row r="1" spans="1:14" ht="44.5" customHeight="1" x14ac:dyDescent="0.5">
      <c r="A1" s="369" t="s">
        <v>688</v>
      </c>
      <c r="B1" s="354" t="str">
        <f>B8</f>
        <v>Tafelkirsche</v>
      </c>
      <c r="C1" s="363"/>
      <c r="D1" s="359"/>
      <c r="E1" s="621"/>
      <c r="F1" s="356"/>
      <c r="G1" s="622"/>
      <c r="H1" s="351"/>
    </row>
    <row r="2" spans="1:14" s="1" customFormat="1" ht="27" customHeight="1" x14ac:dyDescent="0.5">
      <c r="A2" s="458" t="s">
        <v>267</v>
      </c>
      <c r="B2" s="621">
        <f>B11</f>
        <v>950</v>
      </c>
      <c r="C2" s="351"/>
      <c r="D2" s="351"/>
      <c r="E2" s="351"/>
      <c r="F2" s="623"/>
      <c r="G2" s="624"/>
      <c r="H2" s="351"/>
      <c r="J2"/>
      <c r="K2"/>
      <c r="L2"/>
      <c r="M2"/>
      <c r="N2"/>
    </row>
    <row r="3" spans="1:14" s="1" customFormat="1" ht="54" customHeight="1" x14ac:dyDescent="0.25">
      <c r="A3" s="352" t="s">
        <v>268</v>
      </c>
      <c r="B3" s="1351" t="s">
        <v>298</v>
      </c>
      <c r="C3" s="1375"/>
      <c r="D3" s="1375"/>
      <c r="E3" s="1375"/>
      <c r="F3" s="1375"/>
      <c r="G3" s="1375"/>
      <c r="H3" s="351"/>
      <c r="J3"/>
      <c r="K3"/>
      <c r="L3"/>
      <c r="M3"/>
      <c r="N3"/>
    </row>
    <row r="4" spans="1:14" s="1" customFormat="1" ht="20.25" customHeight="1" x14ac:dyDescent="0.25">
      <c r="A4" s="348"/>
      <c r="B4" s="349"/>
      <c r="C4" s="350"/>
      <c r="D4" s="350"/>
      <c r="E4" s="350"/>
      <c r="F4" s="350"/>
      <c r="G4" s="350"/>
      <c r="J4"/>
      <c r="K4"/>
      <c r="L4"/>
      <c r="M4"/>
      <c r="N4"/>
    </row>
    <row r="5" spans="1:14" s="1" customFormat="1" ht="33.75" customHeight="1" x14ac:dyDescent="0.5">
      <c r="A5" s="1376" t="s">
        <v>388</v>
      </c>
      <c r="B5" s="1377"/>
      <c r="C5" s="1373" t="s">
        <v>280</v>
      </c>
      <c r="D5" s="1374"/>
      <c r="E5" s="1374"/>
      <c r="F5" s="1374"/>
      <c r="G5" s="1374"/>
      <c r="H5" s="523"/>
      <c r="J5"/>
      <c r="K5"/>
      <c r="L5"/>
      <c r="M5"/>
      <c r="N5"/>
    </row>
    <row r="6" spans="1:14" ht="14" x14ac:dyDescent="0.3">
      <c r="H6" s="779" t="s">
        <v>141</v>
      </c>
    </row>
    <row r="7" spans="1:14" ht="25" x14ac:dyDescent="0.5">
      <c r="A7" s="369" t="s">
        <v>162</v>
      </c>
      <c r="B7" s="376"/>
      <c r="C7" s="377"/>
      <c r="D7" s="378"/>
      <c r="E7" s="379"/>
      <c r="F7" s="378"/>
      <c r="G7" s="380"/>
      <c r="H7" s="392"/>
    </row>
    <row r="8" spans="1:14" s="1" customFormat="1" ht="14" x14ac:dyDescent="0.3">
      <c r="A8" s="406" t="s">
        <v>163</v>
      </c>
      <c r="B8" s="574" t="s">
        <v>185</v>
      </c>
      <c r="C8" s="532"/>
      <c r="D8" s="403"/>
      <c r="E8" s="403"/>
      <c r="F8" s="403"/>
      <c r="G8" s="403"/>
      <c r="H8" s="405"/>
      <c r="J8"/>
      <c r="K8"/>
      <c r="L8"/>
      <c r="M8"/>
      <c r="N8"/>
    </row>
    <row r="9" spans="1:14" s="1" customFormat="1" ht="14" x14ac:dyDescent="0.3">
      <c r="A9" s="406" t="s">
        <v>279</v>
      </c>
      <c r="B9" s="574" t="s">
        <v>391</v>
      </c>
      <c r="C9" s="405"/>
      <c r="D9" s="403"/>
      <c r="E9" s="403"/>
      <c r="F9" s="403"/>
      <c r="G9" s="403"/>
      <c r="H9" s="405"/>
      <c r="J9"/>
      <c r="K9"/>
      <c r="L9"/>
      <c r="M9"/>
      <c r="N9"/>
    </row>
    <row r="10" spans="1:14" s="1" customFormat="1" ht="14" x14ac:dyDescent="0.3">
      <c r="A10" s="406" t="s">
        <v>164</v>
      </c>
      <c r="B10" s="574" t="s">
        <v>471</v>
      </c>
      <c r="C10" s="403"/>
      <c r="D10" s="403"/>
      <c r="E10" s="403"/>
      <c r="F10" s="403"/>
      <c r="G10" s="405"/>
      <c r="H10" s="405"/>
      <c r="J10"/>
      <c r="K10"/>
      <c r="L10"/>
      <c r="M10"/>
      <c r="N10"/>
    </row>
    <row r="11" spans="1:14" s="1" customFormat="1" ht="14" x14ac:dyDescent="0.3">
      <c r="A11" s="406" t="s">
        <v>14</v>
      </c>
      <c r="B11" s="741">
        <f>'Standard Erstellung'!E16</f>
        <v>950</v>
      </c>
      <c r="C11" s="403"/>
      <c r="D11" s="533"/>
      <c r="E11" s="534"/>
      <c r="F11" s="534"/>
      <c r="G11" s="403"/>
      <c r="H11" s="403"/>
      <c r="J11"/>
      <c r="K11"/>
      <c r="L11"/>
      <c r="M11"/>
      <c r="N11"/>
    </row>
    <row r="12" spans="1:14" s="1" customFormat="1" ht="14" x14ac:dyDescent="0.3">
      <c r="A12" s="406" t="s">
        <v>165</v>
      </c>
      <c r="B12" s="574" t="s">
        <v>7</v>
      </c>
      <c r="C12" s="535"/>
      <c r="D12" s="533"/>
      <c r="E12" s="534"/>
      <c r="F12" s="534"/>
      <c r="G12" s="403"/>
      <c r="H12" s="403"/>
      <c r="J12"/>
      <c r="K12"/>
      <c r="L12"/>
      <c r="M12"/>
      <c r="N12"/>
    </row>
    <row r="13" spans="1:14" s="1" customFormat="1" ht="14" x14ac:dyDescent="0.3">
      <c r="A13" s="406" t="s">
        <v>390</v>
      </c>
      <c r="B13" s="574" t="s">
        <v>457</v>
      </c>
      <c r="C13" s="575"/>
      <c r="D13" s="642"/>
      <c r="E13" s="538"/>
      <c r="F13" s="534"/>
      <c r="G13" s="19"/>
      <c r="H13" s="19"/>
      <c r="J13"/>
      <c r="K13"/>
      <c r="L13"/>
      <c r="M13"/>
      <c r="N13"/>
    </row>
    <row r="14" spans="1:14" s="1" customFormat="1" ht="14" x14ac:dyDescent="0.3">
      <c r="A14" s="406" t="s">
        <v>70</v>
      </c>
      <c r="B14" s="539" t="s">
        <v>101</v>
      </c>
      <c r="C14" s="405"/>
      <c r="D14" s="536"/>
      <c r="E14" s="537"/>
      <c r="F14" s="537"/>
      <c r="G14" s="25"/>
      <c r="H14" s="25"/>
      <c r="J14"/>
      <c r="K14"/>
      <c r="L14"/>
      <c r="M14"/>
      <c r="N14"/>
    </row>
    <row r="15" spans="1:14" ht="14" x14ac:dyDescent="0.3">
      <c r="A15" s="406" t="s">
        <v>270</v>
      </c>
      <c r="B15" s="539" t="s">
        <v>244</v>
      </c>
      <c r="C15" s="576" t="s">
        <v>413</v>
      </c>
      <c r="D15" s="577">
        <v>7</v>
      </c>
      <c r="E15" s="403"/>
      <c r="F15" s="403"/>
      <c r="G15" s="403"/>
      <c r="H15" s="540"/>
    </row>
    <row r="16" spans="1:14" ht="14" x14ac:dyDescent="0.3">
      <c r="A16" s="406" t="s">
        <v>186</v>
      </c>
      <c r="B16" s="539" t="s">
        <v>102</v>
      </c>
      <c r="C16" s="541"/>
      <c r="D16" s="402"/>
      <c r="E16" s="403"/>
      <c r="F16" s="402"/>
      <c r="G16" s="402"/>
      <c r="H16" s="540"/>
    </row>
    <row r="17" spans="1:14" ht="14" x14ac:dyDescent="0.3">
      <c r="A17" s="406" t="s">
        <v>456</v>
      </c>
      <c r="B17" s="539" t="s">
        <v>244</v>
      </c>
      <c r="C17" s="576" t="s">
        <v>413</v>
      </c>
      <c r="D17" s="577" t="s">
        <v>458</v>
      </c>
      <c r="E17" s="403"/>
      <c r="F17" s="402"/>
      <c r="G17" s="402"/>
      <c r="H17" s="540"/>
    </row>
    <row r="18" spans="1:14" ht="14" x14ac:dyDescent="0.3">
      <c r="A18" s="406" t="s">
        <v>180</v>
      </c>
      <c r="B18" s="539" t="s">
        <v>102</v>
      </c>
      <c r="C18" s="541"/>
      <c r="D18" s="402"/>
      <c r="E18" s="403"/>
      <c r="F18" s="402"/>
      <c r="G18" s="402"/>
      <c r="H18" s="540"/>
    </row>
    <row r="19" spans="1:14" ht="33.75" customHeight="1" x14ac:dyDescent="0.3">
      <c r="A19" s="1357" t="s">
        <v>532</v>
      </c>
      <c r="B19" s="1358"/>
      <c r="C19" s="405"/>
      <c r="D19" s="402"/>
      <c r="E19" s="403"/>
      <c r="F19" s="542"/>
      <c r="G19" s="403"/>
      <c r="H19" s="540"/>
    </row>
    <row r="20" spans="1:14" ht="14" x14ac:dyDescent="0.3">
      <c r="A20" s="406" t="s">
        <v>284</v>
      </c>
      <c r="B20" s="578" t="s">
        <v>668</v>
      </c>
      <c r="C20" s="578" t="s">
        <v>671</v>
      </c>
      <c r="D20" s="538" t="s">
        <v>669</v>
      </c>
      <c r="E20" s="538" t="s">
        <v>670</v>
      </c>
      <c r="F20" s="542"/>
      <c r="G20" s="403"/>
      <c r="H20" s="540"/>
    </row>
    <row r="21" spans="1:14" ht="15" customHeight="1" x14ac:dyDescent="0.3">
      <c r="A21" s="540"/>
      <c r="B21" s="405"/>
      <c r="C21" s="403"/>
      <c r="D21" s="402"/>
      <c r="E21" s="403"/>
      <c r="F21" s="544"/>
      <c r="G21" s="403"/>
      <c r="H21" s="540"/>
    </row>
    <row r="22" spans="1:14" ht="14" x14ac:dyDescent="0.3">
      <c r="A22" s="407" t="s">
        <v>89</v>
      </c>
      <c r="B22" s="579">
        <v>4</v>
      </c>
      <c r="C22" s="545"/>
      <c r="D22" s="402"/>
      <c r="E22" s="403"/>
      <c r="F22" s="537"/>
      <c r="G22" s="403"/>
      <c r="H22" s="540"/>
    </row>
    <row r="23" spans="1:14" s="1" customFormat="1" ht="14.5" thickBot="1" x14ac:dyDescent="0.35">
      <c r="A23" s="403" t="s">
        <v>99</v>
      </c>
      <c r="B23" s="580">
        <v>16</v>
      </c>
      <c r="C23" s="403"/>
      <c r="D23" s="405"/>
      <c r="E23" s="405"/>
      <c r="F23" s="405"/>
      <c r="G23" s="405"/>
      <c r="H23" s="405"/>
      <c r="J23"/>
      <c r="K23"/>
      <c r="L23"/>
      <c r="M23"/>
      <c r="N23"/>
    </row>
    <row r="24" spans="1:14" s="1" customFormat="1" ht="14" x14ac:dyDescent="0.3">
      <c r="A24" s="408" t="s">
        <v>10</v>
      </c>
      <c r="B24" s="571">
        <f>B23-B22</f>
        <v>12</v>
      </c>
      <c r="C24" s="403"/>
      <c r="D24" s="543"/>
      <c r="E24" s="543"/>
      <c r="F24" s="543"/>
      <c r="G24" s="405"/>
      <c r="H24" s="405"/>
      <c r="J24"/>
      <c r="K24"/>
      <c r="L24"/>
      <c r="M24"/>
      <c r="N24"/>
    </row>
    <row r="25" spans="1:14" s="1" customFormat="1" ht="14" x14ac:dyDescent="0.3">
      <c r="A25" s="405"/>
      <c r="B25" s="405"/>
      <c r="C25" s="403"/>
      <c r="D25" s="543"/>
      <c r="E25" s="543"/>
      <c r="F25" s="543"/>
      <c r="G25" s="405"/>
      <c r="H25" s="405"/>
      <c r="J25"/>
      <c r="K25"/>
      <c r="L25"/>
      <c r="M25"/>
      <c r="N25"/>
    </row>
    <row r="26" spans="1:14" s="1" customFormat="1" ht="14" x14ac:dyDescent="0.3">
      <c r="A26" s="406" t="s">
        <v>15</v>
      </c>
      <c r="B26" s="405" t="s">
        <v>16</v>
      </c>
      <c r="C26" s="581">
        <v>18</v>
      </c>
      <c r="D26" s="539" t="s">
        <v>462</v>
      </c>
      <c r="E26" s="405"/>
      <c r="F26" s="405"/>
      <c r="G26" s="405"/>
      <c r="H26" s="100"/>
      <c r="J26"/>
      <c r="K26"/>
      <c r="L26"/>
      <c r="M26"/>
      <c r="N26"/>
    </row>
    <row r="27" spans="1:14" s="1" customFormat="1" ht="14" x14ac:dyDescent="0.3">
      <c r="A27" s="406" t="s">
        <v>110</v>
      </c>
      <c r="B27" s="540" t="s">
        <v>467</v>
      </c>
      <c r="C27" s="576">
        <v>41.4</v>
      </c>
      <c r="D27" s="405"/>
      <c r="E27" s="405"/>
      <c r="F27" s="405"/>
      <c r="G27" s="405"/>
      <c r="H27" s="100"/>
      <c r="J27"/>
      <c r="K27"/>
      <c r="L27"/>
      <c r="M27"/>
      <c r="N27"/>
    </row>
    <row r="28" spans="1:14" s="1" customFormat="1" ht="14" x14ac:dyDescent="0.3">
      <c r="A28" s="405"/>
      <c r="B28" s="540" t="s">
        <v>149</v>
      </c>
      <c r="C28" s="576">
        <v>24</v>
      </c>
      <c r="G28" s="547"/>
      <c r="H28" s="100"/>
      <c r="J28"/>
      <c r="K28"/>
      <c r="L28"/>
      <c r="M28"/>
      <c r="N28"/>
    </row>
    <row r="29" spans="1:14" s="1" customFormat="1" ht="14.5" thickBot="1" x14ac:dyDescent="0.35">
      <c r="A29" s="405"/>
      <c r="B29" s="405" t="s">
        <v>160</v>
      </c>
      <c r="C29" s="582">
        <v>21.5</v>
      </c>
      <c r="D29" s="1379" t="s">
        <v>416</v>
      </c>
      <c r="E29" s="1380"/>
      <c r="F29" s="583">
        <v>0.9</v>
      </c>
      <c r="G29" s="405"/>
      <c r="H29" s="100"/>
      <c r="J29"/>
      <c r="K29"/>
      <c r="L29"/>
      <c r="M29"/>
      <c r="N29"/>
    </row>
    <row r="30" spans="1:14" s="1" customFormat="1" ht="14" x14ac:dyDescent="0.3">
      <c r="A30" s="405"/>
      <c r="B30" s="540" t="s">
        <v>469</v>
      </c>
      <c r="C30" s="546">
        <f>(F29*C29)+(((1-F29)/2)*C28)+ (((1-F29)/2)*C27)</f>
        <v>22.62</v>
      </c>
      <c r="D30" s="548"/>
      <c r="E30" s="543"/>
      <c r="F30" s="543"/>
      <c r="G30" s="405"/>
      <c r="H30" s="100"/>
      <c r="J30"/>
      <c r="K30"/>
      <c r="L30"/>
      <c r="M30"/>
      <c r="N30"/>
    </row>
    <row r="31" spans="1:14" s="1" customFormat="1" ht="14" x14ac:dyDescent="0.3">
      <c r="A31" s="405"/>
      <c r="B31" s="540" t="s">
        <v>470</v>
      </c>
      <c r="C31" s="546">
        <f>AVERAGE(C27:C28)</f>
        <v>32.700000000000003</v>
      </c>
      <c r="D31" s="548"/>
      <c r="E31" s="543"/>
      <c r="F31" s="543"/>
      <c r="G31" s="405"/>
      <c r="H31" s="100"/>
      <c r="J31"/>
      <c r="K31"/>
      <c r="L31"/>
      <c r="M31"/>
      <c r="N31"/>
    </row>
    <row r="32" spans="1:14" s="1" customFormat="1" ht="14" x14ac:dyDescent="0.3">
      <c r="A32" s="405"/>
      <c r="B32" s="540" t="s">
        <v>530</v>
      </c>
      <c r="C32" s="541">
        <f>AVERAGE(C28:C29)</f>
        <v>22.75</v>
      </c>
      <c r="D32" s="548"/>
      <c r="E32" s="543"/>
      <c r="F32" s="543"/>
      <c r="G32" s="405"/>
      <c r="H32" s="100"/>
      <c r="J32"/>
      <c r="K32"/>
      <c r="L32"/>
      <c r="M32"/>
      <c r="N32"/>
    </row>
    <row r="33" spans="1:14" s="1" customFormat="1" ht="14" x14ac:dyDescent="0.3">
      <c r="A33" s="402" t="s">
        <v>395</v>
      </c>
      <c r="B33" s="405"/>
      <c r="C33" s="584">
        <v>6000</v>
      </c>
      <c r="D33" s="405"/>
      <c r="E33" s="405" t="s">
        <v>528</v>
      </c>
      <c r="F33" s="405" t="s">
        <v>215</v>
      </c>
      <c r="G33" s="1271">
        <v>700</v>
      </c>
      <c r="H33" s="870"/>
      <c r="J33"/>
      <c r="K33"/>
      <c r="L33"/>
      <c r="M33"/>
      <c r="N33"/>
    </row>
    <row r="34" spans="1:14" s="1" customFormat="1" ht="14" x14ac:dyDescent="0.3">
      <c r="A34" s="402" t="s">
        <v>396</v>
      </c>
      <c r="B34" s="405"/>
      <c r="C34" s="922">
        <v>1100</v>
      </c>
      <c r="D34" s="405"/>
      <c r="E34" s="405"/>
      <c r="F34" s="405" t="s">
        <v>188</v>
      </c>
      <c r="G34" s="587">
        <v>2.57</v>
      </c>
      <c r="H34" s="100"/>
      <c r="J34"/>
      <c r="K34"/>
      <c r="L34"/>
      <c r="M34"/>
      <c r="N34"/>
    </row>
    <row r="35" spans="1:14" s="1" customFormat="1" ht="14" x14ac:dyDescent="0.3">
      <c r="A35" s="402" t="s">
        <v>17</v>
      </c>
      <c r="C35" s="585">
        <v>1.4999999999999999E-2</v>
      </c>
      <c r="D35" s="405"/>
      <c r="E35" s="405"/>
      <c r="F35" s="405" t="s">
        <v>628</v>
      </c>
      <c r="G35" s="1251">
        <v>0.65</v>
      </c>
      <c r="H35" s="100"/>
      <c r="J35"/>
      <c r="K35"/>
      <c r="L35"/>
      <c r="M35"/>
      <c r="N35"/>
    </row>
    <row r="36" spans="1:14" ht="14" x14ac:dyDescent="0.3">
      <c r="A36" s="405" t="s">
        <v>222</v>
      </c>
      <c r="B36" s="540"/>
      <c r="C36" s="864">
        <v>0.6</v>
      </c>
      <c r="D36" s="548"/>
      <c r="E36" s="548"/>
      <c r="F36" s="548"/>
      <c r="G36" s="540"/>
      <c r="H36" s="87"/>
    </row>
    <row r="37" spans="1:14" ht="14" x14ac:dyDescent="0.3">
      <c r="A37" s="406" t="s">
        <v>204</v>
      </c>
      <c r="B37" s="540"/>
      <c r="C37" s="586">
        <v>660</v>
      </c>
      <c r="D37" s="548"/>
      <c r="E37" s="548"/>
      <c r="F37" s="548"/>
      <c r="G37" s="540"/>
      <c r="H37" s="87"/>
    </row>
    <row r="38" spans="1:14" ht="14" x14ac:dyDescent="0.3">
      <c r="A38" s="549"/>
      <c r="B38" s="540"/>
      <c r="C38" s="550"/>
      <c r="D38" s="548"/>
      <c r="E38" s="548"/>
      <c r="G38" s="540"/>
      <c r="H38" s="87"/>
    </row>
    <row r="39" spans="1:14" ht="25" x14ac:dyDescent="0.5">
      <c r="A39" s="381" t="s">
        <v>466</v>
      </c>
      <c r="B39" s="382"/>
      <c r="C39" s="383"/>
      <c r="D39" s="384"/>
      <c r="E39" s="385"/>
      <c r="F39" s="874"/>
      <c r="G39" s="392"/>
      <c r="H39" s="392"/>
    </row>
    <row r="40" spans="1:14" ht="13" x14ac:dyDescent="0.3">
      <c r="A40" s="316" t="s">
        <v>44</v>
      </c>
      <c r="B40" s="113" t="str">
        <f>B20</f>
        <v>28+ mm</v>
      </c>
      <c r="C40" s="113" t="str">
        <f>C20</f>
        <v>24+ mm</v>
      </c>
      <c r="D40" s="113" t="str">
        <f>D20</f>
        <v xml:space="preserve"> 22+ mm</v>
      </c>
      <c r="E40" s="113" t="str">
        <f>E20</f>
        <v xml:space="preserve"> Abgang</v>
      </c>
      <c r="F40" s="113" t="s">
        <v>45</v>
      </c>
      <c r="G40" s="113" t="s">
        <v>46</v>
      </c>
      <c r="H40" s="404" t="s">
        <v>44</v>
      </c>
    </row>
    <row r="41" spans="1:14" ht="13" x14ac:dyDescent="0.3">
      <c r="A41" s="269">
        <v>1</v>
      </c>
      <c r="B41" s="95">
        <v>7.09</v>
      </c>
      <c r="C41" s="95">
        <v>5.59</v>
      </c>
      <c r="D41" s="95">
        <v>4</v>
      </c>
      <c r="E41" s="95">
        <v>0</v>
      </c>
      <c r="F41" s="189">
        <f>G41*$B$11</f>
        <v>0</v>
      </c>
      <c r="G41" s="343">
        <v>0</v>
      </c>
      <c r="H41" s="161">
        <v>1</v>
      </c>
    </row>
    <row r="42" spans="1:14" ht="13" x14ac:dyDescent="0.3">
      <c r="A42" s="269">
        <v>2</v>
      </c>
      <c r="B42" s="63">
        <f t="shared" ref="B42:B56" si="0">$B$41</f>
        <v>7.09</v>
      </c>
      <c r="C42" s="63">
        <f t="shared" ref="C42:C56" si="1">$C$41</f>
        <v>5.59</v>
      </c>
      <c r="D42" s="63">
        <f t="shared" ref="D42:D56" si="2">$D$41</f>
        <v>4</v>
      </c>
      <c r="E42" s="63">
        <f>$E$41</f>
        <v>0</v>
      </c>
      <c r="F42" s="189">
        <f>G42*$B$11</f>
        <v>0</v>
      </c>
      <c r="G42" s="343">
        <v>0</v>
      </c>
      <c r="H42" s="161">
        <v>2</v>
      </c>
    </row>
    <row r="43" spans="1:14" ht="13" x14ac:dyDescent="0.3">
      <c r="A43" s="269">
        <v>3</v>
      </c>
      <c r="B43" s="63">
        <f t="shared" si="0"/>
        <v>7.09</v>
      </c>
      <c r="C43" s="63">
        <f t="shared" si="1"/>
        <v>5.59</v>
      </c>
      <c r="D43" s="63">
        <f t="shared" si="2"/>
        <v>4</v>
      </c>
      <c r="E43" s="63">
        <f t="shared" ref="E43:E56" si="3">$E$41</f>
        <v>0</v>
      </c>
      <c r="F43" s="189">
        <f>G43*$B$11</f>
        <v>1029.1595197255574</v>
      </c>
      <c r="G43" s="343">
        <v>1.0833258102374288</v>
      </c>
      <c r="H43" s="161">
        <v>3</v>
      </c>
    </row>
    <row r="44" spans="1:14" ht="13" x14ac:dyDescent="0.3">
      <c r="A44" s="269">
        <v>4</v>
      </c>
      <c r="B44" s="63">
        <f t="shared" si="0"/>
        <v>7.09</v>
      </c>
      <c r="C44" s="63">
        <f t="shared" si="1"/>
        <v>5.59</v>
      </c>
      <c r="D44" s="63">
        <f t="shared" si="2"/>
        <v>4</v>
      </c>
      <c r="E44" s="63">
        <f t="shared" si="3"/>
        <v>0</v>
      </c>
      <c r="F44" s="189">
        <f>G44*$B$11</f>
        <v>4116.6380789022296</v>
      </c>
      <c r="G44" s="343">
        <v>4.3333032409497152</v>
      </c>
      <c r="H44" s="161">
        <v>4</v>
      </c>
    </row>
    <row r="45" spans="1:14" ht="13" x14ac:dyDescent="0.3">
      <c r="A45" s="64">
        <v>5</v>
      </c>
      <c r="B45" s="63">
        <f t="shared" si="0"/>
        <v>7.09</v>
      </c>
      <c r="C45" s="63">
        <f t="shared" si="1"/>
        <v>5.59</v>
      </c>
      <c r="D45" s="63">
        <f t="shared" si="2"/>
        <v>4</v>
      </c>
      <c r="E45" s="63">
        <f t="shared" si="3"/>
        <v>0</v>
      </c>
      <c r="F45" s="189">
        <f>G45*$B$11</f>
        <v>9241.8524871355039</v>
      </c>
      <c r="G45" s="343">
        <v>9.7282657759321101</v>
      </c>
      <c r="H45" s="161">
        <v>5</v>
      </c>
    </row>
    <row r="46" spans="1:14" ht="13" x14ac:dyDescent="0.3">
      <c r="A46" s="64">
        <v>6</v>
      </c>
      <c r="B46" s="63">
        <f t="shared" si="0"/>
        <v>7.09</v>
      </c>
      <c r="C46" s="63">
        <f t="shared" si="1"/>
        <v>5.59</v>
      </c>
      <c r="D46" s="63">
        <f t="shared" si="2"/>
        <v>4</v>
      </c>
      <c r="E46" s="63">
        <f t="shared" si="3"/>
        <v>0</v>
      </c>
      <c r="F46" s="189">
        <f t="shared" ref="F46:F55" si="4">G46*$B$11</f>
        <v>11938.250428816466</v>
      </c>
      <c r="G46" s="343">
        <v>12.566579398754174</v>
      </c>
      <c r="H46" s="161">
        <v>6</v>
      </c>
    </row>
    <row r="47" spans="1:14" ht="13" x14ac:dyDescent="0.3">
      <c r="A47" s="64">
        <v>7</v>
      </c>
      <c r="B47" s="63">
        <f t="shared" si="0"/>
        <v>7.09</v>
      </c>
      <c r="C47" s="63">
        <f t="shared" si="1"/>
        <v>5.59</v>
      </c>
      <c r="D47" s="63">
        <f t="shared" si="2"/>
        <v>4</v>
      </c>
      <c r="E47" s="63">
        <f t="shared" si="3"/>
        <v>0</v>
      </c>
      <c r="F47" s="189">
        <f t="shared" si="4"/>
        <v>14408.233276157802</v>
      </c>
      <c r="G47" s="343">
        <v>15.166561343324002</v>
      </c>
      <c r="H47" s="161">
        <v>7</v>
      </c>
    </row>
    <row r="48" spans="1:14" ht="13" x14ac:dyDescent="0.3">
      <c r="A48" s="64">
        <v>8</v>
      </c>
      <c r="B48" s="63">
        <f t="shared" si="0"/>
        <v>7.09</v>
      </c>
      <c r="C48" s="63">
        <f t="shared" si="1"/>
        <v>5.59</v>
      </c>
      <c r="D48" s="63">
        <f t="shared" si="2"/>
        <v>4</v>
      </c>
      <c r="E48" s="63">
        <f t="shared" si="3"/>
        <v>0</v>
      </c>
      <c r="F48" s="189">
        <f t="shared" si="4"/>
        <v>14408.233276157802</v>
      </c>
      <c r="G48" s="343">
        <v>15.166561343324002</v>
      </c>
      <c r="H48" s="161">
        <v>8</v>
      </c>
    </row>
    <row r="49" spans="1:8" ht="13" x14ac:dyDescent="0.3">
      <c r="A49" s="64">
        <v>9</v>
      </c>
      <c r="B49" s="63">
        <f t="shared" si="0"/>
        <v>7.09</v>
      </c>
      <c r="C49" s="63">
        <f t="shared" si="1"/>
        <v>5.59</v>
      </c>
      <c r="D49" s="63">
        <f t="shared" si="2"/>
        <v>4</v>
      </c>
      <c r="E49" s="63">
        <f t="shared" si="3"/>
        <v>0</v>
      </c>
      <c r="F49" s="189">
        <f t="shared" si="4"/>
        <v>14408.233276157802</v>
      </c>
      <c r="G49" s="343">
        <v>15.166561343324002</v>
      </c>
      <c r="H49" s="161">
        <v>9</v>
      </c>
    </row>
    <row r="50" spans="1:8" ht="13" x14ac:dyDescent="0.3">
      <c r="A50" s="64">
        <v>10</v>
      </c>
      <c r="B50" s="63">
        <f t="shared" si="0"/>
        <v>7.09</v>
      </c>
      <c r="C50" s="63">
        <f t="shared" si="1"/>
        <v>5.59</v>
      </c>
      <c r="D50" s="63">
        <f t="shared" si="2"/>
        <v>4</v>
      </c>
      <c r="E50" s="63">
        <f t="shared" si="3"/>
        <v>0</v>
      </c>
      <c r="F50" s="189">
        <f t="shared" si="4"/>
        <v>14408.233276157802</v>
      </c>
      <c r="G50" s="343">
        <v>15.166561343324002</v>
      </c>
      <c r="H50" s="161">
        <v>10</v>
      </c>
    </row>
    <row r="51" spans="1:8" ht="13" x14ac:dyDescent="0.3">
      <c r="A51" s="64">
        <v>11</v>
      </c>
      <c r="B51" s="63">
        <f t="shared" si="0"/>
        <v>7.09</v>
      </c>
      <c r="C51" s="63">
        <f t="shared" si="1"/>
        <v>5.59</v>
      </c>
      <c r="D51" s="63">
        <f t="shared" si="2"/>
        <v>4</v>
      </c>
      <c r="E51" s="63">
        <f t="shared" si="3"/>
        <v>0</v>
      </c>
      <c r="F51" s="189">
        <f t="shared" si="4"/>
        <v>13379.073756432244</v>
      </c>
      <c r="G51" s="343">
        <v>14.083235533086572</v>
      </c>
      <c r="H51" s="161">
        <v>11</v>
      </c>
    </row>
    <row r="52" spans="1:8" ht="13" x14ac:dyDescent="0.3">
      <c r="A52" s="64">
        <v>12</v>
      </c>
      <c r="B52" s="63">
        <f t="shared" si="0"/>
        <v>7.09</v>
      </c>
      <c r="C52" s="63">
        <f t="shared" si="1"/>
        <v>5.59</v>
      </c>
      <c r="D52" s="63">
        <f t="shared" si="2"/>
        <v>4</v>
      </c>
      <c r="E52" s="63">
        <f t="shared" si="3"/>
        <v>0</v>
      </c>
      <c r="F52" s="189">
        <f t="shared" si="4"/>
        <v>13379.073756432244</v>
      </c>
      <c r="G52" s="343">
        <v>14.083235533086572</v>
      </c>
      <c r="H52" s="161">
        <v>12</v>
      </c>
    </row>
    <row r="53" spans="1:8" ht="13" x14ac:dyDescent="0.3">
      <c r="A53" s="64">
        <v>13</v>
      </c>
      <c r="B53" s="63">
        <f t="shared" si="0"/>
        <v>7.09</v>
      </c>
      <c r="C53" s="63">
        <f t="shared" si="1"/>
        <v>5.59</v>
      </c>
      <c r="D53" s="63">
        <f t="shared" si="2"/>
        <v>4</v>
      </c>
      <c r="E53" s="63">
        <f t="shared" si="3"/>
        <v>0</v>
      </c>
      <c r="F53" s="189">
        <f t="shared" si="4"/>
        <v>13379.073756432244</v>
      </c>
      <c r="G53" s="343">
        <v>14.083235533086572</v>
      </c>
      <c r="H53" s="161">
        <v>13</v>
      </c>
    </row>
    <row r="54" spans="1:8" ht="13" x14ac:dyDescent="0.3">
      <c r="A54" s="64">
        <v>14</v>
      </c>
      <c r="B54" s="63">
        <f t="shared" si="0"/>
        <v>7.09</v>
      </c>
      <c r="C54" s="63">
        <f t="shared" si="1"/>
        <v>5.59</v>
      </c>
      <c r="D54" s="63">
        <f t="shared" si="2"/>
        <v>4</v>
      </c>
      <c r="E54" s="63">
        <f t="shared" si="3"/>
        <v>0</v>
      </c>
      <c r="F54" s="189">
        <f t="shared" si="4"/>
        <v>13379.073756432244</v>
      </c>
      <c r="G54" s="343">
        <v>14.083235533086572</v>
      </c>
      <c r="H54" s="161">
        <v>14</v>
      </c>
    </row>
    <row r="55" spans="1:8" ht="13" x14ac:dyDescent="0.3">
      <c r="A55" s="64">
        <v>15</v>
      </c>
      <c r="B55" s="63">
        <f t="shared" si="0"/>
        <v>7.09</v>
      </c>
      <c r="C55" s="63">
        <f t="shared" si="1"/>
        <v>5.59</v>
      </c>
      <c r="D55" s="63">
        <f t="shared" si="2"/>
        <v>4</v>
      </c>
      <c r="E55" s="63">
        <f t="shared" si="3"/>
        <v>0</v>
      </c>
      <c r="F55" s="189">
        <f t="shared" si="4"/>
        <v>12349.914236706689</v>
      </c>
      <c r="G55" s="343">
        <v>12.999909722849146</v>
      </c>
      <c r="H55" s="161">
        <v>15</v>
      </c>
    </row>
    <row r="56" spans="1:8" ht="13" x14ac:dyDescent="0.3">
      <c r="A56" s="64">
        <v>16</v>
      </c>
      <c r="B56" s="63">
        <f t="shared" si="0"/>
        <v>7.09</v>
      </c>
      <c r="C56" s="63">
        <f t="shared" si="1"/>
        <v>5.59</v>
      </c>
      <c r="D56" s="63">
        <f t="shared" si="2"/>
        <v>4</v>
      </c>
      <c r="E56" s="63">
        <f t="shared" si="3"/>
        <v>0</v>
      </c>
      <c r="F56" s="189">
        <f>G56*$B$11</f>
        <v>11320.754716981131</v>
      </c>
      <c r="G56" s="343">
        <v>11.916583912611717</v>
      </c>
      <c r="H56" s="161">
        <v>16</v>
      </c>
    </row>
    <row r="57" spans="1:8" ht="13" x14ac:dyDescent="0.3">
      <c r="A57" s="71" t="s">
        <v>189</v>
      </c>
      <c r="B57" s="12"/>
      <c r="C57"/>
      <c r="D57"/>
      <c r="F57" s="98">
        <f>SUM(F41:F44)</f>
        <v>5145.797598627787</v>
      </c>
      <c r="G57" s="111">
        <f>SUM(G41:G44)</f>
        <v>5.4166290511871438</v>
      </c>
    </row>
    <row r="58" spans="1:8" ht="13" x14ac:dyDescent="0.3">
      <c r="A58" s="71" t="s">
        <v>190</v>
      </c>
      <c r="B58" s="81"/>
      <c r="C58"/>
      <c r="D58"/>
      <c r="F58" s="98">
        <f>SUM(F41:F56)</f>
        <v>161145.79759862777</v>
      </c>
      <c r="G58" s="111">
        <f>SUM(G41:G56)</f>
        <v>169.62715536697655</v>
      </c>
    </row>
    <row r="59" spans="1:8" ht="13" x14ac:dyDescent="0.3">
      <c r="A59" s="71" t="s">
        <v>191</v>
      </c>
      <c r="B59" s="572">
        <f t="shared" ref="B59:G59" si="5">AVERAGE(B45:B56)</f>
        <v>7.0900000000000025</v>
      </c>
      <c r="C59" s="572">
        <f t="shared" si="5"/>
        <v>5.5900000000000007</v>
      </c>
      <c r="D59" s="572">
        <f t="shared" si="5"/>
        <v>4</v>
      </c>
      <c r="E59" s="572">
        <f t="shared" si="5"/>
        <v>0</v>
      </c>
      <c r="F59" s="98">
        <f>AVERAGE(F45:F56)</f>
        <v>12999.999999999998</v>
      </c>
      <c r="G59" s="111">
        <f t="shared" si="5"/>
        <v>13.684210526315786</v>
      </c>
    </row>
    <row r="60" spans="1:8" ht="13" x14ac:dyDescent="0.3">
      <c r="A60" s="71" t="s">
        <v>192</v>
      </c>
      <c r="B60" s="572">
        <f t="shared" ref="B60:G60" si="6">AVERAGE(B41:B56)</f>
        <v>7.0900000000000025</v>
      </c>
      <c r="C60" s="572">
        <f t="shared" si="6"/>
        <v>5.5900000000000016</v>
      </c>
      <c r="D60" s="572">
        <f t="shared" si="6"/>
        <v>4</v>
      </c>
      <c r="E60" s="572">
        <f t="shared" si="6"/>
        <v>0</v>
      </c>
      <c r="F60" s="98">
        <f>AVERAGE(F41:F56)</f>
        <v>10071.612349914236</v>
      </c>
      <c r="G60" s="111">
        <f t="shared" si="6"/>
        <v>10.601697210436035</v>
      </c>
    </row>
    <row r="61" spans="1:8" ht="13" x14ac:dyDescent="0.3">
      <c r="A61" s="1"/>
      <c r="B61" s="110"/>
      <c r="C61" s="110"/>
      <c r="D61" s="110"/>
      <c r="E61" s="98"/>
      <c r="F61" s="111"/>
      <c r="G61" s="1"/>
    </row>
    <row r="62" spans="1:8" ht="25" x14ac:dyDescent="0.5">
      <c r="A62" s="381" t="s">
        <v>187</v>
      </c>
      <c r="B62" s="382"/>
      <c r="C62" s="383"/>
      <c r="D62" s="384"/>
      <c r="E62" s="385"/>
      <c r="F62" s="386"/>
      <c r="G62" s="1359"/>
      <c r="H62" s="1360"/>
    </row>
    <row r="63" spans="1:8" ht="13" x14ac:dyDescent="0.3">
      <c r="A63" s="316" t="s">
        <v>44</v>
      </c>
      <c r="B63" s="128" t="str">
        <f>B20</f>
        <v>28+ mm</v>
      </c>
      <c r="C63" s="128" t="str">
        <f>C20</f>
        <v>24+ mm</v>
      </c>
      <c r="D63" s="128" t="str">
        <f>D20</f>
        <v xml:space="preserve"> 22+ mm</v>
      </c>
      <c r="E63" s="128" t="str">
        <f>E20</f>
        <v xml:space="preserve"> Abgang</v>
      </c>
      <c r="F63" s="399" t="s">
        <v>47</v>
      </c>
      <c r="G63" s="125" t="s">
        <v>44</v>
      </c>
      <c r="H63" s="1"/>
    </row>
    <row r="64" spans="1:8" ht="13" x14ac:dyDescent="0.3">
      <c r="B64" s="113" t="s">
        <v>67</v>
      </c>
      <c r="C64" s="114" t="s">
        <v>67</v>
      </c>
      <c r="D64" s="114" t="s">
        <v>67</v>
      </c>
      <c r="E64" s="114" t="s">
        <v>67</v>
      </c>
      <c r="F64" s="122" t="s">
        <v>75</v>
      </c>
      <c r="G64" s="103"/>
    </row>
    <row r="65" spans="1:7" ht="13" x14ac:dyDescent="0.3">
      <c r="A65" s="270">
        <v>1</v>
      </c>
      <c r="B65" s="119">
        <v>0.45</v>
      </c>
      <c r="C65" s="119">
        <v>0.48</v>
      </c>
      <c r="D65" s="119">
        <v>0</v>
      </c>
      <c r="E65" s="119">
        <v>7.0000000000000007E-2</v>
      </c>
      <c r="F65" s="284">
        <v>12</v>
      </c>
      <c r="G65" s="161">
        <v>1</v>
      </c>
    </row>
    <row r="66" spans="1:7" ht="13" x14ac:dyDescent="0.3">
      <c r="A66" s="270">
        <v>2</v>
      </c>
      <c r="B66" s="108">
        <f t="shared" ref="B66:B80" si="7">$B$65</f>
        <v>0.45</v>
      </c>
      <c r="C66" s="108">
        <f t="shared" ref="C66:C80" si="8">$C$65</f>
        <v>0.48</v>
      </c>
      <c r="D66" s="108">
        <f t="shared" ref="D66:D80" si="9">$D$65</f>
        <v>0</v>
      </c>
      <c r="E66" s="317">
        <f>$E$65</f>
        <v>7.0000000000000007E-2</v>
      </c>
      <c r="F66" s="742">
        <f t="shared" ref="F66:F80" si="10">$F$65</f>
        <v>12</v>
      </c>
      <c r="G66" s="161">
        <v>2</v>
      </c>
    </row>
    <row r="67" spans="1:7" ht="13" x14ac:dyDescent="0.3">
      <c r="A67" s="270">
        <v>3</v>
      </c>
      <c r="B67" s="108">
        <f t="shared" si="7"/>
        <v>0.45</v>
      </c>
      <c r="C67" s="108">
        <f t="shared" si="8"/>
        <v>0.48</v>
      </c>
      <c r="D67" s="108">
        <f t="shared" si="9"/>
        <v>0</v>
      </c>
      <c r="E67" s="317">
        <f t="shared" ref="E67:E80" si="11">$E$65</f>
        <v>7.0000000000000007E-2</v>
      </c>
      <c r="F67" s="742">
        <f t="shared" si="10"/>
        <v>12</v>
      </c>
      <c r="G67" s="161">
        <v>3</v>
      </c>
    </row>
    <row r="68" spans="1:7" ht="13" x14ac:dyDescent="0.3">
      <c r="A68" s="270">
        <v>4</v>
      </c>
      <c r="B68" s="108">
        <f t="shared" si="7"/>
        <v>0.45</v>
      </c>
      <c r="C68" s="108">
        <f t="shared" si="8"/>
        <v>0.48</v>
      </c>
      <c r="D68" s="108">
        <f t="shared" si="9"/>
        <v>0</v>
      </c>
      <c r="E68" s="317">
        <f t="shared" si="11"/>
        <v>7.0000000000000007E-2</v>
      </c>
      <c r="F68" s="742">
        <f t="shared" si="10"/>
        <v>12</v>
      </c>
      <c r="G68" s="161">
        <v>4</v>
      </c>
    </row>
    <row r="69" spans="1:7" ht="13" x14ac:dyDescent="0.3">
      <c r="A69" s="64">
        <v>5</v>
      </c>
      <c r="B69" s="108">
        <f t="shared" si="7"/>
        <v>0.45</v>
      </c>
      <c r="C69" s="108">
        <f t="shared" si="8"/>
        <v>0.48</v>
      </c>
      <c r="D69" s="108">
        <f t="shared" si="9"/>
        <v>0</v>
      </c>
      <c r="E69" s="317">
        <f t="shared" si="11"/>
        <v>7.0000000000000007E-2</v>
      </c>
      <c r="F69" s="742">
        <f t="shared" si="10"/>
        <v>12</v>
      </c>
      <c r="G69" s="161">
        <v>5</v>
      </c>
    </row>
    <row r="70" spans="1:7" ht="13" x14ac:dyDescent="0.3">
      <c r="A70" s="64">
        <v>6</v>
      </c>
      <c r="B70" s="108">
        <f t="shared" si="7"/>
        <v>0.45</v>
      </c>
      <c r="C70" s="108">
        <f t="shared" si="8"/>
        <v>0.48</v>
      </c>
      <c r="D70" s="108">
        <f t="shared" si="9"/>
        <v>0</v>
      </c>
      <c r="E70" s="317">
        <f t="shared" si="11"/>
        <v>7.0000000000000007E-2</v>
      </c>
      <c r="F70" s="742">
        <f t="shared" si="10"/>
        <v>12</v>
      </c>
      <c r="G70" s="161">
        <v>6</v>
      </c>
    </row>
    <row r="71" spans="1:7" ht="13" x14ac:dyDescent="0.3">
      <c r="A71" s="64">
        <v>7</v>
      </c>
      <c r="B71" s="108">
        <f t="shared" si="7"/>
        <v>0.45</v>
      </c>
      <c r="C71" s="108">
        <f t="shared" si="8"/>
        <v>0.48</v>
      </c>
      <c r="D71" s="108">
        <f t="shared" si="9"/>
        <v>0</v>
      </c>
      <c r="E71" s="317">
        <f t="shared" si="11"/>
        <v>7.0000000000000007E-2</v>
      </c>
      <c r="F71" s="742">
        <f t="shared" si="10"/>
        <v>12</v>
      </c>
      <c r="G71" s="161">
        <v>7</v>
      </c>
    </row>
    <row r="72" spans="1:7" ht="13" x14ac:dyDescent="0.3">
      <c r="A72" s="64">
        <v>8</v>
      </c>
      <c r="B72" s="108">
        <f t="shared" si="7"/>
        <v>0.45</v>
      </c>
      <c r="C72" s="108">
        <f t="shared" si="8"/>
        <v>0.48</v>
      </c>
      <c r="D72" s="108">
        <f t="shared" si="9"/>
        <v>0</v>
      </c>
      <c r="E72" s="317">
        <f t="shared" si="11"/>
        <v>7.0000000000000007E-2</v>
      </c>
      <c r="F72" s="742">
        <f t="shared" si="10"/>
        <v>12</v>
      </c>
      <c r="G72" s="161">
        <v>8</v>
      </c>
    </row>
    <row r="73" spans="1:7" ht="13" x14ac:dyDescent="0.3">
      <c r="A73" s="64">
        <v>9</v>
      </c>
      <c r="B73" s="108">
        <f t="shared" si="7"/>
        <v>0.45</v>
      </c>
      <c r="C73" s="108">
        <f t="shared" si="8"/>
        <v>0.48</v>
      </c>
      <c r="D73" s="108">
        <f t="shared" si="9"/>
        <v>0</v>
      </c>
      <c r="E73" s="317">
        <f t="shared" si="11"/>
        <v>7.0000000000000007E-2</v>
      </c>
      <c r="F73" s="742">
        <f t="shared" si="10"/>
        <v>12</v>
      </c>
      <c r="G73" s="161">
        <v>9</v>
      </c>
    </row>
    <row r="74" spans="1:7" ht="13" x14ac:dyDescent="0.3">
      <c r="A74" s="64">
        <v>10</v>
      </c>
      <c r="B74" s="108">
        <f t="shared" si="7"/>
        <v>0.45</v>
      </c>
      <c r="C74" s="108">
        <f t="shared" si="8"/>
        <v>0.48</v>
      </c>
      <c r="D74" s="108">
        <f t="shared" si="9"/>
        <v>0</v>
      </c>
      <c r="E74" s="317">
        <f t="shared" si="11"/>
        <v>7.0000000000000007E-2</v>
      </c>
      <c r="F74" s="742">
        <f t="shared" si="10"/>
        <v>12</v>
      </c>
      <c r="G74" s="161">
        <v>10</v>
      </c>
    </row>
    <row r="75" spans="1:7" ht="13" x14ac:dyDescent="0.3">
      <c r="A75" s="64">
        <v>11</v>
      </c>
      <c r="B75" s="108">
        <f t="shared" si="7"/>
        <v>0.45</v>
      </c>
      <c r="C75" s="108">
        <f t="shared" si="8"/>
        <v>0.48</v>
      </c>
      <c r="D75" s="108">
        <f t="shared" si="9"/>
        <v>0</v>
      </c>
      <c r="E75" s="317">
        <f t="shared" si="11"/>
        <v>7.0000000000000007E-2</v>
      </c>
      <c r="F75" s="742">
        <f t="shared" si="10"/>
        <v>12</v>
      </c>
      <c r="G75" s="161">
        <v>11</v>
      </c>
    </row>
    <row r="76" spans="1:7" ht="13" x14ac:dyDescent="0.3">
      <c r="A76" s="64">
        <v>12</v>
      </c>
      <c r="B76" s="108">
        <f t="shared" si="7"/>
        <v>0.45</v>
      </c>
      <c r="C76" s="108">
        <f t="shared" si="8"/>
        <v>0.48</v>
      </c>
      <c r="D76" s="108">
        <f t="shared" si="9"/>
        <v>0</v>
      </c>
      <c r="E76" s="317">
        <f t="shared" si="11"/>
        <v>7.0000000000000007E-2</v>
      </c>
      <c r="F76" s="742">
        <f t="shared" si="10"/>
        <v>12</v>
      </c>
      <c r="G76" s="161">
        <v>12</v>
      </c>
    </row>
    <row r="77" spans="1:7" ht="13" x14ac:dyDescent="0.3">
      <c r="A77" s="64">
        <v>13</v>
      </c>
      <c r="B77" s="108">
        <f t="shared" si="7"/>
        <v>0.45</v>
      </c>
      <c r="C77" s="108">
        <f t="shared" si="8"/>
        <v>0.48</v>
      </c>
      <c r="D77" s="108">
        <f t="shared" si="9"/>
        <v>0</v>
      </c>
      <c r="E77" s="317">
        <f t="shared" si="11"/>
        <v>7.0000000000000007E-2</v>
      </c>
      <c r="F77" s="742">
        <f t="shared" si="10"/>
        <v>12</v>
      </c>
      <c r="G77" s="161">
        <v>13</v>
      </c>
    </row>
    <row r="78" spans="1:7" ht="13" x14ac:dyDescent="0.3">
      <c r="A78" s="64">
        <v>14</v>
      </c>
      <c r="B78" s="108">
        <f t="shared" si="7"/>
        <v>0.45</v>
      </c>
      <c r="C78" s="108">
        <f t="shared" si="8"/>
        <v>0.48</v>
      </c>
      <c r="D78" s="108">
        <f t="shared" si="9"/>
        <v>0</v>
      </c>
      <c r="E78" s="317">
        <f t="shared" si="11"/>
        <v>7.0000000000000007E-2</v>
      </c>
      <c r="F78" s="742">
        <f t="shared" si="10"/>
        <v>12</v>
      </c>
      <c r="G78" s="161">
        <v>14</v>
      </c>
    </row>
    <row r="79" spans="1:7" ht="13" x14ac:dyDescent="0.3">
      <c r="A79" s="64">
        <v>15</v>
      </c>
      <c r="B79" s="108">
        <f t="shared" si="7"/>
        <v>0.45</v>
      </c>
      <c r="C79" s="108">
        <f t="shared" si="8"/>
        <v>0.48</v>
      </c>
      <c r="D79" s="108">
        <f t="shared" si="9"/>
        <v>0</v>
      </c>
      <c r="E79" s="317">
        <f t="shared" si="11"/>
        <v>7.0000000000000007E-2</v>
      </c>
      <c r="F79" s="742">
        <f t="shared" si="10"/>
        <v>12</v>
      </c>
      <c r="G79" s="161">
        <v>15</v>
      </c>
    </row>
    <row r="80" spans="1:7" ht="13" x14ac:dyDescent="0.3">
      <c r="A80" s="64">
        <v>16</v>
      </c>
      <c r="B80" s="108">
        <f t="shared" si="7"/>
        <v>0.45</v>
      </c>
      <c r="C80" s="108">
        <f t="shared" si="8"/>
        <v>0.48</v>
      </c>
      <c r="D80" s="108">
        <f t="shared" si="9"/>
        <v>0</v>
      </c>
      <c r="E80" s="317">
        <f t="shared" si="11"/>
        <v>7.0000000000000007E-2</v>
      </c>
      <c r="F80" s="742">
        <f t="shared" si="10"/>
        <v>12</v>
      </c>
      <c r="G80" s="161">
        <v>16</v>
      </c>
    </row>
    <row r="81" spans="1:14" ht="13" x14ac:dyDescent="0.3">
      <c r="A81" s="71" t="s">
        <v>191</v>
      </c>
      <c r="B81" s="129">
        <f>AVERAGE(B69:B80)</f>
        <v>0.45000000000000012</v>
      </c>
      <c r="C81" s="129">
        <f>AVERAGE(C69:C80)</f>
        <v>0.48000000000000015</v>
      </c>
      <c r="D81" s="129">
        <f>AVERAGE(D69:D80)</f>
        <v>0</v>
      </c>
      <c r="E81" s="129">
        <f>AVERAGE(E69:E80)</f>
        <v>7.0000000000000021E-2</v>
      </c>
      <c r="F81" s="573">
        <f>AVERAGE(F69:F80)</f>
        <v>12</v>
      </c>
      <c r="G81" s="98"/>
    </row>
    <row r="82" spans="1:14" ht="13" x14ac:dyDescent="0.3">
      <c r="A82" s="71" t="s">
        <v>192</v>
      </c>
      <c r="B82" s="129">
        <f>AVERAGE(B65:B80)</f>
        <v>0.45000000000000012</v>
      </c>
      <c r="C82" s="129">
        <f>AVERAGE(C65:C80)</f>
        <v>0.4800000000000002</v>
      </c>
      <c r="D82" s="129">
        <f>AVERAGE(D65:D80)</f>
        <v>0</v>
      </c>
      <c r="E82" s="129">
        <f>AVERAGE(E65:E80)</f>
        <v>7.0000000000000034E-2</v>
      </c>
      <c r="F82" s="573">
        <f>AVERAGE(F65:F80)</f>
        <v>12</v>
      </c>
      <c r="G82" s="111"/>
    </row>
    <row r="83" spans="1:14" s="1" customFormat="1" ht="13" x14ac:dyDescent="0.3">
      <c r="B83" s="110"/>
      <c r="C83" s="110"/>
      <c r="D83" s="110"/>
      <c r="E83" s="98"/>
      <c r="F83" s="111"/>
      <c r="I83" s="125"/>
      <c r="J83"/>
      <c r="K83"/>
      <c r="L83"/>
      <c r="M83"/>
      <c r="N83"/>
    </row>
    <row r="84" spans="1:14" s="1" customFormat="1" ht="25" x14ac:dyDescent="0.5">
      <c r="A84" s="369" t="s">
        <v>389</v>
      </c>
      <c r="B84" s="387"/>
      <c r="C84" s="387"/>
      <c r="D84" s="387"/>
      <c r="E84" s="388"/>
      <c r="F84" s="389"/>
      <c r="G84" s="1359"/>
      <c r="H84" s="1360"/>
      <c r="I84" s="125"/>
      <c r="J84"/>
      <c r="K84"/>
      <c r="L84"/>
      <c r="M84"/>
      <c r="N84"/>
    </row>
    <row r="85" spans="1:14" s="1" customFormat="1" ht="29.25" customHeight="1" x14ac:dyDescent="0.3">
      <c r="B85" s="224" t="s">
        <v>169</v>
      </c>
      <c r="C85" s="224" t="s">
        <v>170</v>
      </c>
      <c r="D85" s="556" t="s">
        <v>414</v>
      </c>
      <c r="E85" s="225" t="s">
        <v>171</v>
      </c>
      <c r="F85" s="226" t="s">
        <v>173</v>
      </c>
      <c r="G85" s="100" t="s">
        <v>174</v>
      </c>
      <c r="I85" s="125"/>
      <c r="J85"/>
      <c r="K85"/>
      <c r="L85"/>
      <c r="M85"/>
      <c r="N85"/>
    </row>
    <row r="86" spans="1:14" s="1" customFormat="1" ht="13.5" thickBot="1" x14ac:dyDescent="0.35">
      <c r="B86" s="227" t="s">
        <v>172</v>
      </c>
      <c r="C86" s="227" t="s">
        <v>172</v>
      </c>
      <c r="D86" s="227" t="s">
        <v>172</v>
      </c>
      <c r="E86" s="227" t="s">
        <v>172</v>
      </c>
      <c r="F86" s="227" t="s">
        <v>172</v>
      </c>
      <c r="G86" s="227" t="s">
        <v>172</v>
      </c>
      <c r="I86" s="125"/>
      <c r="J86"/>
      <c r="K86"/>
      <c r="L86"/>
      <c r="M86"/>
      <c r="N86"/>
    </row>
    <row r="87" spans="1:14" s="1" customFormat="1" ht="13" x14ac:dyDescent="0.3">
      <c r="A87" s="107" t="s">
        <v>105</v>
      </c>
      <c r="B87" s="524">
        <v>10</v>
      </c>
      <c r="C87" s="524">
        <v>10</v>
      </c>
      <c r="D87" s="524">
        <v>100</v>
      </c>
      <c r="E87" s="524">
        <v>0</v>
      </c>
      <c r="F87" s="525">
        <v>30</v>
      </c>
      <c r="G87" s="526">
        <v>20</v>
      </c>
      <c r="I87" s="125"/>
      <c r="J87"/>
      <c r="K87"/>
      <c r="L87"/>
      <c r="M87"/>
      <c r="N87"/>
    </row>
    <row r="88" spans="1:14" s="1" customFormat="1" ht="13" x14ac:dyDescent="0.3">
      <c r="A88" s="1" t="s">
        <v>135</v>
      </c>
      <c r="B88" s="527">
        <v>10</v>
      </c>
      <c r="C88" s="527">
        <v>10</v>
      </c>
      <c r="D88" s="527">
        <v>60</v>
      </c>
      <c r="E88" s="527">
        <v>0</v>
      </c>
      <c r="F88" s="525">
        <v>10</v>
      </c>
      <c r="G88" s="526">
        <v>20</v>
      </c>
      <c r="I88" s="125"/>
      <c r="J88"/>
      <c r="K88"/>
      <c r="L88"/>
      <c r="M88"/>
      <c r="N88"/>
    </row>
    <row r="89" spans="1:14" s="1" customFormat="1" ht="13" x14ac:dyDescent="0.3">
      <c r="A89" s="1" t="s">
        <v>175</v>
      </c>
      <c r="B89" s="527">
        <v>10</v>
      </c>
      <c r="C89" s="527">
        <v>10</v>
      </c>
      <c r="D89" s="527">
        <v>60</v>
      </c>
      <c r="E89" s="527">
        <v>0</v>
      </c>
      <c r="F89" s="525">
        <v>10</v>
      </c>
      <c r="G89" s="526">
        <v>20</v>
      </c>
      <c r="I89" s="125"/>
      <c r="J89"/>
      <c r="K89"/>
      <c r="L89"/>
      <c r="M89"/>
      <c r="N89"/>
    </row>
    <row r="90" spans="1:14" s="1" customFormat="1" ht="13" x14ac:dyDescent="0.3">
      <c r="A90" s="1" t="s">
        <v>242</v>
      </c>
      <c r="B90" s="223" t="s">
        <v>176</v>
      </c>
      <c r="C90" s="223"/>
      <c r="D90" s="223"/>
      <c r="E90" s="223"/>
      <c r="F90" s="111"/>
      <c r="I90" s="125"/>
      <c r="J90"/>
      <c r="K90"/>
      <c r="L90"/>
      <c r="M90"/>
      <c r="N90"/>
    </row>
    <row r="91" spans="1:14" s="1" customFormat="1" ht="13" x14ac:dyDescent="0.3">
      <c r="B91" s="223"/>
      <c r="C91" s="223"/>
      <c r="D91" s="223"/>
      <c r="E91" s="223"/>
      <c r="F91" s="111"/>
      <c r="I91" s="125"/>
      <c r="J91"/>
      <c r="K91"/>
      <c r="L91"/>
      <c r="M91"/>
      <c r="N91"/>
    </row>
    <row r="92" spans="1:14" s="1" customFormat="1" ht="31.5" customHeight="1" x14ac:dyDescent="0.5">
      <c r="A92" s="1376" t="s">
        <v>392</v>
      </c>
      <c r="B92" s="1378"/>
      <c r="C92" s="1373"/>
      <c r="D92" s="1374"/>
      <c r="E92" s="1374"/>
      <c r="F92" s="1374"/>
      <c r="G92" s="1374"/>
      <c r="H92" s="523"/>
      <c r="J92"/>
      <c r="K92"/>
      <c r="L92"/>
      <c r="M92"/>
      <c r="N92"/>
    </row>
    <row r="93" spans="1:14" ht="12" customHeight="1" x14ac:dyDescent="0.25"/>
    <row r="94" spans="1:14" s="1" customFormat="1" ht="25" x14ac:dyDescent="0.5">
      <c r="A94" s="393" t="s">
        <v>134</v>
      </c>
      <c r="B94" s="390"/>
      <c r="C94" s="394"/>
      <c r="D94" s="395"/>
      <c r="E94" s="396"/>
      <c r="F94" s="396"/>
      <c r="G94" s="395"/>
      <c r="H94" s="392"/>
      <c r="J94"/>
      <c r="K94"/>
      <c r="L94"/>
      <c r="M94"/>
      <c r="N94"/>
    </row>
    <row r="95" spans="1:14" ht="20.25" customHeight="1" x14ac:dyDescent="0.25">
      <c r="A95" s="1"/>
      <c r="B95" s="374" t="s">
        <v>69</v>
      </c>
      <c r="C95" s="374" t="s">
        <v>636</v>
      </c>
      <c r="D95" s="933" t="s">
        <v>521</v>
      </c>
      <c r="E95" s="374" t="s">
        <v>193</v>
      </c>
      <c r="F95" s="374" t="s">
        <v>194</v>
      </c>
      <c r="I95" s="25"/>
    </row>
    <row r="96" spans="1:14" ht="13" x14ac:dyDescent="0.3">
      <c r="A96" s="397" t="s">
        <v>65</v>
      </c>
      <c r="B96" s="553">
        <v>0.9</v>
      </c>
      <c r="C96" s="553">
        <v>1.05</v>
      </c>
      <c r="D96" s="924">
        <v>0.02</v>
      </c>
      <c r="I96" s="200"/>
    </row>
    <row r="97" spans="1:14" x14ac:dyDescent="0.25">
      <c r="A97" s="224"/>
      <c r="B97" s="554"/>
      <c r="C97" s="554"/>
      <c r="D97" s="927"/>
      <c r="I97" s="200"/>
    </row>
    <row r="98" spans="1:14" x14ac:dyDescent="0.25">
      <c r="A98" s="398" t="s">
        <v>114</v>
      </c>
      <c r="B98" s="134">
        <v>150</v>
      </c>
      <c r="C98" s="134">
        <v>270</v>
      </c>
      <c r="D98" s="928">
        <v>25000</v>
      </c>
      <c r="I98" s="200"/>
    </row>
    <row r="99" spans="1:14" x14ac:dyDescent="0.25">
      <c r="A99" s="100"/>
      <c r="B99" s="16"/>
      <c r="C99" s="528"/>
      <c r="D99" s="929">
        <v>1</v>
      </c>
      <c r="I99" s="25"/>
    </row>
    <row r="100" spans="1:14" ht="13" x14ac:dyDescent="0.3">
      <c r="A100" s="398" t="s">
        <v>135</v>
      </c>
      <c r="B100" s="134">
        <v>0</v>
      </c>
      <c r="C100" s="134">
        <v>0</v>
      </c>
      <c r="D100" s="930"/>
      <c r="I100" s="53"/>
    </row>
    <row r="101" spans="1:14" ht="13" x14ac:dyDescent="0.3">
      <c r="A101" s="160" t="s">
        <v>200</v>
      </c>
      <c r="B101" s="66">
        <v>0</v>
      </c>
      <c r="C101" s="66">
        <v>0</v>
      </c>
      <c r="D101" s="930"/>
      <c r="I101" s="53"/>
    </row>
    <row r="102" spans="1:14" ht="13" x14ac:dyDescent="0.3">
      <c r="A102" s="398" t="s">
        <v>136</v>
      </c>
      <c r="B102" s="134">
        <v>100</v>
      </c>
      <c r="C102" s="134">
        <v>0</v>
      </c>
      <c r="D102" s="931"/>
      <c r="I102" s="53"/>
    </row>
    <row r="103" spans="1:14" ht="13" x14ac:dyDescent="0.3">
      <c r="A103" s="160" t="s">
        <v>200</v>
      </c>
      <c r="B103" s="66">
        <v>1</v>
      </c>
      <c r="C103" s="66">
        <v>0</v>
      </c>
      <c r="D103" s="931"/>
      <c r="I103" s="53"/>
    </row>
    <row r="104" spans="1:14" ht="13" x14ac:dyDescent="0.3">
      <c r="A104" s="398" t="s">
        <v>137</v>
      </c>
      <c r="B104" s="134">
        <v>200</v>
      </c>
      <c r="C104" s="134">
        <v>200</v>
      </c>
      <c r="D104" s="932"/>
      <c r="I104" s="125"/>
    </row>
    <row r="105" spans="1:14" x14ac:dyDescent="0.25">
      <c r="A105" s="160" t="s">
        <v>200</v>
      </c>
      <c r="B105" s="66">
        <v>1</v>
      </c>
      <c r="C105" s="66">
        <v>1</v>
      </c>
      <c r="D105" s="66"/>
    </row>
    <row r="106" spans="1:14" x14ac:dyDescent="0.25">
      <c r="A106" s="398" t="s">
        <v>105</v>
      </c>
      <c r="B106" s="134">
        <v>200</v>
      </c>
      <c r="C106" s="134">
        <v>250</v>
      </c>
      <c r="D106" s="925">
        <v>20000</v>
      </c>
    </row>
    <row r="107" spans="1:14" x14ac:dyDescent="0.25">
      <c r="A107" s="160" t="s">
        <v>200</v>
      </c>
      <c r="B107" s="66">
        <v>1</v>
      </c>
      <c r="C107" s="66">
        <v>1</v>
      </c>
      <c r="D107" s="926">
        <v>1</v>
      </c>
    </row>
    <row r="108" spans="1:14" x14ac:dyDescent="0.25">
      <c r="A108" s="100"/>
    </row>
    <row r="109" spans="1:14" s="1" customFormat="1" ht="31.75" customHeight="1" x14ac:dyDescent="0.5">
      <c r="A109" s="393" t="s">
        <v>693</v>
      </c>
      <c r="B109" s="390"/>
      <c r="C109" s="394"/>
      <c r="D109" s="396"/>
      <c r="E109" s="396"/>
      <c r="F109" s="396"/>
      <c r="G109" s="1366"/>
      <c r="H109" s="1381"/>
      <c r="J109"/>
      <c r="K109"/>
      <c r="L109"/>
      <c r="M109"/>
      <c r="N109"/>
    </row>
    <row r="110" spans="1:14" s="1" customFormat="1" ht="15.9" customHeight="1" x14ac:dyDescent="0.5">
      <c r="A110" s="1323"/>
      <c r="B110" s="100"/>
      <c r="C110" s="1324"/>
      <c r="D110" s="934"/>
      <c r="E110" s="934"/>
      <c r="F110" s="934"/>
      <c r="G110" s="1325"/>
      <c r="H110" s="375"/>
    </row>
    <row r="111" spans="1:14" s="1" customFormat="1" ht="15.9" customHeight="1" x14ac:dyDescent="0.3">
      <c r="A111" s="54"/>
      <c r="B111" s="1330" t="s">
        <v>135</v>
      </c>
      <c r="C111" s="1330" t="s">
        <v>136</v>
      </c>
      <c r="D111" s="1330" t="s">
        <v>691</v>
      </c>
      <c r="E111" s="934"/>
      <c r="F111" s="934"/>
      <c r="G111" s="1325"/>
      <c r="H111" s="375"/>
    </row>
    <row r="112" spans="1:14" s="1" customFormat="1" ht="15.9" customHeight="1" x14ac:dyDescent="0.3">
      <c r="A112" s="157" t="s">
        <v>689</v>
      </c>
      <c r="B112" s="978">
        <v>350</v>
      </c>
      <c r="C112" s="978">
        <v>400</v>
      </c>
      <c r="D112" s="978">
        <v>900</v>
      </c>
      <c r="E112" s="934"/>
      <c r="F112" s="934"/>
      <c r="G112" s="1325"/>
      <c r="H112" s="375"/>
    </row>
    <row r="113" spans="1:25" s="1" customFormat="1" ht="15.9" customHeight="1" x14ac:dyDescent="0.3">
      <c r="A113" s="157" t="s">
        <v>322</v>
      </c>
      <c r="B113" s="978">
        <v>360</v>
      </c>
      <c r="C113" s="978">
        <v>360</v>
      </c>
      <c r="D113" s="978">
        <v>900</v>
      </c>
      <c r="E113" s="934"/>
      <c r="F113" s="934"/>
      <c r="G113" s="1325"/>
      <c r="H113" s="375"/>
    </row>
    <row r="114" spans="1:25" s="1332" customFormat="1" ht="15.9" customHeight="1" x14ac:dyDescent="0.3">
      <c r="A114" s="157" t="s">
        <v>323</v>
      </c>
      <c r="B114" s="978">
        <v>0</v>
      </c>
      <c r="C114" s="978">
        <v>0</v>
      </c>
      <c r="D114" s="978">
        <v>500</v>
      </c>
      <c r="E114" s="1334"/>
      <c r="F114" s="1334"/>
      <c r="G114" s="1335"/>
      <c r="H114" s="1336"/>
    </row>
    <row r="115" spans="1:25" s="1332" customFormat="1" ht="15.9" customHeight="1" x14ac:dyDescent="0.3">
      <c r="A115" s="157" t="s">
        <v>324</v>
      </c>
      <c r="B115" s="978">
        <v>0</v>
      </c>
      <c r="C115" s="978">
        <v>0</v>
      </c>
      <c r="D115" s="978">
        <v>100</v>
      </c>
      <c r="E115" s="1334"/>
      <c r="F115" s="1334"/>
      <c r="G115" s="1335"/>
      <c r="H115" s="1336"/>
    </row>
    <row r="116" spans="1:25" s="1332" customFormat="1" ht="15.9" customHeight="1" x14ac:dyDescent="0.3">
      <c r="A116" s="157" t="s">
        <v>522</v>
      </c>
      <c r="B116" s="978">
        <v>15</v>
      </c>
      <c r="C116" s="978">
        <v>15</v>
      </c>
      <c r="D116" s="978">
        <v>100</v>
      </c>
      <c r="E116" s="1334"/>
      <c r="F116" s="1334"/>
      <c r="G116" s="1335"/>
      <c r="H116" s="1336"/>
    </row>
    <row r="117" spans="1:25" s="1332" customFormat="1" ht="15.9" customHeight="1" x14ac:dyDescent="0.3">
      <c r="A117" s="13"/>
      <c r="B117" s="978"/>
      <c r="C117" s="978"/>
      <c r="D117" s="978"/>
      <c r="E117" s="1334"/>
      <c r="F117" s="1334"/>
      <c r="G117" s="1335"/>
      <c r="H117" s="1336"/>
    </row>
    <row r="118" spans="1:25" s="1332" customFormat="1" ht="17.649999999999999" customHeight="1" x14ac:dyDescent="0.3">
      <c r="A118" s="1331" t="s">
        <v>692</v>
      </c>
      <c r="B118" s="978">
        <v>4</v>
      </c>
      <c r="C118" s="978">
        <v>6</v>
      </c>
      <c r="D118" s="978">
        <v>16</v>
      </c>
      <c r="E118" s="1334"/>
      <c r="F118" s="1334"/>
      <c r="G118" s="1335"/>
      <c r="H118" s="1336"/>
    </row>
    <row r="119" spans="1:25" s="1332" customFormat="1" ht="20" x14ac:dyDescent="0.4">
      <c r="A119" s="156" t="s">
        <v>690</v>
      </c>
      <c r="B119" s="978">
        <v>2</v>
      </c>
      <c r="C119" s="978">
        <v>2</v>
      </c>
      <c r="D119" s="978">
        <v>3</v>
      </c>
      <c r="E119" s="1333"/>
      <c r="F119" s="1333"/>
      <c r="G119" s="1333"/>
      <c r="H119" s="1333"/>
      <c r="O119" s="1333"/>
      <c r="P119" s="1333"/>
      <c r="Q119" s="1333"/>
      <c r="R119" s="1333"/>
      <c r="S119" s="1333"/>
      <c r="T119" s="1333"/>
      <c r="U119" s="1333"/>
    </row>
    <row r="120" spans="1:25" s="1" customFormat="1" ht="20" x14ac:dyDescent="0.4">
      <c r="B120" s="158"/>
      <c r="C120" s="141"/>
      <c r="D120" s="47"/>
      <c r="E120" s="47"/>
      <c r="F120" s="47"/>
      <c r="J120"/>
      <c r="K120"/>
      <c r="L120"/>
      <c r="M120"/>
      <c r="N120" s="25"/>
      <c r="O120" s="25"/>
      <c r="P120" s="25"/>
      <c r="Q120" s="25"/>
      <c r="R120" s="25"/>
      <c r="S120" s="25"/>
    </row>
    <row r="121" spans="1:25" ht="25" x14ac:dyDescent="0.5">
      <c r="A121" s="390"/>
      <c r="B121" s="393" t="s">
        <v>30</v>
      </c>
      <c r="C121" s="394" t="s">
        <v>181</v>
      </c>
      <c r="D121" s="396"/>
      <c r="E121" s="396"/>
      <c r="F121" s="1359"/>
      <c r="G121" s="1361"/>
      <c r="H121" s="1361"/>
      <c r="N121" s="25"/>
      <c r="O121" s="25"/>
      <c r="P121" s="25"/>
      <c r="Q121" s="25"/>
      <c r="R121" s="25"/>
      <c r="S121" s="25"/>
    </row>
    <row r="122" spans="1:25" x14ac:dyDescent="0.25">
      <c r="A122" s="100"/>
      <c r="B122" s="230"/>
      <c r="D122" s="13"/>
      <c r="E122" s="13"/>
      <c r="F122" s="13"/>
      <c r="G122" s="19"/>
      <c r="N122" s="25"/>
      <c r="O122" s="25"/>
      <c r="P122" s="25"/>
      <c r="Q122" s="25"/>
      <c r="R122" s="25"/>
      <c r="S122" s="25"/>
    </row>
    <row r="123" spans="1:25" x14ac:dyDescent="0.25">
      <c r="A123" s="100"/>
      <c r="B123" s="529" t="s">
        <v>243</v>
      </c>
      <c r="C123" s="530"/>
      <c r="D123" s="531"/>
      <c r="E123" s="531"/>
      <c r="F123" s="531"/>
      <c r="G123" s="19"/>
      <c r="N123" s="25"/>
      <c r="O123" s="25"/>
      <c r="P123" s="25"/>
      <c r="Q123" s="25"/>
      <c r="R123" s="25"/>
      <c r="S123" s="25"/>
    </row>
    <row r="124" spans="1:25" x14ac:dyDescent="0.25">
      <c r="A124" s="100"/>
      <c r="B124" s="529" t="s">
        <v>473</v>
      </c>
      <c r="C124" s="530"/>
      <c r="D124" s="155"/>
      <c r="E124" s="155"/>
      <c r="F124" s="155"/>
      <c r="N124" s="25"/>
      <c r="O124" s="25"/>
      <c r="P124" s="25"/>
      <c r="Q124" s="25"/>
      <c r="R124" s="25"/>
      <c r="S124" s="25"/>
    </row>
    <row r="125" spans="1:25" x14ac:dyDescent="0.25">
      <c r="A125" s="100"/>
      <c r="B125" s="19"/>
      <c r="C125" s="136"/>
      <c r="D125" s="13"/>
      <c r="E125" s="13"/>
      <c r="F125" s="13"/>
      <c r="N125" s="25"/>
      <c r="O125" s="25"/>
      <c r="P125" s="25"/>
      <c r="Q125" s="25"/>
      <c r="R125" s="25"/>
      <c r="S125" s="25"/>
    </row>
    <row r="126" spans="1:25" ht="15.5" x14ac:dyDescent="0.35">
      <c r="A126" s="100"/>
      <c r="B126" s="459" t="s">
        <v>118</v>
      </c>
      <c r="C126" s="144"/>
      <c r="D126" s="13"/>
      <c r="E126" s="13"/>
      <c r="F126" s="13"/>
      <c r="N126" s="25"/>
      <c r="O126" s="25"/>
      <c r="P126" s="25"/>
      <c r="Q126" s="25"/>
      <c r="R126" s="25"/>
      <c r="S126" s="25"/>
      <c r="T126" s="25"/>
      <c r="U126" s="25"/>
      <c r="V126" s="25"/>
      <c r="W126" s="25"/>
      <c r="X126" s="25"/>
      <c r="Y126" s="25"/>
    </row>
    <row r="127" spans="1:25" ht="18" customHeight="1" x14ac:dyDescent="0.3">
      <c r="A127" s="160" t="s">
        <v>31</v>
      </c>
      <c r="B127" s="107" t="s">
        <v>444</v>
      </c>
      <c r="D127" s="144">
        <f>I142</f>
        <v>41</v>
      </c>
      <c r="E127" s="157"/>
      <c r="G127" s="173"/>
      <c r="O127" s="732"/>
      <c r="P127" s="1298"/>
      <c r="Q127" s="59"/>
      <c r="R127" s="59"/>
      <c r="S127" s="59"/>
      <c r="T127" s="1294"/>
      <c r="U127" s="282"/>
      <c r="V127" s="1295"/>
      <c r="W127" s="1296"/>
      <c r="X127" s="25"/>
      <c r="Y127" s="25"/>
    </row>
    <row r="128" spans="1:25" ht="18" customHeight="1" x14ac:dyDescent="0.3">
      <c r="A128" s="160"/>
      <c r="B128" s="107"/>
      <c r="D128" s="136"/>
      <c r="E128" s="157"/>
      <c r="G128" s="173"/>
      <c r="O128" s="732"/>
      <c r="P128" s="1298"/>
      <c r="Q128" s="59"/>
      <c r="R128" s="59"/>
      <c r="S128" s="59"/>
      <c r="T128" s="1294"/>
      <c r="U128" s="282"/>
      <c r="V128" s="1295"/>
      <c r="W128" s="1296"/>
      <c r="X128" s="25"/>
      <c r="Y128" s="25"/>
    </row>
    <row r="129" spans="1:25" x14ac:dyDescent="0.25">
      <c r="A129" s="160"/>
      <c r="B129" s="1"/>
      <c r="D129" s="136"/>
      <c r="G129" s="180" t="s">
        <v>153</v>
      </c>
      <c r="H129" s="519" t="s">
        <v>154</v>
      </c>
      <c r="I129" s="50" t="s">
        <v>111</v>
      </c>
      <c r="O129" s="732"/>
      <c r="P129" s="1298"/>
      <c r="Q129" s="59"/>
      <c r="R129" s="59"/>
      <c r="S129" s="59"/>
      <c r="T129" s="1294"/>
      <c r="U129" s="282"/>
      <c r="V129" s="1295"/>
      <c r="W129" s="1296"/>
      <c r="X129" s="25"/>
      <c r="Y129" s="25"/>
    </row>
    <row r="130" spans="1:25" ht="13" x14ac:dyDescent="0.3">
      <c r="A130" s="100"/>
      <c r="C130" s="123" t="s">
        <v>142</v>
      </c>
      <c r="D130" s="126" t="s">
        <v>145</v>
      </c>
      <c r="E130" s="50" t="s">
        <v>18</v>
      </c>
      <c r="G130" s="181" t="s">
        <v>155</v>
      </c>
      <c r="H130" s="181" t="s">
        <v>155</v>
      </c>
      <c r="I130" s="181" t="s">
        <v>155</v>
      </c>
      <c r="O130" s="732"/>
      <c r="P130" s="1298"/>
      <c r="Q130" s="59"/>
      <c r="R130" s="59"/>
      <c r="S130" s="59"/>
      <c r="T130" s="1294"/>
      <c r="U130" s="282"/>
      <c r="V130" s="1295"/>
      <c r="W130" s="1296"/>
      <c r="X130" s="25"/>
      <c r="Y130" s="25"/>
    </row>
    <row r="131" spans="1:25" ht="13" x14ac:dyDescent="0.3">
      <c r="A131" s="160" t="s">
        <v>139</v>
      </c>
      <c r="B131" s="87" t="s">
        <v>534</v>
      </c>
      <c r="C131" s="140">
        <v>1</v>
      </c>
      <c r="D131" s="743">
        <f>I131</f>
        <v>37</v>
      </c>
      <c r="E131" s="152" t="s">
        <v>143</v>
      </c>
      <c r="G131" s="1255"/>
      <c r="H131" s="1255">
        <v>11.67</v>
      </c>
      <c r="I131" s="1254">
        <v>37</v>
      </c>
      <c r="J131" s="520"/>
      <c r="L131" s="1255"/>
      <c r="O131" s="732"/>
      <c r="P131" s="1298"/>
      <c r="Q131" s="59"/>
      <c r="R131" s="59"/>
      <c r="S131" s="59"/>
      <c r="T131" s="1294"/>
      <c r="U131" s="282"/>
      <c r="V131" s="1295"/>
      <c r="W131" s="1296"/>
      <c r="X131" s="25"/>
      <c r="Y131" s="25"/>
    </row>
    <row r="132" spans="1:25" ht="13" x14ac:dyDescent="0.3">
      <c r="A132" s="100"/>
      <c r="B132" s="87" t="s">
        <v>537</v>
      </c>
      <c r="C132" s="140">
        <v>1</v>
      </c>
      <c r="D132" s="743">
        <f t="shared" ref="D132:D137" si="12">I132</f>
        <v>69</v>
      </c>
      <c r="E132" s="152" t="s">
        <v>143</v>
      </c>
      <c r="G132" s="1255"/>
      <c r="H132" s="1255">
        <v>13.22</v>
      </c>
      <c r="I132" s="1254">
        <v>69</v>
      </c>
      <c r="J132" s="520"/>
      <c r="L132" s="1255"/>
      <c r="O132" s="732"/>
      <c r="P132" s="1298"/>
      <c r="Q132" s="59"/>
      <c r="R132" s="59"/>
      <c r="S132" s="59"/>
      <c r="T132" s="1294"/>
      <c r="U132" s="282"/>
      <c r="V132" s="1295"/>
      <c r="W132" s="1296"/>
      <c r="X132" s="25"/>
      <c r="Y132" s="25"/>
    </row>
    <row r="133" spans="1:25" ht="13" x14ac:dyDescent="0.3">
      <c r="A133" s="100"/>
      <c r="B133" s="100" t="s">
        <v>116</v>
      </c>
      <c r="C133" s="140">
        <v>1</v>
      </c>
      <c r="D133" s="743">
        <f t="shared" si="12"/>
        <v>18</v>
      </c>
      <c r="E133" s="152" t="s">
        <v>144</v>
      </c>
      <c r="G133" s="347"/>
      <c r="H133" s="347">
        <v>7.03</v>
      </c>
      <c r="I133" s="1254">
        <v>18</v>
      </c>
      <c r="J133" s="520"/>
      <c r="L133" s="347"/>
      <c r="O133" s="25"/>
      <c r="P133" s="1298"/>
      <c r="Q133" s="59"/>
      <c r="R133" s="59"/>
      <c r="S133" s="59"/>
      <c r="T133" s="1294"/>
      <c r="U133" s="282"/>
      <c r="V133" s="1295"/>
      <c r="W133" s="1296"/>
      <c r="X133" s="25"/>
      <c r="Y133" s="25"/>
    </row>
    <row r="134" spans="1:25" ht="13" x14ac:dyDescent="0.3">
      <c r="A134" s="100"/>
      <c r="B134" s="100" t="s">
        <v>387</v>
      </c>
      <c r="C134" s="551">
        <v>0.1</v>
      </c>
      <c r="D134" s="743">
        <f t="shared" si="12"/>
        <v>25</v>
      </c>
      <c r="E134" s="12" t="s">
        <v>208</v>
      </c>
      <c r="G134" s="1255"/>
      <c r="H134" s="1255">
        <v>1.53</v>
      </c>
      <c r="I134" s="1254">
        <v>25</v>
      </c>
      <c r="J134" s="520"/>
      <c r="L134" s="1255"/>
      <c r="O134" s="908"/>
      <c r="P134" s="1298"/>
      <c r="Q134" s="59"/>
      <c r="R134" s="59"/>
      <c r="S134" s="59"/>
      <c r="T134" s="1294"/>
      <c r="U134" s="282"/>
      <c r="V134" s="1295"/>
      <c r="W134" s="1296"/>
      <c r="X134" s="25"/>
      <c r="Y134" s="25"/>
    </row>
    <row r="135" spans="1:25" ht="13" x14ac:dyDescent="0.3">
      <c r="A135" s="100"/>
      <c r="B135" s="87" t="s">
        <v>441</v>
      </c>
      <c r="C135" s="140">
        <v>0.5</v>
      </c>
      <c r="D135" s="743">
        <f t="shared" si="12"/>
        <v>42</v>
      </c>
      <c r="E135" s="552">
        <v>6</v>
      </c>
      <c r="G135" s="347"/>
      <c r="H135" s="347">
        <v>14.5</v>
      </c>
      <c r="I135" s="1254">
        <v>42</v>
      </c>
      <c r="J135" s="520"/>
      <c r="L135" s="347"/>
      <c r="O135" s="25"/>
      <c r="P135" s="25"/>
      <c r="Q135" s="25"/>
      <c r="R135" s="25"/>
      <c r="S135" s="25"/>
      <c r="T135" s="25"/>
      <c r="U135" s="25"/>
      <c r="V135" s="25"/>
      <c r="W135" s="25"/>
      <c r="X135" s="25"/>
      <c r="Y135" s="25"/>
    </row>
    <row r="136" spans="1:25" ht="13" x14ac:dyDescent="0.3">
      <c r="A136" s="100"/>
      <c r="B136" s="87" t="s">
        <v>74</v>
      </c>
      <c r="C136" s="140">
        <v>3</v>
      </c>
      <c r="D136" s="743">
        <f t="shared" si="12"/>
        <v>68.3</v>
      </c>
      <c r="E136" s="552">
        <v>1</v>
      </c>
      <c r="G136" s="347"/>
      <c r="H136" s="347">
        <v>29.05</v>
      </c>
      <c r="I136" s="347">
        <v>68.3</v>
      </c>
      <c r="J136" s="520"/>
      <c r="L136" s="347"/>
      <c r="O136" s="1297"/>
      <c r="P136" s="1298"/>
      <c r="Q136" s="59"/>
      <c r="R136" s="59"/>
      <c r="S136" s="59"/>
      <c r="T136" s="1294"/>
      <c r="U136" s="282"/>
      <c r="V136" s="1295"/>
      <c r="W136" s="1296"/>
      <c r="X136" s="25"/>
      <c r="Y136" s="25"/>
    </row>
    <row r="137" spans="1:25" ht="13" x14ac:dyDescent="0.3">
      <c r="A137" s="230"/>
      <c r="B137" s="819" t="s">
        <v>683</v>
      </c>
      <c r="C137" s="140">
        <v>100</v>
      </c>
      <c r="D137" s="743">
        <f t="shared" si="12"/>
        <v>17.5</v>
      </c>
      <c r="E137" s="12" t="s">
        <v>472</v>
      </c>
      <c r="F137" s="71"/>
      <c r="G137" s="347"/>
      <c r="H137" s="347">
        <v>3.98</v>
      </c>
      <c r="I137" s="1254">
        <v>17.5</v>
      </c>
      <c r="J137" s="520"/>
      <c r="L137" s="347"/>
      <c r="O137" s="25"/>
      <c r="P137" s="25"/>
      <c r="Q137" s="25"/>
      <c r="R137" s="25"/>
      <c r="S137" s="25"/>
      <c r="T137" s="25"/>
      <c r="U137" s="25"/>
      <c r="V137" s="25"/>
      <c r="W137" s="25"/>
      <c r="X137" s="25"/>
      <c r="Y137" s="25"/>
    </row>
    <row r="138" spans="1:25" x14ac:dyDescent="0.25">
      <c r="A138" s="100"/>
      <c r="B138" s="87" t="s">
        <v>201</v>
      </c>
      <c r="C138" s="34"/>
      <c r="D138" s="247">
        <v>500</v>
      </c>
      <c r="G138" s="347"/>
      <c r="H138" s="347"/>
      <c r="I138" s="182"/>
      <c r="O138" s="25"/>
      <c r="P138" s="25"/>
      <c r="Q138" s="25"/>
      <c r="R138" s="25"/>
      <c r="S138" s="25"/>
      <c r="T138" s="25"/>
      <c r="U138" s="25"/>
      <c r="V138" s="25"/>
      <c r="W138" s="25"/>
      <c r="X138" s="25"/>
      <c r="Y138" s="25"/>
    </row>
    <row r="139" spans="1:25" x14ac:dyDescent="0.25">
      <c r="A139" s="100"/>
      <c r="C139" s="34"/>
      <c r="D139" s="137"/>
      <c r="G139" s="182"/>
      <c r="H139" s="182"/>
      <c r="I139" s="182"/>
      <c r="O139" s="25"/>
      <c r="P139" s="25"/>
      <c r="Q139" s="25"/>
      <c r="R139" s="25"/>
      <c r="S139" s="25"/>
      <c r="T139" s="25"/>
      <c r="U139" s="25"/>
      <c r="V139" s="25"/>
      <c r="W139" s="25"/>
      <c r="X139" s="25"/>
      <c r="Y139" s="25"/>
    </row>
    <row r="140" spans="1:25" ht="17.5" customHeight="1" x14ac:dyDescent="0.35">
      <c r="A140" s="100"/>
      <c r="B140" s="459" t="s">
        <v>132</v>
      </c>
      <c r="E140" s="13"/>
      <c r="F140" s="13"/>
      <c r="G140" s="180" t="s">
        <v>153</v>
      </c>
      <c r="H140" s="180" t="s">
        <v>154</v>
      </c>
      <c r="I140" s="50" t="s">
        <v>111</v>
      </c>
    </row>
    <row r="141" spans="1:25" ht="17.5" customHeight="1" x14ac:dyDescent="0.3">
      <c r="A141" s="100"/>
      <c r="B141" s="103"/>
      <c r="C141" s="183" t="s">
        <v>98</v>
      </c>
      <c r="D141" s="139" t="s">
        <v>28</v>
      </c>
      <c r="E141" s="13"/>
      <c r="F141" s="13"/>
      <c r="G141" s="181" t="s">
        <v>28</v>
      </c>
      <c r="H141" s="181" t="s">
        <v>28</v>
      </c>
      <c r="I141" s="181" t="s">
        <v>28</v>
      </c>
    </row>
    <row r="142" spans="1:25" ht="13" x14ac:dyDescent="0.3">
      <c r="A142" s="160" t="s">
        <v>31</v>
      </c>
      <c r="B142" s="87" t="s">
        <v>535</v>
      </c>
      <c r="C142" s="34" t="s">
        <v>5</v>
      </c>
      <c r="D142" s="144">
        <f>I142</f>
        <v>41</v>
      </c>
      <c r="E142" s="13"/>
      <c r="F142" s="13"/>
      <c r="G142" s="1253"/>
      <c r="H142" s="1253"/>
      <c r="I142" s="1254">
        <v>41</v>
      </c>
      <c r="J142" s="520"/>
    </row>
    <row r="143" spans="1:25" ht="13" x14ac:dyDescent="0.3">
      <c r="A143" s="160" t="s">
        <v>139</v>
      </c>
      <c r="B143" s="100" t="s">
        <v>209</v>
      </c>
      <c r="C143" s="140">
        <v>1.5</v>
      </c>
      <c r="D143" s="144">
        <f>I143</f>
        <v>52</v>
      </c>
      <c r="E143" s="13"/>
      <c r="F143" s="13"/>
      <c r="G143" s="1253"/>
      <c r="H143" s="1253"/>
      <c r="I143" s="1254">
        <v>52</v>
      </c>
      <c r="J143" s="520"/>
      <c r="L143" t="s">
        <v>195</v>
      </c>
    </row>
    <row r="144" spans="1:25" ht="13" x14ac:dyDescent="0.3">
      <c r="A144" s="100"/>
      <c r="B144" s="4" t="s">
        <v>536</v>
      </c>
      <c r="C144" s="140">
        <v>2</v>
      </c>
      <c r="D144" s="144">
        <f>I144</f>
        <v>62</v>
      </c>
      <c r="E144" s="13"/>
      <c r="F144" s="13"/>
      <c r="G144" s="1253"/>
      <c r="H144" s="1253"/>
      <c r="I144" s="1254">
        <v>62</v>
      </c>
      <c r="J144" s="520"/>
      <c r="L144" t="s">
        <v>195</v>
      </c>
    </row>
    <row r="145" spans="1:12" ht="13" x14ac:dyDescent="0.3">
      <c r="A145" s="100"/>
      <c r="B145" s="100" t="s">
        <v>115</v>
      </c>
      <c r="C145" s="140">
        <v>1</v>
      </c>
      <c r="D145" s="144">
        <f>I145</f>
        <v>90</v>
      </c>
      <c r="E145" s="13"/>
      <c r="F145" s="13"/>
      <c r="I145" s="1254">
        <v>90</v>
      </c>
      <c r="J145" s="520"/>
      <c r="L145" t="s">
        <v>195</v>
      </c>
    </row>
    <row r="146" spans="1:12" ht="13" x14ac:dyDescent="0.3">
      <c r="A146" s="100"/>
      <c r="B146" s="100" t="s">
        <v>117</v>
      </c>
      <c r="C146" s="555">
        <v>0.1</v>
      </c>
      <c r="D146" s="744">
        <f>I146</f>
        <v>25</v>
      </c>
      <c r="F146" s="152"/>
      <c r="I146" s="347">
        <v>25</v>
      </c>
      <c r="J146" s="520"/>
    </row>
    <row r="147" spans="1:12" x14ac:dyDescent="0.25">
      <c r="A147" s="100"/>
      <c r="B147" s="87" t="s">
        <v>32</v>
      </c>
      <c r="D147" s="248">
        <v>220</v>
      </c>
      <c r="G147" s="1253"/>
      <c r="H147" s="1253"/>
      <c r="I147" s="182"/>
    </row>
    <row r="148" spans="1:12" x14ac:dyDescent="0.25">
      <c r="H148" s="182"/>
      <c r="I148" s="182"/>
    </row>
    <row r="149" spans="1:12" ht="25" x14ac:dyDescent="0.5">
      <c r="A149" s="369" t="s">
        <v>24</v>
      </c>
      <c r="B149" s="392"/>
      <c r="C149" s="377"/>
      <c r="D149" s="378"/>
      <c r="E149" s="378"/>
      <c r="F149" s="378"/>
      <c r="G149" s="1359"/>
      <c r="H149" s="1360"/>
    </row>
    <row r="150" spans="1:12" x14ac:dyDescent="0.25">
      <c r="C150" s="268" t="s">
        <v>232</v>
      </c>
      <c r="D150" s="50" t="s">
        <v>233</v>
      </c>
      <c r="E150" s="50" t="s">
        <v>235</v>
      </c>
      <c r="F150" s="50" t="s">
        <v>263</v>
      </c>
      <c r="G150" s="50" t="s">
        <v>264</v>
      </c>
      <c r="H150" s="50" t="s">
        <v>442</v>
      </c>
    </row>
    <row r="151" spans="1:12" ht="18" x14ac:dyDescent="0.4">
      <c r="A151" s="73" t="s">
        <v>180</v>
      </c>
      <c r="B151" t="s">
        <v>234</v>
      </c>
      <c r="C151" s="189">
        <f>(F151*H151)/1000</f>
        <v>498.75</v>
      </c>
      <c r="D151" s="184">
        <v>1.5</v>
      </c>
      <c r="E151" s="47"/>
      <c r="F151" s="66">
        <v>35</v>
      </c>
      <c r="G151" s="66">
        <v>15</v>
      </c>
      <c r="H151" s="47">
        <f>B11*G151</f>
        <v>14250</v>
      </c>
      <c r="J151" s="520"/>
    </row>
    <row r="152" spans="1:12" ht="13" x14ac:dyDescent="0.3">
      <c r="B152" t="s">
        <v>230</v>
      </c>
      <c r="E152" s="66">
        <v>50</v>
      </c>
      <c r="K152" s="520"/>
    </row>
    <row r="153" spans="1:12" x14ac:dyDescent="0.25">
      <c r="E153" s="47"/>
    </row>
    <row r="154" spans="1:12" ht="18" x14ac:dyDescent="0.4">
      <c r="A154" s="73" t="s">
        <v>186</v>
      </c>
      <c r="C154" s="137" t="s">
        <v>237</v>
      </c>
      <c r="E154" s="66">
        <v>400</v>
      </c>
    </row>
    <row r="155" spans="1:12" x14ac:dyDescent="0.25">
      <c r="C155" s="137" t="s">
        <v>48</v>
      </c>
      <c r="E155" s="66">
        <v>0</v>
      </c>
    </row>
    <row r="156" spans="1:12" x14ac:dyDescent="0.25">
      <c r="C156" s="137" t="s">
        <v>49</v>
      </c>
      <c r="E156" s="66">
        <v>0</v>
      </c>
    </row>
    <row r="157" spans="1:12" x14ac:dyDescent="0.25">
      <c r="C157" s="137" t="s">
        <v>50</v>
      </c>
      <c r="E157" s="12" t="s">
        <v>238</v>
      </c>
    </row>
    <row r="158" spans="1:12" x14ac:dyDescent="0.25">
      <c r="C158"/>
      <c r="D158"/>
      <c r="E158"/>
      <c r="F158"/>
    </row>
    <row r="159" spans="1:12" ht="25" x14ac:dyDescent="0.5">
      <c r="A159" s="369" t="s">
        <v>681</v>
      </c>
      <c r="B159" s="392"/>
      <c r="C159" s="377"/>
      <c r="D159" s="378"/>
      <c r="E159" s="378"/>
      <c r="F159" s="378"/>
      <c r="G159" s="1359"/>
      <c r="H159" s="1360"/>
    </row>
    <row r="160" spans="1:12" x14ac:dyDescent="0.25">
      <c r="A160" t="s">
        <v>679</v>
      </c>
      <c r="B160">
        <v>5000</v>
      </c>
      <c r="C160"/>
      <c r="D160"/>
      <c r="E160"/>
      <c r="F160"/>
    </row>
    <row r="161" spans="3:6" x14ac:dyDescent="0.25">
      <c r="C161"/>
      <c r="D161"/>
      <c r="E161"/>
      <c r="F161"/>
    </row>
    <row r="162" spans="3:6" x14ac:dyDescent="0.25">
      <c r="C162"/>
      <c r="D162"/>
      <c r="E162"/>
      <c r="F162"/>
    </row>
    <row r="163" spans="3:6" x14ac:dyDescent="0.25">
      <c r="C163"/>
      <c r="D163"/>
      <c r="E163"/>
      <c r="F163"/>
    </row>
  </sheetData>
  <mergeCells count="13">
    <mergeCell ref="G159:H159"/>
    <mergeCell ref="C5:G5"/>
    <mergeCell ref="G84:H84"/>
    <mergeCell ref="B3:G3"/>
    <mergeCell ref="A5:B5"/>
    <mergeCell ref="A92:B92"/>
    <mergeCell ref="C92:G92"/>
    <mergeCell ref="A19:B19"/>
    <mergeCell ref="D29:E29"/>
    <mergeCell ref="G62:H62"/>
    <mergeCell ref="G149:H149"/>
    <mergeCell ref="G109:H109"/>
    <mergeCell ref="F121:H121"/>
  </mergeCells>
  <phoneticPr fontId="25" type="noConversion"/>
  <dataValidations count="3">
    <dataValidation type="custom" showErrorMessage="1" errorTitle="Falsche Bruttofläche" error="Die Bruttofläche entspricht nicht 10000 m2" sqref="E12:E13 J97">
      <formula1>E11*E12=10000</formula1>
    </dataValidation>
    <dataValidation type="whole" operator="notEqual" showErrorMessage="1" errorTitle="Falsche Länge" error="Es muss eine Länge eingetragen sein" sqref="E11 J96">
      <formula1>0</formula1>
    </dataValidation>
    <dataValidation type="list" allowBlank="1" showInputMessage="1" showErrorMessage="1" sqref="Q136 Q127:Q134">
      <formula1>Anzahl_Behandlungen</formula1>
    </dataValidation>
  </dataValidations>
  <printOptions gridLines="1" gridLinesSet="0"/>
  <pageMargins left="0.59055118110236227" right="0.39370078740157483" top="0.59055118110236227" bottom="0.59055118110236227" header="0.51181102362204722" footer="0.51181102362204722"/>
  <pageSetup paperSize="9" scale="54" orientation="portrait" r:id="rId1"/>
  <headerFooter alignWithMargins="0">
    <oddFooter>&amp;L&amp;6&amp;F&amp;C&amp;6&amp;A &amp;R&amp;6Kontakt: matthias.zuercher@faw.admin.ch</oddFooter>
  </headerFooter>
  <rowBreaks count="1" manualBreakCount="1">
    <brk id="90" max="13" man="1"/>
  </rowBreaks>
  <ignoredErrors>
    <ignoredError sqref="G59 G57" formulaRange="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stellung">
    <tabColor rgb="FF00359E"/>
  </sheetPr>
  <dimension ref="A1:AO180"/>
  <sheetViews>
    <sheetView topLeftCell="A40" zoomScale="75" workbookViewId="0">
      <selection activeCell="D25" sqref="D25"/>
    </sheetView>
  </sheetViews>
  <sheetFormatPr baseColWidth="10" defaultColWidth="11.36328125" defaultRowHeight="12.5" x14ac:dyDescent="0.25"/>
  <cols>
    <col min="1" max="1" width="30.81640625" customWidth="1"/>
    <col min="2" max="2" width="27.7265625" customWidth="1"/>
    <col min="3" max="3" width="20" bestFit="1" customWidth="1"/>
    <col min="4" max="4" width="20.36328125" customWidth="1"/>
    <col min="5" max="5" width="17.7265625" customWidth="1"/>
    <col min="6" max="6" width="13.54296875" customWidth="1"/>
    <col min="7" max="7" width="13.36328125" customWidth="1"/>
    <col min="8" max="8" width="7.81640625" style="19" customWidth="1"/>
    <col min="9" max="9" width="27.54296875" style="19" bestFit="1" customWidth="1"/>
    <col min="10" max="10" width="11.36328125" style="19" customWidth="1"/>
    <col min="11" max="11" width="12.81640625" style="19" customWidth="1"/>
    <col min="12" max="41" width="11.36328125" style="19" customWidth="1"/>
  </cols>
  <sheetData>
    <row r="1" spans="1:41" ht="45.75" customHeight="1" x14ac:dyDescent="0.5">
      <c r="A1" s="369" t="str">
        <f>'Standard Vorgaben'!A1</f>
        <v>Arbokost 2023</v>
      </c>
      <c r="B1" s="354" t="str">
        <f>'Standard Vorgaben'!B8</f>
        <v>Tafelkirsche</v>
      </c>
      <c r="C1" s="351"/>
      <c r="D1" s="359"/>
      <c r="E1" s="351"/>
      <c r="F1" s="356"/>
      <c r="G1" s="351"/>
    </row>
    <row r="2" spans="1:41" ht="24.75" customHeight="1" x14ac:dyDescent="0.4">
      <c r="A2" s="286" t="str">
        <f>'Standard Vorgaben'!$A$2</f>
        <v>Standard 1ha</v>
      </c>
      <c r="B2" s="621">
        <f>E16</f>
        <v>950</v>
      </c>
      <c r="C2" s="351"/>
      <c r="D2" s="351"/>
      <c r="E2" s="351"/>
      <c r="F2" s="351"/>
      <c r="G2" s="624"/>
      <c r="H2" s="205"/>
    </row>
    <row r="3" spans="1:41" ht="43.5" customHeight="1" x14ac:dyDescent="0.35">
      <c r="A3" s="352" t="s">
        <v>268</v>
      </c>
      <c r="B3" s="1351" t="s">
        <v>269</v>
      </c>
      <c r="C3" s="1375"/>
      <c r="D3" s="1375"/>
      <c r="E3" s="1375"/>
      <c r="F3" s="1375"/>
      <c r="G3" s="1375"/>
      <c r="H3" s="205"/>
      <c r="I3" s="25"/>
    </row>
    <row r="4" spans="1:41" s="1" customFormat="1" ht="12.75" customHeight="1" x14ac:dyDescent="0.35">
      <c r="A4" s="125" t="s">
        <v>695</v>
      </c>
      <c r="B4"/>
      <c r="C4" s="1337"/>
      <c r="D4" s="1340">
        <v>0.18</v>
      </c>
      <c r="E4" s="350"/>
      <c r="F4" s="351"/>
      <c r="G4" s="351"/>
      <c r="H4" s="351"/>
    </row>
    <row r="5" spans="1:41" s="1" customFormat="1" ht="35.5" customHeight="1" x14ac:dyDescent="0.5">
      <c r="A5" s="469" t="s">
        <v>410</v>
      </c>
      <c r="B5" s="466"/>
      <c r="C5" s="466" t="s">
        <v>274</v>
      </c>
      <c r="D5" s="467"/>
      <c r="E5" s="468"/>
      <c r="F5" s="467"/>
      <c r="G5" s="467"/>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pans="1:41" s="1" customFormat="1" ht="15.75" customHeight="1" x14ac:dyDescent="0.5">
      <c r="A6" s="470"/>
      <c r="B6" s="471"/>
      <c r="C6" s="471"/>
      <c r="D6" s="105"/>
      <c r="E6" s="472"/>
      <c r="F6" s="105"/>
      <c r="G6" s="779" t="s">
        <v>141</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pans="1:41" ht="27" customHeight="1" thickBot="1" x14ac:dyDescent="0.45">
      <c r="A7" s="473" t="s">
        <v>162</v>
      </c>
      <c r="B7" s="376"/>
      <c r="C7" s="377" t="str">
        <f>'Standard Vorgaben'!C15</f>
        <v>Nutzungsdauer:</v>
      </c>
      <c r="D7" s="378"/>
      <c r="E7" s="379"/>
      <c r="F7" s="378"/>
      <c r="G7" s="380"/>
    </row>
    <row r="8" spans="1:41" s="1" customFormat="1" ht="13.5" thickBot="1" x14ac:dyDescent="0.35">
      <c r="A8" s="107" t="s">
        <v>270</v>
      </c>
      <c r="B8" s="100" t="str">
        <f>'Standard Vorgaben'!B15</f>
        <v>Ja, Folie im 3. Stj. und 10. Stj.</v>
      </c>
      <c r="C8" s="745">
        <f>'Standard Vorgaben'!D15</f>
        <v>7</v>
      </c>
      <c r="D8" s="288" t="s">
        <v>166</v>
      </c>
      <c r="E8" s="14"/>
      <c r="F8" s="14"/>
      <c r="G8" s="215"/>
      <c r="I8"/>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pans="1:41" x14ac:dyDescent="0.25">
      <c r="A9" s="100" t="str">
        <f>'Standard Vorgaben'!A16</f>
        <v>Versicherung Regendach</v>
      </c>
      <c r="B9" s="100" t="str">
        <f>'Standard Vorgaben'!B16</f>
        <v>Ja</v>
      </c>
      <c r="C9" s="1"/>
      <c r="D9" s="214"/>
      <c r="E9" s="301" t="s">
        <v>281</v>
      </c>
      <c r="F9" s="302" t="s">
        <v>282</v>
      </c>
      <c r="G9" s="215" t="s">
        <v>283</v>
      </c>
    </row>
    <row r="10" spans="1:41" ht="13" x14ac:dyDescent="0.3">
      <c r="A10" s="100" t="s">
        <v>100</v>
      </c>
      <c r="B10" s="100" t="str">
        <f>'Standard Vorgaben'!B18</f>
        <v>Ja</v>
      </c>
      <c r="C10" s="1"/>
      <c r="D10" s="216" t="s">
        <v>3</v>
      </c>
      <c r="E10" s="305">
        <v>125</v>
      </c>
      <c r="F10" s="306">
        <v>115</v>
      </c>
      <c r="G10" s="567">
        <f>1-(F12/E12)</f>
        <v>0.10299999999999998</v>
      </c>
      <c r="J10"/>
    </row>
    <row r="11" spans="1:41" ht="25" x14ac:dyDescent="0.25">
      <c r="A11" s="559" t="s">
        <v>415</v>
      </c>
      <c r="B11" s="1"/>
      <c r="C11" s="1"/>
      <c r="D11" s="216" t="s">
        <v>4</v>
      </c>
      <c r="E11" s="307">
        <v>80</v>
      </c>
      <c r="F11" s="308">
        <v>78</v>
      </c>
      <c r="G11" s="217"/>
      <c r="I11"/>
    </row>
    <row r="12" spans="1:41" ht="13.5" thickBot="1" x14ac:dyDescent="0.35">
      <c r="A12" s="25" t="s">
        <v>89</v>
      </c>
      <c r="B12" s="746">
        <f>'Standard Vorgaben'!B22</f>
        <v>4</v>
      </c>
      <c r="C12" s="1"/>
      <c r="D12" s="218" t="s">
        <v>72</v>
      </c>
      <c r="E12" s="564">
        <f>E10*E11</f>
        <v>10000</v>
      </c>
      <c r="F12" s="565">
        <f>F10*F11</f>
        <v>8970</v>
      </c>
      <c r="G12" s="566">
        <f>E12-F12</f>
        <v>1030</v>
      </c>
      <c r="I12"/>
    </row>
    <row r="13" spans="1:41" ht="13.75" customHeight="1" x14ac:dyDescent="0.3">
      <c r="A13" s="25" t="s">
        <v>99</v>
      </c>
      <c r="B13" s="746">
        <f>'Standard Vorgaben'!B23</f>
        <v>16</v>
      </c>
      <c r="C13" s="53"/>
      <c r="D13" s="219" t="s">
        <v>8</v>
      </c>
      <c r="E13" s="25"/>
      <c r="F13" s="303">
        <v>4.5</v>
      </c>
      <c r="G13" s="304"/>
      <c r="I13"/>
    </row>
    <row r="14" spans="1:41" ht="13" x14ac:dyDescent="0.3">
      <c r="A14" s="125" t="s">
        <v>10</v>
      </c>
      <c r="B14" s="747">
        <f>'Standard Vorgaben'!B24</f>
        <v>12</v>
      </c>
      <c r="C14" s="25"/>
      <c r="D14" s="219" t="s">
        <v>11</v>
      </c>
      <c r="E14" s="25"/>
      <c r="F14" s="303">
        <v>2.1</v>
      </c>
      <c r="G14" s="304"/>
    </row>
    <row r="15" spans="1:41" ht="13" x14ac:dyDescent="0.3">
      <c r="C15" s="25"/>
      <c r="D15" s="219" t="s">
        <v>12</v>
      </c>
      <c r="E15" s="25"/>
      <c r="F15" s="204">
        <f>ROUND((F11/F13),0)</f>
        <v>17</v>
      </c>
      <c r="G15" s="213"/>
      <c r="H15" s="104"/>
    </row>
    <row r="16" spans="1:41" ht="16" thickBot="1" x14ac:dyDescent="0.4">
      <c r="C16" s="25"/>
      <c r="D16" s="220" t="s">
        <v>161</v>
      </c>
      <c r="E16" s="749">
        <v>950</v>
      </c>
      <c r="F16" s="568">
        <f>ROUND(((F10/F14)+1),0)*ROUND(F15,0)</f>
        <v>952</v>
      </c>
      <c r="G16" s="289"/>
    </row>
    <row r="18" spans="1:41" ht="20" x14ac:dyDescent="0.4">
      <c r="A18" s="401" t="s">
        <v>409</v>
      </c>
      <c r="B18" s="465"/>
      <c r="C18" s="465"/>
      <c r="D18" s="465"/>
      <c r="E18" s="938"/>
      <c r="F18" s="465"/>
      <c r="G18" s="392"/>
    </row>
    <row r="19" spans="1:41" s="18" customFormat="1" ht="13" x14ac:dyDescent="0.3">
      <c r="A19" s="1"/>
      <c r="B19" s="3"/>
      <c r="C19" s="24" t="s">
        <v>18</v>
      </c>
      <c r="D19" s="24" t="s">
        <v>19</v>
      </c>
      <c r="E19" s="127" t="s">
        <v>20</v>
      </c>
      <c r="F19" s="128"/>
      <c r="G19" s="24"/>
      <c r="H19" s="23"/>
      <c r="I19" s="102"/>
      <c r="J19" s="102"/>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ht="13" x14ac:dyDescent="0.3">
      <c r="A20" s="3" t="s">
        <v>15</v>
      </c>
      <c r="B20" s="1"/>
      <c r="C20" s="189">
        <f>E16</f>
        <v>950</v>
      </c>
      <c r="D20" s="63">
        <f>'Standard Vorgaben'!$C$26</f>
        <v>18</v>
      </c>
      <c r="E20" s="82">
        <f>C20*D20</f>
        <v>17100</v>
      </c>
      <c r="F20" s="246">
        <f>E20/E53</f>
        <v>0.68536760994358581</v>
      </c>
      <c r="G20" s="5"/>
      <c r="H20" s="638"/>
    </row>
    <row r="21" spans="1:41" ht="13" x14ac:dyDescent="0.3">
      <c r="A21" s="3" t="s">
        <v>206</v>
      </c>
      <c r="B21" s="4" t="s">
        <v>538</v>
      </c>
      <c r="C21" s="189">
        <f>C20</f>
        <v>950</v>
      </c>
      <c r="D21" s="95">
        <f>0.83*(1+$D$4)</f>
        <v>0.97939999999999994</v>
      </c>
      <c r="E21" s="82">
        <f>C21*D21</f>
        <v>930.43</v>
      </c>
      <c r="F21" s="130">
        <f>E21/E53</f>
        <v>3.7291613176597106E-2</v>
      </c>
      <c r="G21" s="115"/>
      <c r="H21" s="638"/>
    </row>
    <row r="22" spans="1:41" ht="13" x14ac:dyDescent="0.3">
      <c r="A22" s="1"/>
      <c r="B22" s="1"/>
      <c r="C22" s="6"/>
      <c r="D22" s="32"/>
      <c r="E22" s="207"/>
      <c r="F22" s="129"/>
      <c r="G22" s="1"/>
    </row>
    <row r="23" spans="1:41" ht="13" x14ac:dyDescent="0.3">
      <c r="A23" s="3" t="s">
        <v>24</v>
      </c>
      <c r="B23" s="1" t="s">
        <v>131</v>
      </c>
      <c r="C23" s="750">
        <f>'Standard Vorgaben'!C98</f>
        <v>270</v>
      </c>
      <c r="D23" s="63">
        <f>'Standard Vorgaben'!C96</f>
        <v>1.05</v>
      </c>
      <c r="E23" s="45">
        <f>C23*D23</f>
        <v>283.5</v>
      </c>
      <c r="F23" s="131">
        <f>E23/E53</f>
        <v>1.1362673533275238E-2</v>
      </c>
      <c r="G23" s="5"/>
    </row>
    <row r="24" spans="1:41" ht="13" x14ac:dyDescent="0.3">
      <c r="A24" s="3"/>
      <c r="B24" s="112" t="s">
        <v>130</v>
      </c>
      <c r="C24" s="750">
        <f>'Standard Vorgaben'!B98</f>
        <v>150</v>
      </c>
      <c r="D24" s="63">
        <f>'Standard Vorgaben'!B96</f>
        <v>0.9</v>
      </c>
      <c r="E24" s="45">
        <f>C24*D24</f>
        <v>135</v>
      </c>
      <c r="F24" s="131">
        <f>E24/E53</f>
        <v>5.4107969206072561E-3</v>
      </c>
      <c r="G24" s="5"/>
    </row>
    <row r="25" spans="1:41" ht="13" x14ac:dyDescent="0.3">
      <c r="A25" s="3"/>
      <c r="B25" s="112" t="str">
        <f>'Standard Vorgaben'!D95</f>
        <v>Kompost</v>
      </c>
      <c r="C25" s="750">
        <f>'Standard Vorgaben'!D98</f>
        <v>25000</v>
      </c>
      <c r="D25" s="63">
        <f>'Standard Vorgaben'!D96</f>
        <v>0.02</v>
      </c>
      <c r="E25" s="117">
        <f>C25*D25</f>
        <v>500</v>
      </c>
      <c r="F25" s="131">
        <f>E25/E53</f>
        <v>2.0039988594841691E-2</v>
      </c>
      <c r="G25" s="5"/>
      <c r="M25" s="21"/>
      <c r="N25" s="13"/>
      <c r="O25" s="531"/>
      <c r="P25" s="32"/>
    </row>
    <row r="26" spans="1:41" ht="13" x14ac:dyDescent="0.3">
      <c r="A26" s="1"/>
      <c r="B26" s="1" t="s">
        <v>41</v>
      </c>
      <c r="C26" s="143">
        <v>40</v>
      </c>
      <c r="D26" s="95">
        <v>7.2</v>
      </c>
      <c r="E26" s="45">
        <f>C26*D26</f>
        <v>288</v>
      </c>
      <c r="F26" s="131">
        <f>E26/E53</f>
        <v>1.1543033430628813E-2</v>
      </c>
      <c r="G26" s="5"/>
      <c r="H26" s="638"/>
    </row>
    <row r="27" spans="1:41" ht="13" x14ac:dyDescent="0.3">
      <c r="A27" s="1"/>
      <c r="B27" s="1" t="s">
        <v>25</v>
      </c>
      <c r="C27" s="6"/>
      <c r="D27" s="47"/>
      <c r="E27" s="95">
        <v>150</v>
      </c>
      <c r="F27" s="131">
        <f>E27/E53</f>
        <v>6.0119965784525067E-3</v>
      </c>
      <c r="G27" s="638"/>
      <c r="H27" s="638"/>
    </row>
    <row r="28" spans="1:41" ht="12.75" customHeight="1" thickBot="1" x14ac:dyDescent="0.35">
      <c r="A28" s="1"/>
      <c r="B28" s="1" t="s">
        <v>207</v>
      </c>
      <c r="C28" s="6"/>
      <c r="D28" s="47"/>
      <c r="E28" s="753">
        <v>500</v>
      </c>
      <c r="F28" s="131">
        <f>E28/E53</f>
        <v>2.0039988594841691E-2</v>
      </c>
      <c r="G28" s="5"/>
      <c r="H28" s="638"/>
    </row>
    <row r="29" spans="1:41" ht="13" x14ac:dyDescent="0.3">
      <c r="A29" s="1"/>
      <c r="B29" s="1"/>
      <c r="C29" s="1"/>
      <c r="D29" s="63"/>
      <c r="E29" s="82">
        <f>SUM(E23:E28)</f>
        <v>1856.5</v>
      </c>
      <c r="F29" s="246">
        <f>E29/E53</f>
        <v>7.4408477652647201E-2</v>
      </c>
      <c r="G29" s="5"/>
    </row>
    <row r="30" spans="1:41" ht="15.5" x14ac:dyDescent="0.35">
      <c r="A30" s="475" t="s">
        <v>26</v>
      </c>
      <c r="B30" s="460"/>
      <c r="C30" s="503"/>
      <c r="D30" s="504"/>
      <c r="E30" s="505">
        <f>E29+E21+E20</f>
        <v>19886.93</v>
      </c>
      <c r="F30" s="506">
        <f>E30/E53</f>
        <v>0.79706770077283007</v>
      </c>
      <c r="G30" s="507"/>
    </row>
    <row r="31" spans="1:41" ht="13" x14ac:dyDescent="0.3">
      <c r="A31" s="3"/>
      <c r="B31" s="1"/>
      <c r="C31" s="123" t="s">
        <v>98</v>
      </c>
      <c r="D31" s="126" t="s">
        <v>28</v>
      </c>
      <c r="E31" s="124" t="s">
        <v>20</v>
      </c>
      <c r="F31" s="560"/>
      <c r="G31" s="561"/>
    </row>
    <row r="32" spans="1:41" ht="13" x14ac:dyDescent="0.3">
      <c r="A32" s="3" t="s">
        <v>30</v>
      </c>
      <c r="B32" s="1" t="str">
        <f>'Standard Vorgaben'!B143</f>
        <v>Spatenmaschine 2m</v>
      </c>
      <c r="C32" s="48">
        <f>'Standard Vorgaben'!C143</f>
        <v>1.5</v>
      </c>
      <c r="D32" s="275">
        <f>'Standard Vorgaben'!D143</f>
        <v>52</v>
      </c>
      <c r="E32" s="45">
        <f>C32*D32</f>
        <v>78</v>
      </c>
      <c r="F32" s="131">
        <f>E32/E53</f>
        <v>3.1262382207953034E-3</v>
      </c>
      <c r="G32" s="690" t="s">
        <v>210</v>
      </c>
    </row>
    <row r="33" spans="1:8" x14ac:dyDescent="0.25">
      <c r="A33" s="249"/>
      <c r="B33" s="1" t="str">
        <f>'Standard Vorgaben'!B144</f>
        <v xml:space="preserve">Bodenfräse mit Stabkrümler 2.1m </v>
      </c>
      <c r="C33" s="48">
        <f>'Standard Vorgaben'!C144</f>
        <v>2</v>
      </c>
      <c r="D33" s="275">
        <f>'Standard Vorgaben'!D144</f>
        <v>62</v>
      </c>
      <c r="E33" s="45">
        <f>C33*D33</f>
        <v>124</v>
      </c>
      <c r="F33" s="131">
        <f>E33/E53</f>
        <v>4.9699171715207394E-3</v>
      </c>
      <c r="G33" s="690" t="s">
        <v>210</v>
      </c>
    </row>
    <row r="34" spans="1:8" x14ac:dyDescent="0.25">
      <c r="A34" s="210">
        <v>2</v>
      </c>
      <c r="B34" s="1" t="str">
        <f>'Standard Vorgaben'!B133</f>
        <v>Düngerstreuer Einkasten 2.5 m</v>
      </c>
      <c r="C34" s="48">
        <f>'Standard Vorgaben'!C145*A34</f>
        <v>2</v>
      </c>
      <c r="D34" s="275">
        <f>'Standard Vorgaben'!D133</f>
        <v>18</v>
      </c>
      <c r="E34" s="45">
        <f>C34*D34</f>
        <v>36</v>
      </c>
      <c r="F34" s="131">
        <f>E34/E53</f>
        <v>1.4428791788286017E-3</v>
      </c>
      <c r="G34" s="5"/>
    </row>
    <row r="35" spans="1:8" x14ac:dyDescent="0.25">
      <c r="A35" s="1"/>
      <c r="B35" s="1" t="str">
        <f>'Standard Vorgaben'!B145</f>
        <v>Sämaschine 3 m</v>
      </c>
      <c r="C35" s="48">
        <f>'Standard Vorgaben'!C145</f>
        <v>1</v>
      </c>
      <c r="D35" s="275">
        <f>'Standard Vorgaben'!D145</f>
        <v>90</v>
      </c>
      <c r="E35" s="45">
        <f>C35*D35</f>
        <v>90</v>
      </c>
      <c r="F35" s="131">
        <f>E35/E53</f>
        <v>3.607197947071504E-3</v>
      </c>
      <c r="G35" s="5"/>
    </row>
    <row r="36" spans="1:8" ht="13" thickBot="1" x14ac:dyDescent="0.3">
      <c r="A36" s="1"/>
      <c r="B36" s="1" t="str">
        <f>'Standard Vorgaben'!B146</f>
        <v>Pneuwagen 2achsig, 3 t</v>
      </c>
      <c r="C36" s="752">
        <f>(C47+C48)*'Standard Vorgaben'!C146</f>
        <v>8.5</v>
      </c>
      <c r="D36" s="141">
        <f>'Standard Vorgaben'!D146</f>
        <v>25</v>
      </c>
      <c r="E36" s="208">
        <f>C36*D36</f>
        <v>212.5</v>
      </c>
      <c r="F36" s="131">
        <f>E36/E53</f>
        <v>8.5169951528077173E-3</v>
      </c>
      <c r="G36" s="5"/>
    </row>
    <row r="37" spans="1:8" ht="13" x14ac:dyDescent="0.3">
      <c r="A37" s="1"/>
      <c r="B37" s="1"/>
      <c r="C37" s="751">
        <f>SUM(C32:C36)</f>
        <v>15</v>
      </c>
      <c r="D37" s="63"/>
      <c r="E37" s="45">
        <f>SUM(E32:E36)</f>
        <v>540.5</v>
      </c>
      <c r="F37" s="129">
        <f>E37/E53</f>
        <v>2.1663227671023865E-2</v>
      </c>
      <c r="G37" s="5"/>
    </row>
    <row r="38" spans="1:8" ht="13" x14ac:dyDescent="0.3">
      <c r="A38" s="3" t="s">
        <v>31</v>
      </c>
      <c r="B38" s="1" t="str">
        <f>'Standard Vorgaben'!B142</f>
        <v>Obstbautraktor 4-Rad (45-54 kW, 61-73 PS)</v>
      </c>
      <c r="C38" s="48">
        <f>C37</f>
        <v>15</v>
      </c>
      <c r="D38" s="141">
        <f>'Standard Vorgaben'!D142</f>
        <v>41</v>
      </c>
      <c r="E38" s="45">
        <f>C38*D38</f>
        <v>615</v>
      </c>
      <c r="F38" s="131">
        <f>E38/E53</f>
        <v>2.4649185971655278E-2</v>
      </c>
      <c r="G38" s="5"/>
    </row>
    <row r="39" spans="1:8" ht="13" thickBot="1" x14ac:dyDescent="0.3">
      <c r="A39" s="1" t="s">
        <v>32</v>
      </c>
      <c r="B39" s="1"/>
      <c r="C39" s="48"/>
      <c r="D39" s="63"/>
      <c r="E39" s="208">
        <f>'Standard Vorgaben'!D147</f>
        <v>220</v>
      </c>
      <c r="F39" s="131">
        <f>E39/E53</f>
        <v>8.8175949817303444E-3</v>
      </c>
      <c r="G39" s="5"/>
    </row>
    <row r="40" spans="1:8" ht="13" x14ac:dyDescent="0.3">
      <c r="A40" s="3" t="s">
        <v>33</v>
      </c>
      <c r="B40" s="1"/>
      <c r="C40" s="48"/>
      <c r="D40" s="63"/>
      <c r="E40" s="82">
        <f>E37+E38+E39</f>
        <v>1375.5</v>
      </c>
      <c r="F40" s="129">
        <f>E40/E53</f>
        <v>5.5130008624409491E-2</v>
      </c>
      <c r="G40" s="5"/>
    </row>
    <row r="41" spans="1:8" x14ac:dyDescent="0.25">
      <c r="A41" s="1"/>
      <c r="B41" s="1"/>
      <c r="C41" s="123" t="s">
        <v>34</v>
      </c>
      <c r="D41" s="126" t="s">
        <v>28</v>
      </c>
      <c r="E41" s="124" t="s">
        <v>29</v>
      </c>
      <c r="F41" s="562"/>
      <c r="G41" s="563"/>
    </row>
    <row r="42" spans="1:8" ht="13" x14ac:dyDescent="0.3">
      <c r="A42" s="3" t="s">
        <v>35</v>
      </c>
      <c r="B42" s="1" t="s">
        <v>211</v>
      </c>
      <c r="C42" s="48">
        <f>C32</f>
        <v>1.5</v>
      </c>
      <c r="D42" s="63">
        <f>'Standard Vorgaben'!$C$31</f>
        <v>32.700000000000003</v>
      </c>
      <c r="E42" s="45">
        <f t="shared" ref="E42:E50" si="0">C42*D42</f>
        <v>49.050000000000004</v>
      </c>
      <c r="F42" s="131">
        <f>E42/E53</f>
        <v>1.9659228811539698E-3</v>
      </c>
      <c r="G42" s="5"/>
      <c r="H42" s="638"/>
    </row>
    <row r="43" spans="1:8" ht="13" x14ac:dyDescent="0.3">
      <c r="A43" s="1"/>
      <c r="B43" s="1" t="s">
        <v>212</v>
      </c>
      <c r="C43" s="48">
        <f>C33</f>
        <v>2</v>
      </c>
      <c r="D43" s="63">
        <f>'Standard Vorgaben'!$C$31</f>
        <v>32.700000000000003</v>
      </c>
      <c r="E43" s="45">
        <f t="shared" si="0"/>
        <v>65.400000000000006</v>
      </c>
      <c r="F43" s="131">
        <f>E43/E53</f>
        <v>2.6212305082052934E-3</v>
      </c>
      <c r="G43" s="5"/>
      <c r="H43" s="638"/>
    </row>
    <row r="44" spans="1:8" ht="13" x14ac:dyDescent="0.3">
      <c r="A44" s="1"/>
      <c r="B44" s="1" t="s">
        <v>36</v>
      </c>
      <c r="C44" s="48">
        <f>C34</f>
        <v>2</v>
      </c>
      <c r="D44" s="63">
        <f>'Standard Vorgaben'!$C$31</f>
        <v>32.700000000000003</v>
      </c>
      <c r="E44" s="45">
        <f t="shared" si="0"/>
        <v>65.400000000000006</v>
      </c>
      <c r="F44" s="131">
        <f>E44/E53</f>
        <v>2.6212305082052934E-3</v>
      </c>
      <c r="G44" s="5"/>
      <c r="H44" s="638"/>
    </row>
    <row r="45" spans="1:8" ht="13" x14ac:dyDescent="0.3">
      <c r="A45" s="1"/>
      <c r="B45" s="1" t="s">
        <v>37</v>
      </c>
      <c r="C45" s="140">
        <v>1.1000000000000001</v>
      </c>
      <c r="D45" s="63">
        <f>'Standard Vorgaben'!$C$31</f>
        <v>32.700000000000003</v>
      </c>
      <c r="E45" s="45">
        <f t="shared" si="0"/>
        <v>35.970000000000006</v>
      </c>
      <c r="F45" s="131">
        <f>E45/E53</f>
        <v>1.4416767795129115E-3</v>
      </c>
      <c r="G45" s="5"/>
      <c r="H45" s="638"/>
    </row>
    <row r="46" spans="1:8" ht="13" x14ac:dyDescent="0.3">
      <c r="A46" s="1"/>
      <c r="B46" s="1" t="s">
        <v>38</v>
      </c>
      <c r="C46" s="140">
        <v>7.5</v>
      </c>
      <c r="D46" s="63">
        <f>'Standard Vorgaben'!$C$31</f>
        <v>32.700000000000003</v>
      </c>
      <c r="E46" s="45">
        <f t="shared" si="0"/>
        <v>245.25000000000003</v>
      </c>
      <c r="F46" s="131">
        <f>E46/E53</f>
        <v>9.8296144057698504E-3</v>
      </c>
      <c r="G46" s="5"/>
      <c r="H46" s="638"/>
    </row>
    <row r="47" spans="1:8" ht="13" x14ac:dyDescent="0.3">
      <c r="A47" s="11" t="s">
        <v>120</v>
      </c>
      <c r="B47" s="1" t="s">
        <v>39</v>
      </c>
      <c r="C47" s="140">
        <v>75</v>
      </c>
      <c r="D47" s="63">
        <f>'Standard Vorgaben'!$C$31</f>
        <v>32.700000000000003</v>
      </c>
      <c r="E47" s="45">
        <f t="shared" si="0"/>
        <v>2452.5</v>
      </c>
      <c r="F47" s="131">
        <f>E47/E53</f>
        <v>9.8296144057698487E-2</v>
      </c>
      <c r="G47" s="5"/>
      <c r="H47" s="638"/>
    </row>
    <row r="48" spans="1:8" ht="13" x14ac:dyDescent="0.3">
      <c r="A48" s="11" t="s">
        <v>119</v>
      </c>
      <c r="B48" s="1" t="s">
        <v>213</v>
      </c>
      <c r="C48" s="140">
        <v>10</v>
      </c>
      <c r="D48" s="63">
        <f>'Standard Vorgaben'!$C$31</f>
        <v>32.700000000000003</v>
      </c>
      <c r="E48" s="45">
        <f t="shared" si="0"/>
        <v>327</v>
      </c>
      <c r="F48" s="131">
        <f>E48/E53</f>
        <v>1.3106152541026464E-2</v>
      </c>
      <c r="G48" s="5"/>
      <c r="H48" s="638"/>
    </row>
    <row r="49" spans="1:41" ht="13" x14ac:dyDescent="0.3">
      <c r="A49" s="1"/>
      <c r="B49" s="1" t="s">
        <v>41</v>
      </c>
      <c r="C49" s="48">
        <f>C35</f>
        <v>1</v>
      </c>
      <c r="D49" s="63">
        <f>'Standard Vorgaben'!$C$31</f>
        <v>32.700000000000003</v>
      </c>
      <c r="E49" s="45">
        <f t="shared" si="0"/>
        <v>32.700000000000003</v>
      </c>
      <c r="F49" s="131">
        <f>E49/E53</f>
        <v>1.3106152541026467E-3</v>
      </c>
      <c r="G49" s="5"/>
      <c r="H49" s="638"/>
    </row>
    <row r="50" spans="1:41" ht="12.75" customHeight="1" thickBot="1" x14ac:dyDescent="0.3">
      <c r="A50" s="1"/>
      <c r="B50" s="1" t="s">
        <v>168</v>
      </c>
      <c r="C50" s="428">
        <f>SUM(C42:C49)*0.1</f>
        <v>10.01</v>
      </c>
      <c r="D50" s="63">
        <f>'Standard Vorgaben'!$C$27</f>
        <v>41.4</v>
      </c>
      <c r="E50" s="208">
        <f t="shared" si="0"/>
        <v>414.41399999999999</v>
      </c>
      <c r="F50" s="131">
        <f>E50/E53</f>
        <v>1.6609703667085446E-2</v>
      </c>
      <c r="G50" s="5" t="s">
        <v>275</v>
      </c>
    </row>
    <row r="51" spans="1:41" ht="13" x14ac:dyDescent="0.3">
      <c r="A51" s="1"/>
      <c r="B51" s="1"/>
      <c r="C51" s="228">
        <f>SUM(C42:C50)</f>
        <v>110.11</v>
      </c>
      <c r="D51" s="63"/>
      <c r="E51" s="82">
        <f>SUM(E42:E50)</f>
        <v>3687.6840000000002</v>
      </c>
      <c r="F51" s="129">
        <f>E51/E53</f>
        <v>0.14780229060276037</v>
      </c>
      <c r="G51" s="5" t="s">
        <v>276</v>
      </c>
    </row>
    <row r="52" spans="1:41" s="22" customFormat="1" ht="15.5" x14ac:dyDescent="0.35">
      <c r="A52" s="475" t="s">
        <v>42</v>
      </c>
      <c r="B52" s="476"/>
      <c r="C52" s="477"/>
      <c r="D52" s="478"/>
      <c r="E52" s="508">
        <f>E51+E40</f>
        <v>5063.1840000000002</v>
      </c>
      <c r="F52" s="480">
        <f>E52/E53</f>
        <v>0.20293229922716985</v>
      </c>
      <c r="G52" s="509"/>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row>
    <row r="53" spans="1:41" s="29" customFormat="1" ht="17.5" x14ac:dyDescent="0.35">
      <c r="A53" s="475" t="s">
        <v>258</v>
      </c>
      <c r="B53" s="476"/>
      <c r="C53" s="477"/>
      <c r="D53" s="478"/>
      <c r="E53" s="479">
        <f>E52+E30</f>
        <v>24950.114000000001</v>
      </c>
      <c r="F53" s="480">
        <f>E53/E53</f>
        <v>1</v>
      </c>
      <c r="G53" s="481"/>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s="29" customFormat="1" ht="9.75" customHeight="1" x14ac:dyDescent="0.35">
      <c r="A54" s="497"/>
      <c r="B54" s="498"/>
      <c r="C54" s="499"/>
      <c r="D54" s="500"/>
      <c r="E54" s="501"/>
      <c r="F54" s="502"/>
      <c r="G54" s="28"/>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ht="30.25" customHeight="1" x14ac:dyDescent="0.4">
      <c r="A55" s="496" t="s">
        <v>21</v>
      </c>
      <c r="B55" s="465"/>
      <c r="C55" s="396"/>
      <c r="D55" s="396"/>
      <c r="E55" s="396"/>
      <c r="F55" s="1370"/>
      <c r="G55" s="1371"/>
      <c r="I55"/>
      <c r="J55"/>
      <c r="K55"/>
      <c r="L55"/>
    </row>
    <row r="56" spans="1:41" ht="15" customHeight="1" x14ac:dyDescent="0.4">
      <c r="A56" s="482"/>
      <c r="B56" s="19"/>
      <c r="C56" s="139" t="s">
        <v>18</v>
      </c>
      <c r="D56" s="139" t="s">
        <v>19</v>
      </c>
      <c r="E56" s="139" t="s">
        <v>20</v>
      </c>
      <c r="F56" s="50"/>
      <c r="I56" s="1"/>
      <c r="J56" s="1"/>
      <c r="K56" s="1"/>
      <c r="L56" s="1"/>
      <c r="M56" s="25"/>
    </row>
    <row r="57" spans="1:41" ht="15" customHeight="1" x14ac:dyDescent="0.3">
      <c r="B57" s="1" t="s">
        <v>121</v>
      </c>
      <c r="C57" s="569">
        <f>(E10+E11)*2-2*6</f>
        <v>398</v>
      </c>
      <c r="D57" s="95">
        <f>8.12*(1+$D$4)</f>
        <v>9.5815999999999981</v>
      </c>
      <c r="E57" s="45">
        <f t="shared" ref="E57:E62" si="1">C57*D57</f>
        <v>3813.4767999999995</v>
      </c>
      <c r="F57" s="131">
        <f>E57/E76</f>
        <v>0.45951709494324783</v>
      </c>
      <c r="H57" s="520"/>
      <c r="I57" s="1"/>
      <c r="J57" s="569"/>
      <c r="K57" s="63"/>
      <c r="L57" s="45"/>
      <c r="M57" s="25"/>
    </row>
    <row r="58" spans="1:41" ht="15" customHeight="1" x14ac:dyDescent="0.3">
      <c r="B58" s="1" t="s">
        <v>437</v>
      </c>
      <c r="C58" s="142">
        <f>(C57/4)-(C57/4/5)</f>
        <v>79.599999999999994</v>
      </c>
      <c r="D58" s="95">
        <f>12.51*(1+$D$4)</f>
        <v>14.761799999999999</v>
      </c>
      <c r="E58" s="45">
        <f t="shared" si="1"/>
        <v>1175.0392799999997</v>
      </c>
      <c r="F58" s="131">
        <f>E58/E76</f>
        <v>0.14159011964876922</v>
      </c>
      <c r="H58" s="520"/>
      <c r="I58" s="1"/>
      <c r="J58" s="142"/>
      <c r="K58" s="63"/>
      <c r="L58" s="45"/>
      <c r="M58" s="25"/>
    </row>
    <row r="59" spans="1:41" ht="15" customHeight="1" x14ac:dyDescent="0.3">
      <c r="B59" s="1" t="s">
        <v>436</v>
      </c>
      <c r="C59" s="142">
        <f>(C57/4)/5</f>
        <v>19.899999999999999</v>
      </c>
      <c r="D59" s="95">
        <f>20.76*(1+$D$4)</f>
        <v>24.4968</v>
      </c>
      <c r="E59" s="45">
        <f t="shared" si="1"/>
        <v>487.48631999999998</v>
      </c>
      <c r="F59" s="131">
        <f>E59/E76</f>
        <v>5.8741224698410262E-2</v>
      </c>
      <c r="H59" s="520"/>
      <c r="I59" s="1"/>
      <c r="J59" s="142"/>
      <c r="K59" s="63"/>
      <c r="L59" s="45"/>
      <c r="M59" s="25"/>
    </row>
    <row r="60" spans="1:41" ht="15" customHeight="1" x14ac:dyDescent="0.3">
      <c r="B60" s="1" t="s">
        <v>436</v>
      </c>
      <c r="C60" s="26">
        <v>6</v>
      </c>
      <c r="D60" s="95">
        <f>26.75*(1+$D$4)</f>
        <v>31.564999999999998</v>
      </c>
      <c r="E60" s="45">
        <f t="shared" si="1"/>
        <v>189.39</v>
      </c>
      <c r="F60" s="131">
        <f>E60/E76</f>
        <v>2.2821154336457931E-2</v>
      </c>
      <c r="H60" s="520"/>
      <c r="I60" s="1"/>
      <c r="J60" s="142"/>
      <c r="K60" s="63"/>
      <c r="L60" s="45"/>
      <c r="M60" s="25"/>
    </row>
    <row r="61" spans="1:41" ht="15" customHeight="1" x14ac:dyDescent="0.3">
      <c r="B61" s="1" t="s">
        <v>22</v>
      </c>
      <c r="C61" s="26">
        <v>2</v>
      </c>
      <c r="D61" s="95">
        <f>230*(1+$D$4)</f>
        <v>271.39999999999998</v>
      </c>
      <c r="E61" s="45">
        <f t="shared" si="1"/>
        <v>542.79999999999995</v>
      </c>
      <c r="F61" s="246">
        <f>E61/$E$76</f>
        <v>6.5406423643430828E-2</v>
      </c>
      <c r="H61" s="520"/>
      <c r="I61" s="1"/>
      <c r="J61" s="142"/>
      <c r="K61" s="60"/>
      <c r="L61" s="61"/>
      <c r="M61" s="25"/>
    </row>
    <row r="62" spans="1:41" ht="15" customHeight="1" x14ac:dyDescent="0.3">
      <c r="B62" s="1" t="s">
        <v>435</v>
      </c>
      <c r="C62" s="871">
        <f>C57/18</f>
        <v>22.111111111111111</v>
      </c>
      <c r="D62" s="95">
        <f>5.1*(1+$D$4)</f>
        <v>6.0179999999999989</v>
      </c>
      <c r="E62" s="45">
        <f t="shared" si="1"/>
        <v>133.06466666666665</v>
      </c>
      <c r="F62" s="246">
        <f>E62/$E$76</f>
        <v>1.6034052984472934E-2</v>
      </c>
      <c r="H62" s="520"/>
      <c r="I62" s="1"/>
      <c r="J62" s="871"/>
      <c r="K62" s="60"/>
      <c r="L62" s="61"/>
      <c r="M62" s="25"/>
    </row>
    <row r="63" spans="1:41" ht="15" customHeight="1" x14ac:dyDescent="0.3">
      <c r="B63" s="1" t="s">
        <v>122</v>
      </c>
      <c r="C63" s="143">
        <v>3</v>
      </c>
      <c r="D63" s="95">
        <f>14.3*(1+$D$4)</f>
        <v>16.873999999999999</v>
      </c>
      <c r="E63" s="117">
        <f>C63*D63</f>
        <v>50.622</v>
      </c>
      <c r="F63" s="131">
        <f>E63/E76</f>
        <v>6.0998599441373542E-3</v>
      </c>
      <c r="H63" s="520"/>
      <c r="I63" s="1"/>
      <c r="J63" s="750"/>
      <c r="K63" s="60"/>
      <c r="L63" s="61"/>
      <c r="M63" s="25"/>
    </row>
    <row r="64" spans="1:41" ht="15" customHeight="1" x14ac:dyDescent="0.3">
      <c r="C64" s="142"/>
      <c r="D64" s="63"/>
      <c r="E64" s="209">
        <f>SUM(E57:E63)</f>
        <v>6391.8790666666673</v>
      </c>
      <c r="F64" s="246">
        <f>E64/E76</f>
        <v>0.77020993019892658</v>
      </c>
      <c r="I64" s="1"/>
      <c r="J64" s="142"/>
      <c r="K64" s="60"/>
      <c r="L64" s="121"/>
      <c r="M64" s="25"/>
    </row>
    <row r="65" spans="1:41" ht="15" customHeight="1" x14ac:dyDescent="0.25">
      <c r="B65" s="1" t="s">
        <v>23</v>
      </c>
      <c r="C65" s="142"/>
      <c r="D65" s="96"/>
      <c r="E65" s="795">
        <v>-1194</v>
      </c>
      <c r="F65" s="131">
        <f>E65/$E$76</f>
        <v>-0.14387485230334637</v>
      </c>
      <c r="I65" s="1"/>
      <c r="J65" s="142"/>
      <c r="K65" s="96"/>
      <c r="L65" s="57"/>
      <c r="M65" s="25"/>
    </row>
    <row r="66" spans="1:41" ht="15" customHeight="1" x14ac:dyDescent="0.3">
      <c r="B66" s="1"/>
      <c r="C66" s="142"/>
      <c r="D66" s="108"/>
      <c r="E66" s="121">
        <f>SUM(E64:E65)</f>
        <v>5197.8790666666673</v>
      </c>
      <c r="F66" s="335">
        <f>E66/$E$76</f>
        <v>0.62633507789558018</v>
      </c>
      <c r="I66" s="1"/>
      <c r="J66" s="142"/>
      <c r="K66" s="96"/>
      <c r="L66" s="121"/>
      <c r="M66" s="25"/>
    </row>
    <row r="67" spans="1:41" s="1" customFormat="1" ht="15" customHeight="1" x14ac:dyDescent="0.3">
      <c r="B67" s="1" t="s">
        <v>126</v>
      </c>
      <c r="C67" s="142"/>
      <c r="D67" s="108"/>
      <c r="E67" s="145">
        <v>350</v>
      </c>
      <c r="F67" s="335">
        <f>E67/$E$76</f>
        <v>4.2174370440679426E-2</v>
      </c>
      <c r="H67" s="25"/>
      <c r="J67" s="142"/>
      <c r="K67" s="96"/>
      <c r="L67" s="121"/>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row>
    <row r="68" spans="1:41" ht="15" customHeight="1" x14ac:dyDescent="0.35">
      <c r="A68" s="475" t="s">
        <v>26</v>
      </c>
      <c r="B68" s="460"/>
      <c r="C68" s="510"/>
      <c r="D68" s="504"/>
      <c r="E68" s="511">
        <f>E66+E67</f>
        <v>5547.8790666666673</v>
      </c>
      <c r="F68" s="488">
        <f>E68/E76</f>
        <v>0.66850944833625958</v>
      </c>
      <c r="G68" s="460"/>
      <c r="I68" s="25"/>
      <c r="J68" s="25"/>
      <c r="K68" s="25"/>
      <c r="L68" s="25"/>
      <c r="M68" s="25"/>
    </row>
    <row r="69" spans="1:41" ht="19.5" customHeight="1" x14ac:dyDescent="0.3">
      <c r="A69" s="3" t="s">
        <v>30</v>
      </c>
      <c r="C69" s="123" t="s">
        <v>98</v>
      </c>
      <c r="D69" s="126" t="s">
        <v>28</v>
      </c>
      <c r="E69" s="124" t="s">
        <v>20</v>
      </c>
      <c r="F69" s="131"/>
      <c r="I69" s="25"/>
      <c r="J69" s="25"/>
      <c r="K69" s="25"/>
      <c r="L69" s="25"/>
      <c r="M69" s="25"/>
    </row>
    <row r="70" spans="1:41" ht="16.5" customHeight="1" x14ac:dyDescent="0.25">
      <c r="A70" s="19"/>
      <c r="B70" s="1" t="s">
        <v>117</v>
      </c>
      <c r="C70" s="52">
        <f>'Standard Vorgaben'!C146*C74</f>
        <v>7</v>
      </c>
      <c r="D70" s="144">
        <f>D36</f>
        <v>25</v>
      </c>
      <c r="E70" s="61">
        <f>C70*D70</f>
        <v>175</v>
      </c>
      <c r="F70" s="131">
        <f>E70/E76</f>
        <v>2.1087185220339713E-2</v>
      </c>
      <c r="G70" s="5"/>
    </row>
    <row r="71" spans="1:41" ht="16.5" customHeight="1" x14ac:dyDescent="0.25">
      <c r="A71" s="19"/>
      <c r="B71" s="1" t="s">
        <v>443</v>
      </c>
      <c r="C71" s="48">
        <f>C70</f>
        <v>7</v>
      </c>
      <c r="D71" s="141">
        <f>D38</f>
        <v>41</v>
      </c>
      <c r="E71" s="117">
        <f>C71*D71</f>
        <v>287</v>
      </c>
      <c r="F71" s="131">
        <f>E71/E76</f>
        <v>3.4582983761357128E-2</v>
      </c>
      <c r="G71" s="5"/>
    </row>
    <row r="72" spans="1:41" ht="16.5" customHeight="1" x14ac:dyDescent="0.3">
      <c r="A72" s="19"/>
      <c r="B72" s="1"/>
      <c r="C72" s="52"/>
      <c r="D72" s="141"/>
      <c r="E72" s="121">
        <f>SUM(E70:E71)</f>
        <v>462</v>
      </c>
      <c r="F72" s="335">
        <f>E72/E76</f>
        <v>5.5670168981696841E-2</v>
      </c>
      <c r="G72" s="5"/>
    </row>
    <row r="73" spans="1:41" ht="16.5" customHeight="1" x14ac:dyDescent="0.3">
      <c r="A73" s="3" t="s">
        <v>35</v>
      </c>
      <c r="C73" s="123" t="s">
        <v>34</v>
      </c>
      <c r="D73" s="126" t="s">
        <v>28</v>
      </c>
      <c r="E73" s="124" t="s">
        <v>29</v>
      </c>
      <c r="F73" s="131"/>
      <c r="G73" s="5"/>
    </row>
    <row r="74" spans="1:41" ht="16.5" customHeight="1" x14ac:dyDescent="0.3">
      <c r="B74" s="1" t="s">
        <v>40</v>
      </c>
      <c r="C74" s="799">
        <v>70</v>
      </c>
      <c r="D74" s="63">
        <f>'Standard Vorgaben'!$C$31</f>
        <v>32.700000000000003</v>
      </c>
      <c r="E74" s="209">
        <f>C74*D74</f>
        <v>2289</v>
      </c>
      <c r="F74" s="335">
        <f>E74/E76</f>
        <v>0.27582038268204345</v>
      </c>
      <c r="G74" s="5"/>
      <c r="H74" s="520"/>
    </row>
    <row r="75" spans="1:41" s="22" customFormat="1" ht="15.5" x14ac:dyDescent="0.35">
      <c r="A75" s="780" t="s">
        <v>42</v>
      </c>
      <c r="B75" s="463"/>
      <c r="C75" s="781"/>
      <c r="D75" s="782"/>
      <c r="E75" s="783">
        <f>E72+E74</f>
        <v>2751</v>
      </c>
      <c r="F75" s="488">
        <f>E75/E76</f>
        <v>0.33149055166374031</v>
      </c>
      <c r="G75" s="474"/>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row>
    <row r="76" spans="1:41" s="29" customFormat="1" ht="18" customHeight="1" thickBot="1" x14ac:dyDescent="0.4">
      <c r="A76" s="780" t="s">
        <v>123</v>
      </c>
      <c r="B76" s="463"/>
      <c r="C76" s="781"/>
      <c r="D76" s="782"/>
      <c r="E76" s="784">
        <f>E68+E75</f>
        <v>8298.8790666666682</v>
      </c>
      <c r="F76" s="488">
        <f>E76/E76</f>
        <v>1</v>
      </c>
      <c r="G76" s="481"/>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row>
    <row r="77" spans="1:41" s="148" customFormat="1" ht="5.25" customHeight="1" x14ac:dyDescent="0.35">
      <c r="A77" s="780"/>
      <c r="B77" s="463"/>
      <c r="C77" s="781"/>
      <c r="D77" s="782"/>
      <c r="E77" s="785"/>
      <c r="F77" s="495"/>
      <c r="G77" s="481"/>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row>
    <row r="78" spans="1:41" s="148" customFormat="1" ht="18" customHeight="1" x14ac:dyDescent="0.4">
      <c r="A78" s="487" t="s">
        <v>124</v>
      </c>
      <c r="B78" s="484"/>
      <c r="C78" s="485"/>
      <c r="D78" s="486"/>
      <c r="E78" s="758">
        <f>E76+E53</f>
        <v>33248.99306666667</v>
      </c>
      <c r="F78" s="488"/>
      <c r="G78" s="481"/>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row>
    <row r="79" spans="1:41" ht="14" x14ac:dyDescent="0.3">
      <c r="A79" s="786" t="s">
        <v>454</v>
      </c>
      <c r="B79" s="711"/>
      <c r="C79" s="787"/>
      <c r="D79" s="788"/>
      <c r="E79" s="773">
        <f>E76</f>
        <v>8298.8790666666682</v>
      </c>
      <c r="F79" s="754">
        <f>C74</f>
        <v>70</v>
      </c>
      <c r="G79" s="5"/>
    </row>
    <row r="80" spans="1:41" ht="14" x14ac:dyDescent="0.3">
      <c r="A80" s="786" t="s">
        <v>255</v>
      </c>
      <c r="B80" s="704"/>
      <c r="C80" s="704"/>
      <c r="D80" s="704"/>
      <c r="E80" s="773">
        <f>F107</f>
        <v>35075.416800000006</v>
      </c>
      <c r="F80" s="754">
        <f>D106</f>
        <v>158</v>
      </c>
      <c r="G80" s="209"/>
    </row>
    <row r="81" spans="1:41" ht="14" x14ac:dyDescent="0.3">
      <c r="A81" s="772" t="s">
        <v>205</v>
      </c>
      <c r="B81" s="704"/>
      <c r="C81" s="787"/>
      <c r="D81" s="788"/>
      <c r="E81" s="789">
        <f>F152</f>
        <v>15425.64</v>
      </c>
      <c r="F81" s="754">
        <f>D151</f>
        <v>114.4</v>
      </c>
      <c r="G81" s="209"/>
    </row>
    <row r="82" spans="1:41" ht="14.5" thickBot="1" x14ac:dyDescent="0.35">
      <c r="A82" s="704" t="s">
        <v>43</v>
      </c>
      <c r="B82" s="704"/>
      <c r="C82" s="704"/>
      <c r="D82" s="704"/>
      <c r="E82" s="790">
        <f>SUM(E79:E81)</f>
        <v>58799.935866666674</v>
      </c>
      <c r="F82" s="42"/>
    </row>
    <row r="83" spans="1:41" s="148" customFormat="1" ht="18" customHeight="1" thickBot="1" x14ac:dyDescent="0.45">
      <c r="A83" s="487" t="s">
        <v>256</v>
      </c>
      <c r="B83" s="484"/>
      <c r="C83" s="485"/>
      <c r="D83" s="486"/>
      <c r="E83" s="489">
        <f>E78+E80+E81</f>
        <v>83750.049866666683</v>
      </c>
      <c r="F83" s="490">
        <f>C51+F79+F80+F81</f>
        <v>452.51</v>
      </c>
      <c r="G83" s="481"/>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row>
    <row r="84" spans="1:41" ht="15" customHeight="1" x14ac:dyDescent="0.25"/>
    <row r="85" spans="1:41" ht="20" x14ac:dyDescent="0.4">
      <c r="A85" s="473" t="s">
        <v>490</v>
      </c>
      <c r="B85" s="390"/>
      <c r="C85" s="390"/>
      <c r="D85" s="390"/>
      <c r="E85" s="390"/>
      <c r="F85" s="390"/>
      <c r="G85" s="390"/>
    </row>
    <row r="86" spans="1:41" ht="13" x14ac:dyDescent="0.3">
      <c r="D86" s="127" t="s">
        <v>18</v>
      </c>
      <c r="E86" s="24" t="s">
        <v>19</v>
      </c>
      <c r="F86" s="127" t="s">
        <v>20</v>
      </c>
      <c r="G86" s="128"/>
    </row>
    <row r="87" spans="1:41" ht="13" x14ac:dyDescent="0.3">
      <c r="A87" s="257" t="s">
        <v>217</v>
      </c>
      <c r="B87" t="s">
        <v>475</v>
      </c>
      <c r="C87" t="s">
        <v>476</v>
      </c>
      <c r="D87" s="66">
        <v>4</v>
      </c>
      <c r="E87" s="95">
        <f>58.95*(1+$D$4)</f>
        <v>69.560999999999993</v>
      </c>
      <c r="F87" s="177">
        <f>D87*E87</f>
        <v>278.24399999999997</v>
      </c>
      <c r="G87" s="65">
        <f t="shared" ref="G87:G92" si="2">F87/$F$107</f>
        <v>7.9327353852000383E-3</v>
      </c>
      <c r="H87" s="520"/>
      <c r="J87" s="19" t="s">
        <v>517</v>
      </c>
    </row>
    <row r="88" spans="1:41" ht="13" x14ac:dyDescent="0.3">
      <c r="A88" s="257"/>
      <c r="C88" t="s">
        <v>477</v>
      </c>
      <c r="D88" s="66">
        <v>380</v>
      </c>
      <c r="E88" s="95">
        <f>23.25*(1+$D$4)</f>
        <v>27.434999999999999</v>
      </c>
      <c r="F88" s="177">
        <f>D88*E88</f>
        <v>10425.299999999999</v>
      </c>
      <c r="G88" s="65">
        <f t="shared" si="2"/>
        <v>0.2972252634785511</v>
      </c>
      <c r="H88" s="520"/>
    </row>
    <row r="89" spans="1:41" ht="13" x14ac:dyDescent="0.3">
      <c r="A89" s="257"/>
      <c r="C89" t="s">
        <v>478</v>
      </c>
      <c r="D89" s="66">
        <v>34</v>
      </c>
      <c r="E89" s="95">
        <f>33.5*(1+$D$4)</f>
        <v>39.53</v>
      </c>
      <c r="F89" s="177">
        <f>D89*E89</f>
        <v>1344.02</v>
      </c>
      <c r="G89" s="65">
        <f t="shared" si="2"/>
        <v>3.8318005104931489E-2</v>
      </c>
      <c r="H89" s="520"/>
    </row>
    <row r="90" spans="1:41" ht="13" x14ac:dyDescent="0.3">
      <c r="A90" s="257"/>
      <c r="C90" t="s">
        <v>479</v>
      </c>
      <c r="D90" s="66">
        <v>82</v>
      </c>
      <c r="E90" s="95">
        <f>20.18*(1+$D$4)</f>
        <v>23.812399999999997</v>
      </c>
      <c r="F90" s="177">
        <f>D90*E90</f>
        <v>1952.6167999999998</v>
      </c>
      <c r="G90" s="65">
        <f t="shared" si="2"/>
        <v>5.5669097565791421E-2</v>
      </c>
      <c r="H90" s="520"/>
    </row>
    <row r="91" spans="1:41" ht="13.5" thickBot="1" x14ac:dyDescent="0.35">
      <c r="A91" s="257"/>
      <c r="C91" t="s">
        <v>480</v>
      </c>
      <c r="D91" s="892">
        <v>530</v>
      </c>
      <c r="E91" s="95">
        <f>1.28*(1+$D$4)</f>
        <v>1.5104</v>
      </c>
      <c r="F91" s="895">
        <f>D91*E91</f>
        <v>800.51199999999994</v>
      </c>
      <c r="G91" s="65">
        <f t="shared" si="2"/>
        <v>2.2822594085325304E-2</v>
      </c>
      <c r="H91" s="520"/>
    </row>
    <row r="92" spans="1:41" ht="13" x14ac:dyDescent="0.3">
      <c r="A92" s="257"/>
      <c r="B92" s="64" t="s">
        <v>481</v>
      </c>
      <c r="D92" s="12"/>
      <c r="E92" s="32"/>
      <c r="F92" s="891">
        <f>SUM(F87:F91)</f>
        <v>14800.692800000001</v>
      </c>
      <c r="G92" s="331">
        <f t="shared" si="2"/>
        <v>0.42196769561979941</v>
      </c>
      <c r="H92" s="520"/>
    </row>
    <row r="93" spans="1:41" ht="13" x14ac:dyDescent="0.3">
      <c r="A93" s="257"/>
      <c r="D93" s="12"/>
      <c r="E93" s="32"/>
      <c r="F93" s="177"/>
      <c r="G93" s="65"/>
      <c r="H93" s="520"/>
    </row>
    <row r="94" spans="1:41" ht="13" x14ac:dyDescent="0.3">
      <c r="A94" s="257"/>
      <c r="B94" t="s">
        <v>246</v>
      </c>
      <c r="C94" t="s">
        <v>482</v>
      </c>
      <c r="D94" s="892">
        <v>1630</v>
      </c>
      <c r="E94" s="95">
        <f>0.7*(1+$D$4)</f>
        <v>0.82599999999999996</v>
      </c>
      <c r="F94" s="177">
        <f>D94*E94</f>
        <v>1346.3799999999999</v>
      </c>
      <c r="G94" s="65">
        <f t="shared" ref="G94:G101" si="3">F94/$F$107</f>
        <v>3.8385288695984919E-2</v>
      </c>
      <c r="H94" s="520"/>
    </row>
    <row r="95" spans="1:41" ht="13" x14ac:dyDescent="0.3">
      <c r="A95" s="257"/>
      <c r="C95" t="s">
        <v>483</v>
      </c>
      <c r="D95" s="892">
        <v>6030</v>
      </c>
      <c r="E95" s="95">
        <f>0.41*(1+$D$4)</f>
        <v>0.48379999999999995</v>
      </c>
      <c r="F95" s="177">
        <f>D95*E95</f>
        <v>2917.3139999999999</v>
      </c>
      <c r="G95" s="65">
        <f t="shared" si="3"/>
        <v>8.3172611080704228E-2</v>
      </c>
      <c r="H95" s="520"/>
    </row>
    <row r="96" spans="1:41" ht="13" x14ac:dyDescent="0.3">
      <c r="A96" s="257"/>
      <c r="C96" t="s">
        <v>484</v>
      </c>
      <c r="D96" s="66">
        <v>340</v>
      </c>
      <c r="E96" s="95">
        <f>19.5*(1+$D$4)</f>
        <v>23.009999999999998</v>
      </c>
      <c r="F96" s="177">
        <f>D96*E96</f>
        <v>7823.4</v>
      </c>
      <c r="G96" s="65">
        <f t="shared" si="3"/>
        <v>0.22304510434213851</v>
      </c>
      <c r="H96" s="520"/>
    </row>
    <row r="97" spans="1:41" ht="13" x14ac:dyDescent="0.3">
      <c r="A97" s="257"/>
      <c r="C97" t="s">
        <v>485</v>
      </c>
      <c r="D97" s="66">
        <v>800</v>
      </c>
      <c r="E97" s="95">
        <f>0.44*(1+$D$4)</f>
        <v>0.51919999999999999</v>
      </c>
      <c r="F97" s="177">
        <f>D97*E97</f>
        <v>415.36</v>
      </c>
      <c r="G97" s="65">
        <f t="shared" si="3"/>
        <v>1.184191202540464E-2</v>
      </c>
      <c r="H97" s="520"/>
    </row>
    <row r="98" spans="1:41" ht="13" x14ac:dyDescent="0.3">
      <c r="A98" s="257"/>
      <c r="C98" t="s">
        <v>486</v>
      </c>
      <c r="D98" s="66">
        <v>52</v>
      </c>
      <c r="E98" s="95">
        <f>4.5*(1+$D$4)</f>
        <v>5.31</v>
      </c>
      <c r="F98" s="177">
        <f>D98*E98</f>
        <v>276.12</v>
      </c>
      <c r="G98" s="65">
        <f t="shared" si="3"/>
        <v>7.8721801532519488E-3</v>
      </c>
      <c r="H98" s="520"/>
    </row>
    <row r="99" spans="1:41" ht="13" x14ac:dyDescent="0.3">
      <c r="A99" s="257"/>
      <c r="C99" t="s">
        <v>487</v>
      </c>
      <c r="D99" s="12"/>
      <c r="E99" s="32"/>
      <c r="F99" s="248">
        <f>1233*(1+$D$4)</f>
        <v>1454.9399999999998</v>
      </c>
      <c r="G99" s="65">
        <f t="shared" si="3"/>
        <v>4.1480333884442951E-2</v>
      </c>
      <c r="H99" s="520"/>
    </row>
    <row r="100" spans="1:41" ht="12.75" customHeight="1" thickBot="1" x14ac:dyDescent="0.35">
      <c r="C100" t="s">
        <v>488</v>
      </c>
      <c r="E100" s="32"/>
      <c r="F100" s="894">
        <f>800</f>
        <v>800</v>
      </c>
      <c r="G100" s="65">
        <f t="shared" si="3"/>
        <v>2.2807996967266254E-2</v>
      </c>
      <c r="H100" s="520"/>
    </row>
    <row r="101" spans="1:41" ht="13" x14ac:dyDescent="0.3">
      <c r="B101" s="64" t="s">
        <v>489</v>
      </c>
      <c r="E101" s="32"/>
      <c r="F101" s="206">
        <f>SUM(F94:F100)</f>
        <v>15033.514000000001</v>
      </c>
      <c r="G101" s="331">
        <f t="shared" si="3"/>
        <v>0.42860542714919353</v>
      </c>
      <c r="H101" s="520"/>
    </row>
    <row r="102" spans="1:41" ht="13" x14ac:dyDescent="0.3">
      <c r="E102" s="32"/>
      <c r="G102" s="331"/>
      <c r="H102" s="520"/>
    </row>
    <row r="103" spans="1:41" ht="13" x14ac:dyDescent="0.3">
      <c r="A103" t="s">
        <v>499</v>
      </c>
      <c r="B103" s="1" t="str">
        <f>'Standard Vorgaben'!$B$142</f>
        <v>Obstbautraktor 4-Rad (45-54 kW, 61-73 PS)</v>
      </c>
      <c r="D103" s="279">
        <v>28.5</v>
      </c>
      <c r="E103" s="63">
        <f>D38</f>
        <v>41</v>
      </c>
      <c r="F103" s="512">
        <f>D103*E103</f>
        <v>1168.5</v>
      </c>
      <c r="G103" s="331">
        <f>F103/$F$107</f>
        <v>3.3313930570313274E-2</v>
      </c>
      <c r="H103" s="520"/>
    </row>
    <row r="104" spans="1:41" ht="13" x14ac:dyDescent="0.3">
      <c r="B104" s="1" t="str">
        <f>'Standard Vorgaben'!$B$137</f>
        <v>Hebebühne</v>
      </c>
      <c r="D104" s="755">
        <f>D103</f>
        <v>28.5</v>
      </c>
      <c r="E104" s="63">
        <f>'Standard Vorgaben'!$I$137</f>
        <v>17.5</v>
      </c>
      <c r="F104" s="512">
        <f>D104*E104</f>
        <v>498.75</v>
      </c>
      <c r="G104" s="331">
        <f>F104/$F$107</f>
        <v>1.4219360609280056E-2</v>
      </c>
      <c r="H104" s="520"/>
    </row>
    <row r="105" spans="1:41" ht="13" x14ac:dyDescent="0.3">
      <c r="B105" s="1"/>
      <c r="D105" s="755"/>
      <c r="E105" s="63"/>
      <c r="F105" s="512"/>
      <c r="G105" s="331"/>
      <c r="H105" s="520"/>
    </row>
    <row r="106" spans="1:41" ht="13" x14ac:dyDescent="0.3">
      <c r="A106" t="s">
        <v>218</v>
      </c>
      <c r="B106" t="s">
        <v>500</v>
      </c>
      <c r="D106" s="570">
        <v>158</v>
      </c>
      <c r="E106" s="63">
        <f>'Standard Vorgaben'!$C$30</f>
        <v>22.62</v>
      </c>
      <c r="F106" s="512">
        <f>D106*E106</f>
        <v>3573.96</v>
      </c>
      <c r="G106" s="331">
        <f>F106/$F$107</f>
        <v>0.10189358605141363</v>
      </c>
      <c r="H106" s="520"/>
    </row>
    <row r="107" spans="1:41" ht="13.5" thickBot="1" x14ac:dyDescent="0.35">
      <c r="A107" s="491" t="s">
        <v>255</v>
      </c>
      <c r="B107" s="460"/>
      <c r="C107" s="460"/>
      <c r="D107" s="460"/>
      <c r="E107" s="460"/>
      <c r="F107" s="492">
        <f>SUM(F103:F106)+F101+F92</f>
        <v>35075.416800000006</v>
      </c>
      <c r="G107" s="800">
        <f>F107/$F$107</f>
        <v>1</v>
      </c>
    </row>
    <row r="108" spans="1:41" s="1" customFormat="1" ht="13.5" thickTop="1" x14ac:dyDescent="0.3">
      <c r="A108" s="176"/>
      <c r="C108" s="229"/>
      <c r="D108" s="127" t="s">
        <v>18</v>
      </c>
      <c r="E108" s="24" t="s">
        <v>19</v>
      </c>
      <c r="F108" s="127" t="s">
        <v>20</v>
      </c>
      <c r="G108" s="12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row>
    <row r="109" spans="1:41" s="1" customFormat="1" ht="13" x14ac:dyDescent="0.3">
      <c r="A109" s="107" t="s">
        <v>495</v>
      </c>
      <c r="B109" s="273" t="s">
        <v>247</v>
      </c>
      <c r="C109" s="1037">
        <v>2.5</v>
      </c>
      <c r="D109" s="756">
        <f>F15*F10*2*C109</f>
        <v>9775</v>
      </c>
      <c r="E109" s="1039">
        <f>3*(1+$D$4)</f>
        <v>3.54</v>
      </c>
      <c r="F109" s="258">
        <f>D109*E109</f>
        <v>34603.5</v>
      </c>
      <c r="G109" s="259">
        <f>F109/$F$122</f>
        <v>0.63232384453774604</v>
      </c>
      <c r="H109" s="520"/>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row>
    <row r="110" spans="1:41" ht="13" x14ac:dyDescent="0.3">
      <c r="A110" t="s">
        <v>497</v>
      </c>
      <c r="C110" s="272"/>
      <c r="D110" s="1038">
        <v>6000</v>
      </c>
      <c r="E110" s="1039">
        <f>1.15*(1+$D$4)</f>
        <v>1.3569999999999998</v>
      </c>
      <c r="F110" s="896">
        <f>D110*E110</f>
        <v>8141.9999999999982</v>
      </c>
      <c r="G110" s="259">
        <f>F110/$F$122</f>
        <v>0.14878208106770491</v>
      </c>
      <c r="H110" s="520"/>
    </row>
    <row r="111" spans="1:41" ht="13.5" thickBot="1" x14ac:dyDescent="0.35">
      <c r="A111" s="274" t="s">
        <v>496</v>
      </c>
      <c r="D111" s="1319"/>
      <c r="E111" s="1320"/>
      <c r="F111" s="897">
        <v>2000</v>
      </c>
      <c r="G111" s="738">
        <f>F111/$F$122</f>
        <v>3.6546814312872745E-2</v>
      </c>
      <c r="H111" s="520"/>
    </row>
    <row r="112" spans="1:41" ht="13" x14ac:dyDescent="0.3">
      <c r="A112" s="274"/>
      <c r="F112" s="255">
        <f>SUM(F109:F111)</f>
        <v>44745.5</v>
      </c>
      <c r="G112" s="738"/>
      <c r="H112"/>
    </row>
    <row r="113" spans="1:41" ht="13" x14ac:dyDescent="0.3">
      <c r="A113" t="s">
        <v>672</v>
      </c>
      <c r="C113" t="s">
        <v>674</v>
      </c>
      <c r="D113" s="898">
        <f>2*4*F10</f>
        <v>920</v>
      </c>
      <c r="E113" s="95">
        <f>1.05*(1+$D$4)</f>
        <v>1.2389999999999999</v>
      </c>
      <c r="F113" s="893">
        <f>D113*E113</f>
        <v>1139.8799999999999</v>
      </c>
      <c r="G113" s="65">
        <f>F113/$F$107</f>
        <v>3.2497974478809318E-2</v>
      </c>
      <c r="H113" s="520"/>
    </row>
    <row r="114" spans="1:41" ht="13" x14ac:dyDescent="0.3">
      <c r="B114" s="64"/>
      <c r="C114" t="s">
        <v>673</v>
      </c>
      <c r="D114" s="898">
        <f>2*4*E11</f>
        <v>640</v>
      </c>
      <c r="E114" s="95">
        <f>1.05*(1+$D$4)</f>
        <v>1.2389999999999999</v>
      </c>
      <c r="F114" s="893">
        <f>D114*E114</f>
        <v>792.95999999999992</v>
      </c>
      <c r="G114" s="65">
        <f>F114/$F$107</f>
        <v>2.260728659395431E-2</v>
      </c>
      <c r="H114" s="520"/>
    </row>
    <row r="115" spans="1:41" ht="13" x14ac:dyDescent="0.3">
      <c r="B115" s="64"/>
      <c r="C115" t="s">
        <v>675</v>
      </c>
      <c r="D115" s="898">
        <f>(F15-1)*0.7*F10</f>
        <v>1288</v>
      </c>
      <c r="E115" s="95">
        <f>1.05*(1+$D$4)</f>
        <v>1.2389999999999999</v>
      </c>
      <c r="F115" s="893">
        <f>D115*E115</f>
        <v>1595.8319999999999</v>
      </c>
      <c r="G115" s="65">
        <f>F115/$F$107</f>
        <v>4.5497164270333047E-2</v>
      </c>
      <c r="H115" s="520"/>
    </row>
    <row r="116" spans="1:41" ht="13.5" thickBot="1" x14ac:dyDescent="0.35">
      <c r="C116" t="s">
        <v>494</v>
      </c>
      <c r="D116" s="66">
        <v>400</v>
      </c>
      <c r="E116" s="95">
        <f>0.28*(1+$D$4)</f>
        <v>0.33040000000000003</v>
      </c>
      <c r="F116" s="895">
        <f>D116*E116</f>
        <v>132.16000000000003</v>
      </c>
      <c r="G116" s="65">
        <f>F116/$F$107</f>
        <v>3.7678810989923862E-3</v>
      </c>
      <c r="H116" s="520"/>
    </row>
    <row r="117" spans="1:41" ht="13" x14ac:dyDescent="0.3">
      <c r="A117" s="64" t="s">
        <v>493</v>
      </c>
      <c r="B117" s="64"/>
      <c r="D117" s="47"/>
      <c r="E117" s="63"/>
      <c r="F117" s="255">
        <f>SUM(F113:F116)</f>
        <v>3660.8319999999994</v>
      </c>
      <c r="G117" s="331">
        <f>F117/$F$107</f>
        <v>0.10437030644208906</v>
      </c>
      <c r="H117" s="520"/>
    </row>
    <row r="118" spans="1:41" ht="13" x14ac:dyDescent="0.3">
      <c r="B118" s="64"/>
      <c r="D118" s="47"/>
      <c r="E118" s="63"/>
      <c r="F118" s="255"/>
      <c r="G118" s="331"/>
      <c r="H118" s="520"/>
    </row>
    <row r="119" spans="1:41" ht="13" x14ac:dyDescent="0.3">
      <c r="A119" s="64" t="s">
        <v>250</v>
      </c>
      <c r="B119" s="1" t="str">
        <f>'Standard Vorgaben'!$B$142</f>
        <v>Obstbautraktor 4-Rad (45-54 kW, 61-73 PS)</v>
      </c>
      <c r="D119" s="279">
        <v>50</v>
      </c>
      <c r="E119" s="63">
        <f>E103</f>
        <v>41</v>
      </c>
      <c r="F119" s="512">
        <f>D119*E119</f>
        <v>2050</v>
      </c>
      <c r="G119" s="738">
        <f>F119/$F$122</f>
        <v>3.7460484670694565E-2</v>
      </c>
      <c r="H119" s="520"/>
    </row>
    <row r="120" spans="1:41" ht="13" x14ac:dyDescent="0.3">
      <c r="B120" s="1" t="str">
        <f>'Standard Vorgaben'!$B$137</f>
        <v>Hebebühne</v>
      </c>
      <c r="D120" s="755">
        <f>D119</f>
        <v>50</v>
      </c>
      <c r="E120" s="63">
        <f>E104</f>
        <v>17.5</v>
      </c>
      <c r="F120" s="512">
        <f>D120*E120</f>
        <v>875</v>
      </c>
      <c r="G120" s="65">
        <f>F120/$F$122</f>
        <v>1.5989231261881825E-2</v>
      </c>
      <c r="H120" s="520"/>
    </row>
    <row r="121" spans="1:41" ht="13" x14ac:dyDescent="0.3">
      <c r="B121" t="s">
        <v>218</v>
      </c>
      <c r="D121" s="279">
        <v>150</v>
      </c>
      <c r="E121" s="63">
        <f>'Standard Vorgaben'!$C$30</f>
        <v>22.62</v>
      </c>
      <c r="F121" s="512">
        <f>D121*E121</f>
        <v>3393</v>
      </c>
      <c r="G121" s="738">
        <f>F121/$F$122</f>
        <v>6.2001670481788611E-2</v>
      </c>
      <c r="H121" s="520"/>
    </row>
    <row r="122" spans="1:41" ht="13.5" thickBot="1" x14ac:dyDescent="0.35">
      <c r="A122" s="491" t="s">
        <v>504</v>
      </c>
      <c r="B122" s="460"/>
      <c r="C122" s="460"/>
      <c r="D122" s="460"/>
      <c r="E122" s="464"/>
      <c r="F122" s="492">
        <f>F112+F117+F119+F120+F121</f>
        <v>54724.332000000002</v>
      </c>
      <c r="G122" s="513">
        <f>F122/$F$122</f>
        <v>1</v>
      </c>
      <c r="H122"/>
    </row>
    <row r="123" spans="1:41" s="100" customFormat="1" ht="21.25" customHeight="1" thickTop="1" x14ac:dyDescent="0.3">
      <c r="A123" s="107" t="s">
        <v>252</v>
      </c>
      <c r="F123" s="206"/>
      <c r="G123" s="276"/>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row>
    <row r="124" spans="1:41" s="1" customFormat="1" ht="23.25" customHeight="1" x14ac:dyDescent="0.3">
      <c r="A124" s="107" t="s">
        <v>218</v>
      </c>
      <c r="B124" s="87" t="s">
        <v>253</v>
      </c>
      <c r="C124" s="100"/>
      <c r="D124" s="261">
        <v>20</v>
      </c>
      <c r="E124" s="63">
        <f>'Standard Vorgaben'!$C$30</f>
        <v>22.62</v>
      </c>
      <c r="F124" s="264">
        <f>D124*E124</f>
        <v>452.40000000000003</v>
      </c>
      <c r="G124" s="246">
        <f>F124/$F$131</f>
        <v>0.16402397756937059</v>
      </c>
      <c r="H124" s="520"/>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row>
    <row r="125" spans="1:41" s="1" customFormat="1" ht="13" x14ac:dyDescent="0.3">
      <c r="A125" s="176"/>
      <c r="B125" s="87" t="s">
        <v>228</v>
      </c>
      <c r="C125" s="100"/>
      <c r="D125" s="899">
        <v>20</v>
      </c>
      <c r="E125" s="63">
        <f>'Standard Vorgaben'!$C$30</f>
        <v>22.62</v>
      </c>
      <c r="F125" s="264">
        <f>D125*E125</f>
        <v>452.40000000000003</v>
      </c>
      <c r="G125" s="246">
        <f t="shared" ref="G125:G131" si="4">F125/$F$131</f>
        <v>0.16402397756937059</v>
      </c>
      <c r="H125" s="520"/>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row>
    <row r="126" spans="1:41" s="1" customFormat="1" ht="13.5" thickBot="1" x14ac:dyDescent="0.35">
      <c r="A126" s="176"/>
      <c r="B126" s="87" t="s">
        <v>501</v>
      </c>
      <c r="C126" s="100"/>
      <c r="D126" s="906"/>
      <c r="E126" s="63"/>
      <c r="F126" s="736">
        <v>450</v>
      </c>
      <c r="G126" s="246"/>
      <c r="H126" s="520"/>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row>
    <row r="127" spans="1:41" s="1" customFormat="1" ht="13" x14ac:dyDescent="0.3">
      <c r="A127" s="176"/>
      <c r="B127" s="100"/>
      <c r="C127" s="100"/>
      <c r="D127" s="260">
        <f>SUM(D124:D125)</f>
        <v>40</v>
      </c>
      <c r="E127" s="263"/>
      <c r="F127" s="206">
        <f>SUM(F124:F126)</f>
        <v>1354.8000000000002</v>
      </c>
      <c r="G127" s="335">
        <f t="shared" si="4"/>
        <v>0.4912017789809533</v>
      </c>
      <c r="H127"/>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row>
    <row r="128" spans="1:41" s="1" customFormat="1" ht="13" x14ac:dyDescent="0.3">
      <c r="A128" s="64" t="s">
        <v>133</v>
      </c>
      <c r="B128" s="100" t="str">
        <f>'Standard Vorgaben'!B137</f>
        <v>Hebebühne</v>
      </c>
      <c r="C128" s="100"/>
      <c r="D128" s="260">
        <f>'Standard Vorgaben'!C137/3</f>
        <v>33.333333333333336</v>
      </c>
      <c r="E128" s="275">
        <f>E120</f>
        <v>17.5</v>
      </c>
      <c r="F128" s="264">
        <f>D128*E128</f>
        <v>583.33333333333337</v>
      </c>
      <c r="G128" s="246">
        <f t="shared" si="4"/>
        <v>0.21149569757323794</v>
      </c>
      <c r="H128" s="520"/>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row>
    <row r="129" spans="1:41" s="1" customFormat="1" ht="13" x14ac:dyDescent="0.3">
      <c r="A129" s="176"/>
      <c r="B129" s="100" t="s">
        <v>249</v>
      </c>
      <c r="C129" s="100"/>
      <c r="D129" s="261">
        <v>20</v>
      </c>
      <c r="E129" s="275">
        <f>'Standard Vorgaben'!D127</f>
        <v>41</v>
      </c>
      <c r="F129" s="265">
        <f>D129*E129</f>
        <v>820</v>
      </c>
      <c r="G129" s="246">
        <f t="shared" si="4"/>
        <v>0.29730252344580871</v>
      </c>
      <c r="H129" s="520"/>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row>
    <row r="130" spans="1:41" s="1" customFormat="1" ht="13" x14ac:dyDescent="0.3">
      <c r="A130" s="176"/>
      <c r="B130" s="100"/>
      <c r="C130" s="100"/>
      <c r="D130" s="260"/>
      <c r="E130" s="275"/>
      <c r="F130" s="206">
        <f>SUM(F128:F129)</f>
        <v>1403.3333333333335</v>
      </c>
      <c r="G130" s="335">
        <f t="shared" si="4"/>
        <v>0.5087982210190467</v>
      </c>
      <c r="H130" s="520"/>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row>
    <row r="131" spans="1:41" ht="13.5" thickBot="1" x14ac:dyDescent="0.35">
      <c r="A131" s="491" t="s">
        <v>251</v>
      </c>
      <c r="B131" s="460"/>
      <c r="C131" s="460"/>
      <c r="D131" s="460"/>
      <c r="E131" s="460"/>
      <c r="F131" s="492">
        <f>F127+F130</f>
        <v>2758.1333333333337</v>
      </c>
      <c r="G131" s="488">
        <f t="shared" si="4"/>
        <v>1</v>
      </c>
      <c r="H131" s="520"/>
    </row>
    <row r="132" spans="1:41" ht="15" customHeight="1" thickTop="1" x14ac:dyDescent="0.3">
      <c r="A132" s="107" t="s">
        <v>516</v>
      </c>
      <c r="B132" s="872"/>
      <c r="C132" s="873"/>
      <c r="D132" s="268" t="s">
        <v>232</v>
      </c>
      <c r="E132" s="50" t="s">
        <v>233</v>
      </c>
      <c r="F132" s="50" t="s">
        <v>235</v>
      </c>
      <c r="G132" s="900"/>
      <c r="H132" s="520"/>
    </row>
    <row r="133" spans="1:41" ht="13" x14ac:dyDescent="0.3">
      <c r="A133" t="s">
        <v>459</v>
      </c>
      <c r="B133" s="87" t="s">
        <v>498</v>
      </c>
      <c r="D133" s="261">
        <v>20</v>
      </c>
      <c r="E133" s="63">
        <f>'Standard Vorgaben'!$C$30</f>
        <v>22.62</v>
      </c>
      <c r="F133" s="512">
        <f>D133*E133</f>
        <v>452.40000000000003</v>
      </c>
      <c r="G133" s="96"/>
      <c r="H133" s="520"/>
    </row>
    <row r="134" spans="1:41" ht="13.5" thickBot="1" x14ac:dyDescent="0.35">
      <c r="A134" s="491" t="s">
        <v>502</v>
      </c>
      <c r="B134" s="460"/>
      <c r="C134" s="460"/>
      <c r="D134" s="460"/>
      <c r="E134" s="460"/>
      <c r="F134" s="492">
        <f>F133</f>
        <v>452.40000000000003</v>
      </c>
      <c r="G134" s="488"/>
      <c r="H134" s="520"/>
    </row>
    <row r="135" spans="1:41" s="1" customFormat="1" ht="21.75" customHeight="1" thickTop="1" x14ac:dyDescent="0.35">
      <c r="A135" s="475" t="s">
        <v>503</v>
      </c>
      <c r="B135" s="392"/>
      <c r="C135" s="392"/>
      <c r="D135" s="901"/>
      <c r="E135" s="902"/>
      <c r="F135" s="904">
        <f>F134+F131</f>
        <v>3210.5333333333338</v>
      </c>
      <c r="G135" s="903"/>
      <c r="H135" s="520"/>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row>
    <row r="136" spans="1:41" s="1" customFormat="1" ht="21.75" customHeight="1" x14ac:dyDescent="0.35">
      <c r="A136" s="497"/>
      <c r="D136" s="260"/>
      <c r="E136" s="797"/>
      <c r="F136" s="905"/>
      <c r="G136" s="335"/>
      <c r="H136" s="520"/>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row>
    <row r="137" spans="1:41" ht="20" x14ac:dyDescent="0.4">
      <c r="A137" s="473" t="s">
        <v>505</v>
      </c>
      <c r="B137" s="390"/>
      <c r="C137" s="390"/>
      <c r="D137" s="1367"/>
      <c r="E137" s="1367"/>
      <c r="F137" s="1367"/>
      <c r="G137" s="1367"/>
      <c r="H137" s="520"/>
    </row>
    <row r="138" spans="1:41" ht="13" x14ac:dyDescent="0.3">
      <c r="D138" s="127" t="s">
        <v>18</v>
      </c>
      <c r="E138" s="24" t="s">
        <v>19</v>
      </c>
      <c r="F138" s="127" t="s">
        <v>20</v>
      </c>
      <c r="G138" s="128"/>
      <c r="H138" s="520"/>
    </row>
    <row r="139" spans="1:41" ht="15" customHeight="1" x14ac:dyDescent="0.3">
      <c r="A139" s="256" t="s">
        <v>217</v>
      </c>
      <c r="B139" s="1368" t="s">
        <v>506</v>
      </c>
      <c r="C139" s="1369"/>
      <c r="D139" s="757"/>
      <c r="E139" s="63"/>
      <c r="F139" s="248">
        <f>4682*(1+$D$4)</f>
        <v>5524.7599999999993</v>
      </c>
      <c r="G139" s="65">
        <f t="shared" ref="G139:G144" si="5">F139/$F$152</f>
        <v>0.35815434562196446</v>
      </c>
      <c r="H139" s="520"/>
    </row>
    <row r="140" spans="1:41" ht="13" x14ac:dyDescent="0.3">
      <c r="B140" t="s">
        <v>507</v>
      </c>
      <c r="D140" s="142"/>
      <c r="E140" s="63"/>
      <c r="F140" s="796">
        <f>1500*(1+$D$4)</f>
        <v>1770</v>
      </c>
      <c r="G140" s="65">
        <f t="shared" si="5"/>
        <v>0.1147440235867037</v>
      </c>
      <c r="H140" s="520"/>
    </row>
    <row r="141" spans="1:41" ht="13.5" thickBot="1" x14ac:dyDescent="0.35">
      <c r="B141" s="87" t="s">
        <v>508</v>
      </c>
      <c r="F141" s="736">
        <f>1550*(1+$D$4)</f>
        <v>1829</v>
      </c>
      <c r="G141" s="65">
        <f t="shared" si="5"/>
        <v>0.11856882437292715</v>
      </c>
      <c r="H141" s="520"/>
    </row>
    <row r="142" spans="1:41" ht="13" x14ac:dyDescent="0.3">
      <c r="F142" s="206">
        <f>SUM(F139:F141)</f>
        <v>9123.7599999999984</v>
      </c>
      <c r="G142" s="331">
        <f t="shared" si="5"/>
        <v>0.59146719358159527</v>
      </c>
      <c r="H142" s="520"/>
    </row>
    <row r="143" spans="1:41" ht="22.5" customHeight="1" x14ac:dyDescent="0.3">
      <c r="A143" t="s">
        <v>133</v>
      </c>
      <c r="F143" s="517">
        <v>2561</v>
      </c>
      <c r="G143" s="331">
        <f t="shared" si="5"/>
        <v>0.16602228497488597</v>
      </c>
      <c r="H143" s="520"/>
    </row>
    <row r="144" spans="1:41" ht="13" x14ac:dyDescent="0.3">
      <c r="A144" t="s">
        <v>218</v>
      </c>
      <c r="B144" t="s">
        <v>509</v>
      </c>
      <c r="D144" s="279">
        <v>10</v>
      </c>
      <c r="F144" s="255"/>
      <c r="G144" s="331">
        <f t="shared" si="5"/>
        <v>0</v>
      </c>
      <c r="H144" s="520"/>
    </row>
    <row r="145" spans="1:41" ht="13" x14ac:dyDescent="0.3">
      <c r="B145" t="s">
        <v>510</v>
      </c>
      <c r="D145" s="279">
        <v>60</v>
      </c>
      <c r="E145" s="63"/>
      <c r="F145" s="255"/>
      <c r="G145" s="331"/>
      <c r="H145" s="520"/>
    </row>
    <row r="146" spans="1:41" ht="13" x14ac:dyDescent="0.3">
      <c r="B146" t="s">
        <v>511</v>
      </c>
      <c r="D146" s="279">
        <v>10</v>
      </c>
      <c r="E146" s="63"/>
      <c r="F146" s="255"/>
      <c r="G146" s="331"/>
      <c r="H146" s="520"/>
    </row>
    <row r="147" spans="1:41" ht="13" x14ac:dyDescent="0.3">
      <c r="B147" t="s">
        <v>514</v>
      </c>
      <c r="D147" s="279">
        <v>18</v>
      </c>
      <c r="E147" s="63"/>
      <c r="F147" s="255"/>
      <c r="G147" s="331"/>
      <c r="H147" s="520"/>
    </row>
    <row r="148" spans="1:41" ht="13" x14ac:dyDescent="0.3">
      <c r="B148" t="s">
        <v>512</v>
      </c>
      <c r="D148" s="279">
        <v>3</v>
      </c>
      <c r="E148" s="63"/>
      <c r="F148" s="255"/>
      <c r="G148" s="331"/>
      <c r="H148" s="520"/>
    </row>
    <row r="149" spans="1:41" ht="13" x14ac:dyDescent="0.3">
      <c r="B149" t="s">
        <v>513</v>
      </c>
      <c r="D149" s="914">
        <v>3</v>
      </c>
      <c r="E149" s="63"/>
      <c r="F149" s="255"/>
      <c r="G149" s="331"/>
      <c r="H149" s="520"/>
    </row>
    <row r="150" spans="1:41" ht="13.5" thickBot="1" x14ac:dyDescent="0.35">
      <c r="B150" t="s">
        <v>515</v>
      </c>
      <c r="D150" s="915">
        <f>0.1*SUM(D144:D149)</f>
        <v>10.4</v>
      </c>
      <c r="E150" s="63"/>
      <c r="F150" s="255"/>
      <c r="G150" s="331"/>
      <c r="H150" s="520"/>
    </row>
    <row r="151" spans="1:41" ht="13" x14ac:dyDescent="0.3">
      <c r="D151" s="755">
        <f>SUM(D144:D150)</f>
        <v>114.4</v>
      </c>
      <c r="E151" s="63">
        <f>'Standard Vorgaben'!$C$31</f>
        <v>32.700000000000003</v>
      </c>
      <c r="F151" s="255">
        <f>D151*E151</f>
        <v>3740.8800000000006</v>
      </c>
      <c r="G151" s="331"/>
      <c r="H151" s="520"/>
    </row>
    <row r="152" spans="1:41" ht="13.5" thickBot="1" x14ac:dyDescent="0.35">
      <c r="A152" s="491" t="s">
        <v>219</v>
      </c>
      <c r="B152" s="460"/>
      <c r="C152" s="460"/>
      <c r="D152" s="460"/>
      <c r="E152" s="460"/>
      <c r="F152" s="492">
        <f>F142+F143+F151</f>
        <v>15425.64</v>
      </c>
      <c r="G152" s="493">
        <f>F152/$F$152</f>
        <v>1</v>
      </c>
      <c r="H152" s="520"/>
    </row>
    <row r="153" spans="1:41" ht="18" customHeight="1" thickTop="1" x14ac:dyDescent="0.3">
      <c r="A153" s="107" t="s">
        <v>224</v>
      </c>
      <c r="B153" s="87" t="s">
        <v>226</v>
      </c>
      <c r="C153" s="100"/>
      <c r="D153" s="261">
        <v>10</v>
      </c>
      <c r="E153" s="63">
        <f>'Standard Vorgaben'!$C$31</f>
        <v>32.700000000000003</v>
      </c>
      <c r="F153" s="264">
        <f>D153*E153</f>
        <v>327</v>
      </c>
      <c r="H153" s="520"/>
    </row>
    <row r="154" spans="1:41" ht="13" x14ac:dyDescent="0.3">
      <c r="A154" s="176"/>
      <c r="B154" s="87" t="s">
        <v>227</v>
      </c>
      <c r="C154" s="100"/>
      <c r="D154" s="262">
        <v>4</v>
      </c>
      <c r="E154" s="63">
        <f>'Standard Vorgaben'!$C$31</f>
        <v>32.700000000000003</v>
      </c>
      <c r="F154" s="265">
        <f>D154*E154</f>
        <v>130.80000000000001</v>
      </c>
      <c r="H154" s="520"/>
    </row>
    <row r="155" spans="1:41" ht="13" x14ac:dyDescent="0.3">
      <c r="A155" s="176"/>
      <c r="B155" s="100"/>
      <c r="C155" s="100"/>
      <c r="D155" s="260">
        <f>SUM(D153:D154)</f>
        <v>14</v>
      </c>
      <c r="E155" s="263"/>
      <c r="F155" s="206">
        <f>SUM(F153:F154)</f>
        <v>457.8</v>
      </c>
      <c r="H155" s="520"/>
    </row>
    <row r="156" spans="1:41" ht="13" x14ac:dyDescent="0.3">
      <c r="H156" s="520"/>
    </row>
    <row r="157" spans="1:41" ht="22.75" customHeight="1" x14ac:dyDescent="0.25"/>
    <row r="158" spans="1:41" s="64" customFormat="1" ht="13" x14ac:dyDescent="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row>
    <row r="179" spans="8:41" s="1" customFormat="1" x14ac:dyDescent="0.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row>
    <row r="180" spans="8:41" ht="28.5" customHeight="1" x14ac:dyDescent="0.25"/>
  </sheetData>
  <mergeCells count="4">
    <mergeCell ref="B139:C139"/>
    <mergeCell ref="B3:G3"/>
    <mergeCell ref="F55:G55"/>
    <mergeCell ref="D137:G137"/>
  </mergeCells>
  <phoneticPr fontId="25" type="noConversion"/>
  <dataValidations count="2">
    <dataValidation type="custom" showErrorMessage="1" errorTitle="Falsche Bruttofläche" error="Die Bruttofläche entspricht nicht 10000 m2" sqref="E11">
      <formula1>E10*E11=10000</formula1>
    </dataValidation>
    <dataValidation type="whole" operator="notEqual" showErrorMessage="1" errorTitle="Falsche Länge" error="Es muss eine Länge eingetragen sein" sqref="E10">
      <formula1>0</formula1>
    </dataValidation>
  </dataValidations>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&amp;L&amp;6&amp;F&amp;C&amp;6&amp;A  &amp;R&amp;6Kontakt: matthias.zuercher@faw.admin.ch</oddFooter>
  </headerFooter>
  <ignoredErrors>
    <ignoredError sqref="F152"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1_16Standjahre">
    <tabColor rgb="FF00359E"/>
  </sheetPr>
  <dimension ref="A1:DH162"/>
  <sheetViews>
    <sheetView topLeftCell="A52" zoomScale="75" workbookViewId="0">
      <selection activeCell="F73" sqref="F73"/>
    </sheetView>
  </sheetViews>
  <sheetFormatPr baseColWidth="10" defaultColWidth="11.36328125" defaultRowHeight="13" x14ac:dyDescent="0.3"/>
  <cols>
    <col min="1" max="1" width="37.54296875" style="18" customWidth="1"/>
    <col min="2" max="2" width="24.26953125" style="21" customWidth="1"/>
    <col min="3" max="3" width="15.26953125" style="12" customWidth="1"/>
    <col min="4" max="4" width="12.81640625" style="12" customWidth="1"/>
    <col min="5" max="5" width="13.26953125" style="32" customWidth="1"/>
    <col min="6" max="6" width="17.54296875" style="33" customWidth="1"/>
    <col min="7" max="7" width="11" style="12" bestFit="1" customWidth="1"/>
    <col min="8" max="8" width="37.54296875" style="12" customWidth="1"/>
    <col min="9" max="9" width="24.36328125" style="12" customWidth="1"/>
    <col min="10" max="10" width="15.26953125" customWidth="1"/>
    <col min="11" max="11" width="12.81640625" customWidth="1"/>
    <col min="12" max="12" width="13.26953125" customWidth="1"/>
    <col min="13" max="13" width="17.36328125" customWidth="1"/>
    <col min="14" max="14" width="9.26953125" customWidth="1"/>
    <col min="15" max="15" width="37.36328125" customWidth="1"/>
    <col min="16" max="16" width="24.36328125" customWidth="1"/>
    <col min="17" max="17" width="15.26953125" customWidth="1"/>
    <col min="18" max="18" width="13" style="34" customWidth="1"/>
    <col min="19" max="19" width="13.26953125" customWidth="1"/>
    <col min="20" max="20" width="17.36328125" customWidth="1"/>
    <col min="21" max="21" width="6" customWidth="1"/>
    <col min="22" max="22" width="37.54296875" customWidth="1"/>
    <col min="23" max="23" width="24.26953125" customWidth="1"/>
    <col min="24" max="24" width="15.26953125" customWidth="1"/>
    <col min="25" max="25" width="12.81640625" customWidth="1"/>
    <col min="26" max="26" width="13.26953125" customWidth="1"/>
    <col min="27" max="27" width="17.36328125" customWidth="1"/>
    <col min="28" max="28" width="6.1796875" customWidth="1"/>
    <col min="29" max="29" width="37.36328125" customWidth="1"/>
    <col min="30" max="30" width="24.36328125" customWidth="1"/>
    <col min="31" max="31" width="15.26953125" customWidth="1"/>
    <col min="32" max="32" width="12.81640625" customWidth="1"/>
    <col min="33" max="33" width="13.26953125" customWidth="1"/>
    <col min="34" max="34" width="17.36328125" customWidth="1"/>
    <col min="35" max="35" width="6.1796875" customWidth="1"/>
    <col min="36" max="36" width="37.54296875" customWidth="1"/>
    <col min="37" max="37" width="24.26953125" customWidth="1"/>
    <col min="38" max="38" width="15.26953125" customWidth="1"/>
    <col min="39" max="39" width="13" customWidth="1"/>
    <col min="40" max="40" width="13.26953125" customWidth="1"/>
    <col min="41" max="41" width="17.36328125" customWidth="1"/>
    <col min="42" max="42" width="6.1796875" customWidth="1"/>
    <col min="43" max="43" width="37.36328125" customWidth="1"/>
    <col min="44" max="44" width="24.26953125" customWidth="1"/>
    <col min="45" max="45" width="15.26953125" customWidth="1"/>
    <col min="46" max="46" width="12.81640625" customWidth="1"/>
    <col min="47" max="47" width="13.26953125" customWidth="1"/>
    <col min="48" max="48" width="17.36328125" customWidth="1"/>
    <col min="49" max="49" width="6.1796875" customWidth="1"/>
    <col min="50" max="50" width="37.36328125" customWidth="1"/>
    <col min="51" max="51" width="24.36328125" customWidth="1"/>
    <col min="52" max="52" width="15.1796875" customWidth="1"/>
    <col min="53" max="53" width="12.81640625" customWidth="1"/>
    <col min="54" max="54" width="13.26953125" customWidth="1"/>
    <col min="55" max="55" width="17.54296875" customWidth="1"/>
    <col min="56" max="56" width="6.1796875" customWidth="1"/>
    <col min="57" max="57" width="37.36328125" customWidth="1"/>
    <col min="58" max="58" width="24.36328125" customWidth="1"/>
    <col min="59" max="59" width="15.26953125" customWidth="1"/>
    <col min="60" max="60" width="12.81640625" customWidth="1"/>
    <col min="61" max="61" width="13.26953125" customWidth="1"/>
    <col min="62" max="62" width="17.36328125" customWidth="1"/>
    <col min="63" max="63" width="6.1796875" customWidth="1"/>
    <col min="64" max="64" width="37.54296875" customWidth="1"/>
    <col min="65" max="65" width="24.36328125" customWidth="1"/>
    <col min="66" max="66" width="15.26953125" customWidth="1"/>
    <col min="67" max="67" width="13" customWidth="1"/>
    <col min="68" max="68" width="13.26953125" customWidth="1"/>
    <col min="69" max="69" width="17.36328125" customWidth="1"/>
    <col min="70" max="70" width="6.1796875" customWidth="1"/>
    <col min="71" max="71" width="37.54296875" customWidth="1"/>
    <col min="72" max="72" width="24.36328125" customWidth="1"/>
    <col min="73" max="73" width="15.26953125" customWidth="1"/>
    <col min="74" max="74" width="13" customWidth="1"/>
    <col min="75" max="75" width="13.26953125" customWidth="1"/>
    <col min="76" max="76" width="17.36328125" customWidth="1"/>
    <col min="77" max="77" width="6.1796875" customWidth="1"/>
    <col min="78" max="78" width="37.36328125" customWidth="1"/>
    <col min="79" max="79" width="24.26953125" customWidth="1"/>
    <col min="80" max="80" width="15.1796875" customWidth="1"/>
    <col min="81" max="81" width="12.81640625" customWidth="1"/>
    <col min="82" max="82" width="13.26953125" customWidth="1"/>
    <col min="83" max="83" width="17.54296875" customWidth="1"/>
    <col min="84" max="84" width="6.1796875" customWidth="1"/>
    <col min="85" max="85" width="37.36328125" customWidth="1"/>
    <col min="86" max="86" width="24.36328125" customWidth="1"/>
    <col min="87" max="87" width="15.26953125" customWidth="1"/>
    <col min="88" max="88" width="13" customWidth="1"/>
    <col min="89" max="89" width="13.26953125" customWidth="1"/>
    <col min="90" max="90" width="17.36328125" customWidth="1"/>
    <col min="91" max="91" width="6.1796875" customWidth="1"/>
    <col min="92" max="92" width="37.36328125" customWidth="1"/>
    <col min="93" max="93" width="24.36328125" customWidth="1"/>
    <col min="94" max="94" width="15.1796875" customWidth="1"/>
    <col min="95" max="95" width="13" customWidth="1"/>
    <col min="96" max="96" width="13.26953125" customWidth="1"/>
    <col min="97" max="97" width="17.54296875" customWidth="1"/>
    <col min="98" max="98" width="6" customWidth="1"/>
    <col min="99" max="99" width="37.36328125" customWidth="1"/>
    <col min="100" max="100" width="24.26953125" customWidth="1"/>
    <col min="101" max="101" width="15.1796875" customWidth="1"/>
    <col min="102" max="102" width="12.81640625" customWidth="1"/>
    <col min="103" max="103" width="13.36328125" customWidth="1"/>
    <col min="104" max="104" width="17.54296875" customWidth="1"/>
    <col min="105" max="105" width="6.1796875" style="19" customWidth="1"/>
    <col min="106" max="106" width="37.36328125" customWidth="1"/>
    <col min="107" max="107" width="24.26953125" customWidth="1"/>
    <col min="108" max="108" width="15.26953125" customWidth="1"/>
    <col min="109" max="109" width="12.81640625" customWidth="1"/>
    <col min="110" max="110" width="13.26953125" customWidth="1"/>
    <col min="111" max="111" width="17.36328125" customWidth="1"/>
    <col min="112" max="112" width="6" style="19" customWidth="1"/>
  </cols>
  <sheetData>
    <row r="1" spans="1:112" ht="25" x14ac:dyDescent="0.5">
      <c r="A1" s="369" t="str">
        <f>'Standard Vorgaben'!A1</f>
        <v>Arbokost 2023</v>
      </c>
      <c r="B1" s="400" t="str">
        <f>'Standard Vorgaben'!B8</f>
        <v>Tafelkirsche</v>
      </c>
      <c r="C1" s="364"/>
      <c r="D1" s="364"/>
      <c r="E1" s="365"/>
      <c r="F1" s="366"/>
      <c r="G1" s="364"/>
      <c r="H1" s="364"/>
      <c r="I1" s="364"/>
      <c r="J1" s="363"/>
      <c r="K1" s="363"/>
      <c r="L1" s="363"/>
      <c r="M1" s="363"/>
      <c r="N1" s="363"/>
      <c r="O1" s="363"/>
      <c r="P1" s="363"/>
      <c r="Q1" s="363"/>
      <c r="R1" s="367"/>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51"/>
      <c r="AY1" s="363"/>
      <c r="AZ1" s="363"/>
      <c r="BA1" s="363"/>
      <c r="BB1" s="363"/>
      <c r="BC1" s="363"/>
      <c r="BD1" s="363"/>
      <c r="BE1" s="363"/>
      <c r="BF1" s="363"/>
      <c r="BG1" s="363"/>
      <c r="BH1" s="363"/>
      <c r="BI1" s="363"/>
      <c r="BJ1" s="363"/>
      <c r="BK1" s="363"/>
      <c r="BL1" s="351"/>
      <c r="BM1" s="363"/>
      <c r="BN1" s="363"/>
      <c r="BO1" s="363"/>
      <c r="BP1" s="363"/>
      <c r="BQ1" s="363"/>
      <c r="BR1" s="363"/>
      <c r="BS1" s="363"/>
      <c r="BT1" s="363"/>
      <c r="BU1" s="363"/>
      <c r="BV1" s="363"/>
      <c r="BW1" s="363"/>
      <c r="BX1" s="363"/>
      <c r="BY1" s="363"/>
      <c r="BZ1" s="351"/>
      <c r="CA1" s="363"/>
      <c r="CB1" s="363"/>
      <c r="CC1" s="363"/>
      <c r="CD1" s="363"/>
      <c r="CE1" s="363"/>
      <c r="CF1" s="363"/>
      <c r="CG1" s="363"/>
      <c r="CH1" s="363"/>
      <c r="CI1" s="363"/>
      <c r="CJ1" s="363"/>
      <c r="CK1" s="363"/>
      <c r="CL1" s="363"/>
      <c r="CM1" s="363"/>
      <c r="CN1" s="351"/>
      <c r="CO1" s="363"/>
      <c r="CP1" s="363"/>
      <c r="CQ1" s="363"/>
      <c r="CR1" s="363"/>
      <c r="CS1" s="363"/>
      <c r="CT1" s="363"/>
      <c r="CU1" s="363"/>
      <c r="CV1" s="363"/>
      <c r="CW1" s="363"/>
      <c r="CX1" s="363"/>
      <c r="CY1" s="363"/>
      <c r="CZ1" s="363"/>
      <c r="DA1" s="368"/>
      <c r="DB1" s="363"/>
      <c r="DC1" s="363"/>
      <c r="DD1" s="363"/>
      <c r="DE1" s="363"/>
      <c r="DF1" s="363"/>
      <c r="DG1" s="363"/>
      <c r="DH1" s="368"/>
    </row>
    <row r="2" spans="1:112" x14ac:dyDescent="0.3">
      <c r="A2" s="359"/>
      <c r="B2" s="363"/>
      <c r="C2" s="364"/>
      <c r="D2" s="364"/>
      <c r="E2" s="365"/>
      <c r="F2" s="366"/>
      <c r="G2" s="364"/>
      <c r="H2" s="355"/>
      <c r="I2" s="364"/>
      <c r="J2" s="363"/>
      <c r="K2" s="363"/>
      <c r="L2" s="363"/>
      <c r="M2" s="363"/>
      <c r="N2" s="363"/>
      <c r="O2" s="363"/>
      <c r="P2" s="363"/>
      <c r="Q2" s="363"/>
      <c r="R2" s="363"/>
      <c r="S2" s="363"/>
      <c r="T2" s="363"/>
      <c r="U2" s="363"/>
      <c r="V2" s="351"/>
      <c r="W2" s="363"/>
      <c r="X2" s="363"/>
      <c r="Y2" s="363"/>
      <c r="Z2" s="363"/>
      <c r="AA2" s="363"/>
      <c r="AB2" s="363"/>
      <c r="AC2" s="363"/>
      <c r="AD2" s="363"/>
      <c r="AE2" s="363"/>
      <c r="AF2" s="363"/>
      <c r="AG2" s="363"/>
      <c r="AH2" s="363"/>
      <c r="AI2" s="363"/>
      <c r="AJ2" s="351"/>
      <c r="AK2" s="363"/>
      <c r="AL2" s="363"/>
      <c r="AM2" s="363"/>
      <c r="AN2" s="363"/>
      <c r="AO2" s="363"/>
      <c r="AP2" s="363"/>
      <c r="AQ2" s="363"/>
      <c r="AR2" s="363"/>
      <c r="AS2" s="363"/>
      <c r="AT2" s="363"/>
      <c r="AU2" s="368"/>
      <c r="AV2" s="368"/>
      <c r="AW2" s="363"/>
      <c r="AX2" s="351"/>
      <c r="AY2" s="363"/>
      <c r="AZ2" s="363"/>
      <c r="BA2" s="363"/>
      <c r="BB2" s="363"/>
      <c r="BC2" s="363"/>
      <c r="BD2" s="363"/>
      <c r="BE2" s="363"/>
      <c r="BF2" s="363"/>
      <c r="BG2" s="363"/>
      <c r="BH2" s="363"/>
      <c r="BI2" s="363"/>
      <c r="BJ2" s="363"/>
      <c r="BK2" s="363"/>
      <c r="BL2" s="351"/>
      <c r="BM2" s="363"/>
      <c r="BN2" s="363"/>
      <c r="BO2" s="363"/>
      <c r="BP2" s="363"/>
      <c r="BQ2" s="363"/>
      <c r="BR2" s="363"/>
      <c r="BS2" s="363"/>
      <c r="BT2" s="363"/>
      <c r="BU2" s="363"/>
      <c r="BV2" s="363"/>
      <c r="BW2" s="363"/>
      <c r="BX2" s="363"/>
      <c r="BY2" s="363"/>
      <c r="BZ2" s="351"/>
      <c r="CA2" s="363"/>
      <c r="CB2" s="363"/>
      <c r="CC2" s="363"/>
      <c r="CD2" s="363"/>
      <c r="CE2" s="363"/>
      <c r="CF2" s="363"/>
      <c r="CG2" s="363"/>
      <c r="CH2" s="363"/>
      <c r="CI2" s="363"/>
      <c r="CJ2" s="363"/>
      <c r="CK2" s="363"/>
      <c r="CL2" s="363"/>
      <c r="CM2" s="363"/>
      <c r="CN2" s="351"/>
      <c r="CO2" s="363"/>
      <c r="CP2" s="363"/>
      <c r="CQ2" s="363"/>
      <c r="CR2" s="363"/>
      <c r="CS2" s="363"/>
      <c r="CT2" s="363"/>
      <c r="CU2" s="363"/>
      <c r="CV2" s="363"/>
      <c r="CW2" s="363"/>
      <c r="CX2" s="363"/>
      <c r="CY2" s="363"/>
      <c r="CZ2" s="363"/>
      <c r="DA2" s="368"/>
      <c r="DB2" s="351"/>
      <c r="DC2" s="363"/>
      <c r="DD2" s="363"/>
      <c r="DE2" s="363"/>
      <c r="DF2" s="363"/>
      <c r="DG2" s="363"/>
      <c r="DH2" s="368"/>
    </row>
    <row r="3" spans="1:112" ht="3.75" customHeight="1" x14ac:dyDescent="0.3">
      <c r="A3" s="359"/>
      <c r="B3" s="363"/>
      <c r="C3" s="364"/>
      <c r="D3" s="364"/>
      <c r="E3" s="365"/>
      <c r="F3" s="366"/>
      <c r="G3" s="364"/>
      <c r="H3" s="355"/>
      <c r="I3" s="364"/>
      <c r="J3" s="363"/>
      <c r="K3" s="363"/>
      <c r="L3" s="363"/>
      <c r="M3" s="363"/>
      <c r="N3" s="363"/>
      <c r="O3" s="363"/>
      <c r="P3" s="363"/>
      <c r="Q3" s="363"/>
      <c r="R3" s="363"/>
      <c r="S3" s="363"/>
      <c r="T3" s="363"/>
      <c r="U3" s="363"/>
      <c r="V3" s="351"/>
      <c r="W3" s="363"/>
      <c r="X3" s="363"/>
      <c r="Y3" s="363"/>
      <c r="Z3" s="363"/>
      <c r="AA3" s="363"/>
      <c r="AB3" s="363"/>
      <c r="AC3" s="363"/>
      <c r="AD3" s="363"/>
      <c r="AE3" s="363"/>
      <c r="AF3" s="363"/>
      <c r="AG3" s="363"/>
      <c r="AH3" s="363"/>
      <c r="AI3" s="363"/>
      <c r="AK3" s="363"/>
      <c r="AL3" s="363"/>
      <c r="AM3" s="363"/>
      <c r="AN3" s="363"/>
      <c r="AO3" s="363"/>
      <c r="AP3" s="363"/>
      <c r="AQ3" s="363"/>
      <c r="AR3" s="363"/>
      <c r="AS3" s="363"/>
      <c r="AT3" s="363"/>
      <c r="AU3" s="363"/>
      <c r="AV3" s="363"/>
      <c r="AW3" s="363"/>
      <c r="AY3" s="363"/>
      <c r="AZ3" s="363"/>
      <c r="BA3" s="363"/>
      <c r="BB3" s="363"/>
      <c r="BC3" s="363"/>
      <c r="BD3" s="363"/>
      <c r="BE3" s="363"/>
      <c r="BF3" s="363"/>
      <c r="BG3" s="363"/>
      <c r="BH3" s="363"/>
      <c r="BI3" s="363"/>
      <c r="BJ3" s="363"/>
      <c r="BK3" s="363"/>
      <c r="BL3" s="351"/>
      <c r="BM3" s="363"/>
      <c r="BN3" s="363"/>
      <c r="BO3" s="363"/>
      <c r="BP3" s="363"/>
      <c r="BQ3" s="363"/>
      <c r="BR3" s="363"/>
      <c r="BS3" s="363"/>
      <c r="BT3" s="363"/>
      <c r="BU3" s="363"/>
      <c r="BV3" s="363"/>
      <c r="BW3" s="363"/>
      <c r="BX3" s="363"/>
      <c r="BY3" s="363"/>
      <c r="BZ3" s="351"/>
      <c r="CA3" s="363"/>
      <c r="CB3" s="363"/>
      <c r="CC3" s="363"/>
      <c r="CD3" s="363"/>
      <c r="CE3" s="363"/>
      <c r="CF3" s="363"/>
      <c r="CG3" s="363"/>
      <c r="CH3" s="363"/>
      <c r="CI3" s="363"/>
      <c r="CJ3" s="363"/>
      <c r="CK3" s="363"/>
      <c r="CL3" s="363"/>
      <c r="CM3" s="363"/>
      <c r="CO3" s="363"/>
      <c r="CP3" s="363"/>
      <c r="CQ3" s="363"/>
      <c r="CR3" s="363"/>
      <c r="CS3" s="363"/>
      <c r="CT3" s="363"/>
      <c r="CU3" s="363"/>
      <c r="CV3" s="363"/>
      <c r="CW3" s="363"/>
      <c r="CX3" s="363"/>
      <c r="CY3" s="363"/>
      <c r="CZ3" s="363"/>
      <c r="DA3" s="368"/>
      <c r="DB3" s="351"/>
      <c r="DC3" s="363"/>
      <c r="DD3" s="363"/>
      <c r="DE3" s="363"/>
      <c r="DF3" s="363"/>
      <c r="DG3" s="363"/>
      <c r="DH3" s="368"/>
    </row>
    <row r="4" spans="1:112" ht="24.75" customHeight="1" x14ac:dyDescent="0.4">
      <c r="A4" s="73" t="s">
        <v>378</v>
      </c>
      <c r="B4" s="354"/>
      <c r="C4" s="355"/>
      <c r="D4" s="356"/>
      <c r="E4" s="766"/>
      <c r="F4" s="766"/>
      <c r="G4" s="357"/>
      <c r="H4" s="361" t="s">
        <v>378</v>
      </c>
      <c r="I4" s="354"/>
      <c r="J4" s="355"/>
      <c r="K4" s="356"/>
      <c r="L4" s="351"/>
      <c r="M4" s="356"/>
      <c r="N4" s="357"/>
      <c r="O4" s="31" t="s">
        <v>378</v>
      </c>
      <c r="P4" s="354"/>
      <c r="Q4" s="355"/>
      <c r="R4" s="356"/>
      <c r="S4" s="351"/>
      <c r="T4" s="356"/>
      <c r="U4" s="357"/>
      <c r="V4" s="361" t="s">
        <v>378</v>
      </c>
      <c r="W4" s="354"/>
      <c r="X4" s="355"/>
      <c r="Y4" s="356"/>
      <c r="Z4" s="351"/>
      <c r="AA4" s="356"/>
      <c r="AB4" s="357"/>
      <c r="AC4" s="31" t="s">
        <v>378</v>
      </c>
      <c r="AD4" s="354"/>
      <c r="AE4" s="355"/>
      <c r="AF4" s="363"/>
      <c r="AG4" s="363"/>
      <c r="AH4" s="363"/>
      <c r="AI4" s="357"/>
      <c r="AJ4" s="361" t="s">
        <v>378</v>
      </c>
      <c r="AK4" s="354"/>
      <c r="AL4" s="355"/>
      <c r="AM4" s="356"/>
      <c r="AN4" s="351"/>
      <c r="AO4" s="356"/>
      <c r="AP4" s="357"/>
      <c r="AQ4" s="361" t="s">
        <v>378</v>
      </c>
      <c r="AR4" s="354"/>
      <c r="AS4" s="355"/>
      <c r="AT4" s="356"/>
      <c r="AU4" s="363"/>
      <c r="AV4" s="363"/>
      <c r="AW4" s="363"/>
      <c r="AX4" s="361" t="s">
        <v>378</v>
      </c>
      <c r="AY4" s="354"/>
      <c r="AZ4" s="355"/>
      <c r="BA4" s="356"/>
      <c r="BB4" s="351"/>
      <c r="BC4" s="356"/>
      <c r="BD4" s="357"/>
      <c r="BE4" s="31" t="s">
        <v>378</v>
      </c>
      <c r="BF4" s="518"/>
      <c r="BG4" s="355"/>
      <c r="BH4" s="356"/>
      <c r="BI4" s="351"/>
      <c r="BJ4" s="356"/>
      <c r="BK4" s="357"/>
      <c r="BL4" s="361" t="s">
        <v>378</v>
      </c>
      <c r="BM4" s="354"/>
      <c r="BN4" s="355"/>
      <c r="BO4" s="356"/>
      <c r="BP4" s="351"/>
      <c r="BQ4" s="356"/>
      <c r="BR4" s="357"/>
      <c r="BS4" s="31" t="s">
        <v>378</v>
      </c>
      <c r="BT4" s="354"/>
      <c r="BU4" s="355"/>
      <c r="BV4" s="363"/>
      <c r="BW4" s="363"/>
      <c r="BX4" s="363"/>
      <c r="BY4" s="357"/>
      <c r="BZ4" s="361" t="s">
        <v>378</v>
      </c>
      <c r="CA4" s="354"/>
      <c r="CB4" s="355"/>
      <c r="CC4" s="356"/>
      <c r="CD4" s="351"/>
      <c r="CE4" s="356"/>
      <c r="CF4" s="357"/>
      <c r="CG4" s="31" t="s">
        <v>378</v>
      </c>
      <c r="CH4" s="354"/>
      <c r="CI4" s="355"/>
      <c r="CJ4" s="356"/>
      <c r="CK4" s="766"/>
      <c r="CL4" s="766"/>
      <c r="CM4" s="357"/>
      <c r="CN4" s="361" t="s">
        <v>378</v>
      </c>
      <c r="CO4" s="354"/>
      <c r="CP4" s="355"/>
      <c r="CQ4" s="356"/>
      <c r="CR4" s="351"/>
      <c r="CS4" s="356"/>
      <c r="CT4" s="357"/>
      <c r="CU4" s="31" t="s">
        <v>378</v>
      </c>
      <c r="CV4" s="354"/>
      <c r="CW4" s="355"/>
      <c r="CX4" s="356"/>
      <c r="CY4" s="766"/>
      <c r="CZ4" s="766"/>
      <c r="DA4" s="357"/>
      <c r="DB4" s="361" t="s">
        <v>378</v>
      </c>
      <c r="DC4" s="354"/>
      <c r="DD4" s="355"/>
      <c r="DE4" s="356"/>
      <c r="DF4" s="351"/>
      <c r="DG4" s="356"/>
      <c r="DH4" s="357"/>
    </row>
    <row r="5" spans="1:112" ht="14.25" customHeight="1" x14ac:dyDescent="0.35">
      <c r="A5" s="475" t="s">
        <v>48</v>
      </c>
      <c r="B5" s="522">
        <f>'Standard Erstellung'!$E$16</f>
        <v>950</v>
      </c>
      <c r="C5" s="358"/>
      <c r="D5" s="359"/>
      <c r="E5" s="592" t="s">
        <v>141</v>
      </c>
      <c r="F5" s="593"/>
      <c r="G5" s="360"/>
      <c r="H5" s="475" t="s">
        <v>49</v>
      </c>
      <c r="I5" s="518"/>
      <c r="J5" s="358"/>
      <c r="K5" s="359"/>
      <c r="L5" s="359"/>
      <c r="M5" s="359"/>
      <c r="N5" s="360"/>
      <c r="O5" s="475" t="s">
        <v>50</v>
      </c>
      <c r="P5" s="518"/>
      <c r="Q5" s="358"/>
      <c r="R5" s="359"/>
      <c r="S5" s="359"/>
      <c r="T5" s="359"/>
      <c r="U5" s="360"/>
      <c r="V5" s="475" t="s">
        <v>51</v>
      </c>
      <c r="W5" s="518"/>
      <c r="X5" s="358"/>
      <c r="Y5" s="359"/>
      <c r="Z5" s="359"/>
      <c r="AA5" s="359"/>
      <c r="AB5" s="360"/>
      <c r="AC5" s="475" t="s">
        <v>52</v>
      </c>
      <c r="AD5" s="518"/>
      <c r="AE5" s="358"/>
      <c r="AF5" s="356"/>
      <c r="AG5" s="351"/>
      <c r="AH5" s="356"/>
      <c r="AI5" s="360"/>
      <c r="AJ5" s="475" t="s">
        <v>53</v>
      </c>
      <c r="AK5" s="518"/>
      <c r="AL5" s="358"/>
      <c r="AM5" s="359"/>
      <c r="AN5" s="359"/>
      <c r="AO5" s="359"/>
      <c r="AP5" s="18"/>
      <c r="AQ5" s="475" t="s">
        <v>54</v>
      </c>
      <c r="AR5" s="518"/>
      <c r="AS5" s="358"/>
      <c r="AT5" s="359"/>
      <c r="AU5" s="356"/>
      <c r="AV5" s="351"/>
      <c r="AW5" s="356"/>
      <c r="AX5" s="475" t="s">
        <v>55</v>
      </c>
      <c r="AY5" s="518"/>
      <c r="AZ5" s="358"/>
      <c r="BA5" s="359"/>
      <c r="BB5" s="359"/>
      <c r="BC5" s="359"/>
      <c r="BD5" s="360"/>
      <c r="BE5" s="475" t="s">
        <v>56</v>
      </c>
      <c r="BF5" s="518"/>
      <c r="BG5" s="358"/>
      <c r="BH5" s="359"/>
      <c r="BI5" s="359"/>
      <c r="BJ5" s="359"/>
      <c r="BK5" s="360"/>
      <c r="BL5" s="475" t="s">
        <v>57</v>
      </c>
      <c r="BM5" s="518"/>
      <c r="BN5" s="358"/>
      <c r="BO5" s="359"/>
      <c r="BP5" s="359"/>
      <c r="BQ5" s="359"/>
      <c r="BR5" s="360"/>
      <c r="BS5" s="475" t="s">
        <v>58</v>
      </c>
      <c r="BT5" s="518"/>
      <c r="BU5" s="358"/>
      <c r="BV5" s="356"/>
      <c r="BW5" s="351"/>
      <c r="BX5" s="356"/>
      <c r="BY5" s="360"/>
      <c r="BZ5" s="475" t="s">
        <v>59</v>
      </c>
      <c r="CA5" s="518"/>
      <c r="CB5" s="358"/>
      <c r="CC5" s="359"/>
      <c r="CD5" s="359"/>
      <c r="CE5" s="359"/>
      <c r="CF5" s="360"/>
      <c r="CG5" s="475" t="s">
        <v>60</v>
      </c>
      <c r="CH5" s="518"/>
      <c r="CI5" s="358"/>
      <c r="CJ5" s="359"/>
      <c r="CK5" s="592" t="s">
        <v>141</v>
      </c>
      <c r="CL5" s="593"/>
      <c r="CM5" s="360"/>
      <c r="CN5" s="475" t="s">
        <v>61</v>
      </c>
      <c r="CO5" s="518"/>
      <c r="CP5" s="358"/>
      <c r="CQ5" s="359"/>
      <c r="CR5" s="359"/>
      <c r="CS5" s="359"/>
      <c r="CT5" s="360"/>
      <c r="CU5" s="475" t="s">
        <v>62</v>
      </c>
      <c r="CV5" s="518"/>
      <c r="CW5" s="358"/>
      <c r="CX5" s="359"/>
      <c r="CY5" s="592" t="s">
        <v>141</v>
      </c>
      <c r="CZ5" s="593"/>
      <c r="DA5" s="360"/>
      <c r="DB5" s="475" t="s">
        <v>198</v>
      </c>
      <c r="DC5" s="518"/>
      <c r="DD5" s="358"/>
      <c r="DE5" s="359"/>
      <c r="DF5" s="359"/>
      <c r="DG5" s="359"/>
      <c r="DH5" s="360"/>
    </row>
    <row r="6" spans="1:112" ht="16.5" customHeight="1" x14ac:dyDescent="0.35">
      <c r="A6" s="286" t="s">
        <v>85</v>
      </c>
      <c r="B6" s="3"/>
      <c r="C6" s="356"/>
      <c r="D6" s="360"/>
      <c r="E6" s="360"/>
      <c r="F6" s="362"/>
      <c r="G6" s="356"/>
      <c r="H6" s="286" t="s">
        <v>85</v>
      </c>
      <c r="I6" s="375"/>
      <c r="J6" s="356"/>
      <c r="K6" s="355"/>
      <c r="L6" s="364"/>
      <c r="M6" s="362"/>
      <c r="N6" s="356"/>
      <c r="O6" s="286" t="s">
        <v>85</v>
      </c>
      <c r="P6" s="375"/>
      <c r="Q6" s="356"/>
      <c r="R6" s="355"/>
      <c r="S6" s="364"/>
      <c r="T6" s="362"/>
      <c r="U6" s="356"/>
      <c r="V6" s="286" t="s">
        <v>85</v>
      </c>
      <c r="W6" s="375"/>
      <c r="X6" s="356"/>
      <c r="Y6" s="355"/>
      <c r="Z6" s="364"/>
      <c r="AA6" s="362"/>
      <c r="AB6" s="356"/>
      <c r="AC6" s="286" t="s">
        <v>85</v>
      </c>
      <c r="AD6" s="375"/>
      <c r="AE6" s="356"/>
      <c r="AF6" s="359"/>
      <c r="AG6" s="359"/>
      <c r="AH6" s="359"/>
      <c r="AI6" s="356"/>
      <c r="AJ6" s="286" t="s">
        <v>85</v>
      </c>
      <c r="AK6" s="375"/>
      <c r="AL6" s="356"/>
      <c r="AM6" s="355"/>
      <c r="AN6" s="364"/>
      <c r="AO6" s="362"/>
      <c r="AP6" s="356"/>
      <c r="AQ6" s="286" t="s">
        <v>85</v>
      </c>
      <c r="AR6" s="375"/>
      <c r="AS6" s="356"/>
      <c r="AT6" s="355"/>
      <c r="AU6" s="359"/>
      <c r="AV6" s="359"/>
      <c r="AW6" s="359"/>
      <c r="AX6" s="286" t="s">
        <v>85</v>
      </c>
      <c r="AY6" s="375"/>
      <c r="AZ6" s="356"/>
      <c r="BA6" s="355"/>
      <c r="BB6" s="364"/>
      <c r="BC6" s="362"/>
      <c r="BD6" s="356"/>
      <c r="BE6" s="286" t="s">
        <v>85</v>
      </c>
      <c r="BF6" s="375"/>
      <c r="BG6" s="356"/>
      <c r="BH6" s="355"/>
      <c r="BI6" s="364"/>
      <c r="BJ6" s="362"/>
      <c r="BK6" s="356"/>
      <c r="BL6" s="286" t="s">
        <v>85</v>
      </c>
      <c r="BM6" s="375"/>
      <c r="BN6" s="356"/>
      <c r="BO6" s="355"/>
      <c r="BP6" s="364"/>
      <c r="BQ6" s="362"/>
      <c r="BR6" s="356"/>
      <c r="BS6" s="286" t="s">
        <v>85</v>
      </c>
      <c r="BT6" s="375"/>
      <c r="BU6" s="356"/>
      <c r="BV6" s="359"/>
      <c r="BW6" s="359"/>
      <c r="BX6" s="359"/>
      <c r="BY6" s="356"/>
      <c r="BZ6" s="286" t="s">
        <v>85</v>
      </c>
      <c r="CA6" s="375"/>
      <c r="CB6" s="356"/>
      <c r="CC6" s="355"/>
      <c r="CD6" s="364"/>
      <c r="CE6" s="362"/>
      <c r="CF6" s="356"/>
      <c r="CG6" s="286" t="s">
        <v>85</v>
      </c>
      <c r="CH6" s="375"/>
      <c r="CI6" s="356"/>
      <c r="CJ6" s="355"/>
      <c r="CK6" s="364"/>
      <c r="CL6" s="362"/>
      <c r="CM6" s="356"/>
      <c r="CN6" s="286" t="s">
        <v>85</v>
      </c>
      <c r="CO6" s="375"/>
      <c r="CP6" s="356"/>
      <c r="CQ6" s="355"/>
      <c r="CR6" s="364"/>
      <c r="CS6" s="362"/>
      <c r="CT6" s="356"/>
      <c r="CU6" s="286" t="s">
        <v>85</v>
      </c>
      <c r="CV6" s="375"/>
      <c r="CW6" s="356"/>
      <c r="CX6" s="355"/>
      <c r="CY6" s="364"/>
      <c r="CZ6" s="362"/>
      <c r="DA6" s="356"/>
      <c r="DB6" s="286" t="s">
        <v>85</v>
      </c>
      <c r="DC6" s="375"/>
      <c r="DD6" s="356"/>
      <c r="DE6" s="355"/>
      <c r="DF6" s="364"/>
      <c r="DG6" s="362"/>
      <c r="DH6" s="356"/>
    </row>
    <row r="7" spans="1:112" x14ac:dyDescent="0.3">
      <c r="C7" s="36" t="s">
        <v>63</v>
      </c>
      <c r="D7" s="36" t="s">
        <v>64</v>
      </c>
      <c r="E7" s="37" t="s">
        <v>65</v>
      </c>
      <c r="F7" s="38" t="s">
        <v>66</v>
      </c>
      <c r="G7" s="39" t="s">
        <v>67</v>
      </c>
      <c r="H7" s="18"/>
      <c r="I7" s="21"/>
      <c r="J7" s="36" t="s">
        <v>63</v>
      </c>
      <c r="K7" s="36" t="s">
        <v>64</v>
      </c>
      <c r="L7" s="37" t="s">
        <v>65</v>
      </c>
      <c r="M7" s="38" t="s">
        <v>66</v>
      </c>
      <c r="N7" s="39" t="s">
        <v>67</v>
      </c>
      <c r="O7" s="18"/>
      <c r="P7" s="21"/>
      <c r="Q7" s="36" t="s">
        <v>63</v>
      </c>
      <c r="R7" s="36" t="s">
        <v>64</v>
      </c>
      <c r="S7" s="37" t="s">
        <v>65</v>
      </c>
      <c r="T7" s="38" t="s">
        <v>66</v>
      </c>
      <c r="U7" s="39" t="s">
        <v>67</v>
      </c>
      <c r="V7" s="18"/>
      <c r="W7" s="21"/>
      <c r="X7" s="36" t="s">
        <v>63</v>
      </c>
      <c r="Y7" s="36" t="s">
        <v>64</v>
      </c>
      <c r="Z7" s="37" t="s">
        <v>65</v>
      </c>
      <c r="AA7" s="38" t="s">
        <v>66</v>
      </c>
      <c r="AB7" s="39" t="s">
        <v>67</v>
      </c>
      <c r="AC7" s="18"/>
      <c r="AD7" s="21"/>
      <c r="AE7" s="36" t="s">
        <v>63</v>
      </c>
      <c r="AF7" s="36" t="s">
        <v>64</v>
      </c>
      <c r="AG7" s="37" t="s">
        <v>65</v>
      </c>
      <c r="AH7" s="38" t="s">
        <v>66</v>
      </c>
      <c r="AI7" s="39" t="s">
        <v>67</v>
      </c>
      <c r="AJ7" s="18"/>
      <c r="AK7" s="21"/>
      <c r="AL7" s="36" t="s">
        <v>63</v>
      </c>
      <c r="AM7" s="36" t="s">
        <v>64</v>
      </c>
      <c r="AN7" s="37" t="s">
        <v>65</v>
      </c>
      <c r="AO7" s="38" t="s">
        <v>66</v>
      </c>
      <c r="AP7" s="39" t="s">
        <v>67</v>
      </c>
      <c r="AQ7" s="18"/>
      <c r="AR7" s="21"/>
      <c r="AS7" s="36" t="s">
        <v>63</v>
      </c>
      <c r="AT7" s="36" t="s">
        <v>64</v>
      </c>
      <c r="AU7" s="37" t="s">
        <v>65</v>
      </c>
      <c r="AV7" s="38" t="s">
        <v>66</v>
      </c>
      <c r="AW7" s="39" t="s">
        <v>67</v>
      </c>
      <c r="AX7" s="18"/>
      <c r="AY7" s="21"/>
      <c r="AZ7" s="36" t="s">
        <v>63</v>
      </c>
      <c r="BA7" s="36" t="s">
        <v>64</v>
      </c>
      <c r="BB7" s="37" t="s">
        <v>65</v>
      </c>
      <c r="BC7" s="38" t="s">
        <v>66</v>
      </c>
      <c r="BD7" s="39" t="s">
        <v>67</v>
      </c>
      <c r="BE7" s="18"/>
      <c r="BF7" s="21"/>
      <c r="BG7" s="36" t="s">
        <v>63</v>
      </c>
      <c r="BH7" s="36" t="s">
        <v>64</v>
      </c>
      <c r="BI7" s="37" t="s">
        <v>65</v>
      </c>
      <c r="BJ7" s="38" t="s">
        <v>66</v>
      </c>
      <c r="BK7" s="39" t="s">
        <v>67</v>
      </c>
      <c r="BL7" s="18"/>
      <c r="BM7" s="21"/>
      <c r="BN7" s="36" t="s">
        <v>63</v>
      </c>
      <c r="BO7" s="36" t="s">
        <v>64</v>
      </c>
      <c r="BP7" s="37" t="s">
        <v>65</v>
      </c>
      <c r="BQ7" s="38" t="s">
        <v>66</v>
      </c>
      <c r="BR7" s="39" t="s">
        <v>67</v>
      </c>
      <c r="BS7" s="18"/>
      <c r="BT7" s="21"/>
      <c r="BU7" s="36" t="s">
        <v>63</v>
      </c>
      <c r="BV7" s="36" t="s">
        <v>64</v>
      </c>
      <c r="BW7" s="37" t="s">
        <v>65</v>
      </c>
      <c r="BX7" s="38" t="s">
        <v>66</v>
      </c>
      <c r="BY7" s="39" t="s">
        <v>67</v>
      </c>
      <c r="BZ7" s="18"/>
      <c r="CA7" s="21"/>
      <c r="CB7" s="36" t="s">
        <v>63</v>
      </c>
      <c r="CC7" s="36" t="s">
        <v>64</v>
      </c>
      <c r="CD7" s="37" t="s">
        <v>65</v>
      </c>
      <c r="CE7" s="38" t="s">
        <v>66</v>
      </c>
      <c r="CF7" s="39" t="s">
        <v>67</v>
      </c>
      <c r="CG7" s="18"/>
      <c r="CH7" s="21"/>
      <c r="CI7" s="36" t="s">
        <v>63</v>
      </c>
      <c r="CJ7" s="36" t="s">
        <v>64</v>
      </c>
      <c r="CK7" s="37" t="s">
        <v>65</v>
      </c>
      <c r="CL7" s="38" t="s">
        <v>66</v>
      </c>
      <c r="CM7" s="39" t="s">
        <v>67</v>
      </c>
      <c r="CN7" s="18"/>
      <c r="CO7" s="21"/>
      <c r="CP7" s="36" t="s">
        <v>63</v>
      </c>
      <c r="CQ7" s="36" t="s">
        <v>64</v>
      </c>
      <c r="CR7" s="37" t="s">
        <v>65</v>
      </c>
      <c r="CS7" s="38" t="s">
        <v>66</v>
      </c>
      <c r="CT7" s="39" t="s">
        <v>67</v>
      </c>
      <c r="CU7" s="18"/>
      <c r="CV7" s="21"/>
      <c r="CW7" s="36" t="s">
        <v>63</v>
      </c>
      <c r="CX7" s="36" t="s">
        <v>64</v>
      </c>
      <c r="CY7" s="37" t="s">
        <v>65</v>
      </c>
      <c r="CZ7" s="38" t="s">
        <v>66</v>
      </c>
      <c r="DA7" s="39" t="s">
        <v>67</v>
      </c>
      <c r="DB7" s="18"/>
      <c r="DC7" s="21"/>
      <c r="DD7" s="36" t="s">
        <v>63</v>
      </c>
      <c r="DE7" s="36" t="s">
        <v>64</v>
      </c>
      <c r="DF7" s="37" t="s">
        <v>65</v>
      </c>
      <c r="DG7" s="38" t="s">
        <v>66</v>
      </c>
      <c r="DH7" s="39" t="s">
        <v>67</v>
      </c>
    </row>
    <row r="8" spans="1:112" ht="15.75" customHeight="1" x14ac:dyDescent="0.3">
      <c r="A8" s="23" t="s">
        <v>68</v>
      </c>
      <c r="B8" s="125" t="str">
        <f>'Standard Vorgaben'!$B$40</f>
        <v>28+ mm</v>
      </c>
      <c r="C8" s="116">
        <f>D8/B5</f>
        <v>0</v>
      </c>
      <c r="D8" s="202">
        <f>G8*D12</f>
        <v>0</v>
      </c>
      <c r="E8" s="759">
        <f>'Standard Vorgaben'!B41</f>
        <v>7.09</v>
      </c>
      <c r="F8" s="61">
        <f>D8*E8</f>
        <v>0</v>
      </c>
      <c r="G8" s="92">
        <f>'Standard Vorgaben'!B65</f>
        <v>0.45</v>
      </c>
      <c r="H8" s="23" t="s">
        <v>68</v>
      </c>
      <c r="I8" s="125" t="str">
        <f>'Standard Vorgaben'!$B$40</f>
        <v>28+ mm</v>
      </c>
      <c r="J8" s="116">
        <f>K8/B5</f>
        <v>0</v>
      </c>
      <c r="K8" s="202">
        <f>N8*K12</f>
        <v>0</v>
      </c>
      <c r="L8" s="759">
        <f>'Standard Vorgaben'!B41</f>
        <v>7.09</v>
      </c>
      <c r="M8" s="61">
        <f>K8*L8</f>
        <v>0</v>
      </c>
      <c r="N8" s="92">
        <f>'Standard Vorgaben'!B66</f>
        <v>0.45</v>
      </c>
      <c r="O8" s="23" t="s">
        <v>68</v>
      </c>
      <c r="P8" s="125" t="str">
        <f>'Standard Vorgaben'!$B$40</f>
        <v>28+ mm</v>
      </c>
      <c r="Q8" s="116">
        <f>R8/B5</f>
        <v>0.48749661460684302</v>
      </c>
      <c r="R8" s="202">
        <f>U8*R12</f>
        <v>463.12178387650084</v>
      </c>
      <c r="S8" s="759">
        <f>'Standard Vorgaben'!B41</f>
        <v>7.09</v>
      </c>
      <c r="T8" s="61">
        <f>R8*S8</f>
        <v>3283.5334476843909</v>
      </c>
      <c r="U8" s="92">
        <f>'Standard Vorgaben'!B67</f>
        <v>0.45</v>
      </c>
      <c r="V8" s="23" t="s">
        <v>68</v>
      </c>
      <c r="W8" s="125" t="str">
        <f>'Standard Vorgaben'!$B$40</f>
        <v>28+ mm</v>
      </c>
      <c r="X8" s="116">
        <f>Y8/B5</f>
        <v>1.9499864584273721</v>
      </c>
      <c r="Y8" s="202">
        <f>AB8*Y12</f>
        <v>1852.4871355060034</v>
      </c>
      <c r="Z8" s="759">
        <f>'Standard Vorgaben'!B41</f>
        <v>7.09</v>
      </c>
      <c r="AA8" s="61">
        <f>Y8*Z8</f>
        <v>13134.133790737564</v>
      </c>
      <c r="AB8" s="92">
        <f>'Standard Vorgaben'!B68</f>
        <v>0.45</v>
      </c>
      <c r="AC8" s="23" t="s">
        <v>68</v>
      </c>
      <c r="AD8" s="125" t="str">
        <f>'Standard Vorgaben'!$B$40</f>
        <v>28+ mm</v>
      </c>
      <c r="AE8" s="116">
        <f>AF8/B5</f>
        <v>4.37771959916945</v>
      </c>
      <c r="AF8" s="202">
        <f>AI8*AF12</f>
        <v>4158.8336192109773</v>
      </c>
      <c r="AG8" s="759">
        <f>'Standard Vorgaben'!B41</f>
        <v>7.09</v>
      </c>
      <c r="AH8" s="61">
        <f>AF8*AG8</f>
        <v>29486.130360205829</v>
      </c>
      <c r="AI8" s="92">
        <f>'Standard Vorgaben'!B69</f>
        <v>0.45</v>
      </c>
      <c r="AJ8" s="23" t="s">
        <v>68</v>
      </c>
      <c r="AK8" s="125" t="str">
        <f>'Standard Vorgaben'!$B$40</f>
        <v>28+ mm</v>
      </c>
      <c r="AL8" s="116">
        <f>AM8/B5</f>
        <v>5.6549607294393782</v>
      </c>
      <c r="AM8" s="202">
        <f>AP8*AM12</f>
        <v>5372.2126929674096</v>
      </c>
      <c r="AN8" s="759">
        <f>'Standard Vorgaben'!B41</f>
        <v>7.09</v>
      </c>
      <c r="AO8" s="61">
        <f>AM8*AN8</f>
        <v>38088.98799313893</v>
      </c>
      <c r="AP8" s="92">
        <f>'Standard Vorgaben'!B70</f>
        <v>0.45</v>
      </c>
      <c r="AQ8" s="23" t="s">
        <v>68</v>
      </c>
      <c r="AR8" s="125" t="str">
        <f>'Standard Vorgaben'!$B$40</f>
        <v>28+ mm</v>
      </c>
      <c r="AS8" s="116">
        <f>AT8/B5</f>
        <v>6.8249526044958007</v>
      </c>
      <c r="AT8" s="202">
        <f>AW8*AT12</f>
        <v>6483.7049742710105</v>
      </c>
      <c r="AU8" s="759">
        <f>'Standard Vorgaben'!B41</f>
        <v>7.09</v>
      </c>
      <c r="AV8" s="61">
        <f>AT8*AU8</f>
        <v>45969.468267581462</v>
      </c>
      <c r="AW8" s="92">
        <f>'Standard Vorgaben'!B71</f>
        <v>0.45</v>
      </c>
      <c r="AX8" s="23" t="s">
        <v>68</v>
      </c>
      <c r="AY8" s="125" t="str">
        <f>'Standard Vorgaben'!$B$40</f>
        <v>28+ mm</v>
      </c>
      <c r="AZ8" s="116">
        <f>BA8/B5</f>
        <v>6.8249526044958007</v>
      </c>
      <c r="BA8" s="202">
        <f>BD8*BA12</f>
        <v>6483.7049742710105</v>
      </c>
      <c r="BB8" s="759">
        <f>'Standard Vorgaben'!B41</f>
        <v>7.09</v>
      </c>
      <c r="BC8" s="61">
        <f>BA8*BB8</f>
        <v>45969.468267581462</v>
      </c>
      <c r="BD8" s="92">
        <f>'Standard Vorgaben'!B72</f>
        <v>0.45</v>
      </c>
      <c r="BE8" s="23" t="s">
        <v>68</v>
      </c>
      <c r="BF8" s="125" t="str">
        <f>'Standard Vorgaben'!$B$40</f>
        <v>28+ mm</v>
      </c>
      <c r="BG8" s="116">
        <f>BH8/B5</f>
        <v>6.8249526044958007</v>
      </c>
      <c r="BH8" s="202">
        <f>BK8*BH12</f>
        <v>6483.7049742710105</v>
      </c>
      <c r="BI8" s="759">
        <f>'Standard Vorgaben'!B41</f>
        <v>7.09</v>
      </c>
      <c r="BJ8" s="61">
        <f>BH8*BI8</f>
        <v>45969.468267581462</v>
      </c>
      <c r="BK8" s="92">
        <f>'Standard Vorgaben'!B73</f>
        <v>0.45</v>
      </c>
      <c r="BL8" s="23" t="s">
        <v>68</v>
      </c>
      <c r="BM8" s="125" t="str">
        <f>'Standard Vorgaben'!$B$40</f>
        <v>28+ mm</v>
      </c>
      <c r="BN8" s="116">
        <f>BO8/B5</f>
        <v>6.8249526044958007</v>
      </c>
      <c r="BO8" s="202">
        <f>BR8*BO12</f>
        <v>6483.7049742710105</v>
      </c>
      <c r="BP8" s="759">
        <f>'Standard Vorgaben'!B41</f>
        <v>7.09</v>
      </c>
      <c r="BQ8" s="61">
        <f>BO8*BP8</f>
        <v>45969.468267581462</v>
      </c>
      <c r="BR8" s="92">
        <f>'Standard Vorgaben'!B74</f>
        <v>0.45</v>
      </c>
      <c r="BS8" s="23" t="s">
        <v>68</v>
      </c>
      <c r="BT8" s="125" t="str">
        <f>'Standard Vorgaben'!$B$40</f>
        <v>28+ mm</v>
      </c>
      <c r="BU8" s="116">
        <f>BV8/B5</f>
        <v>6.3374559898889578</v>
      </c>
      <c r="BV8" s="202">
        <f>BY8*BV12</f>
        <v>6020.58319039451</v>
      </c>
      <c r="BW8" s="759">
        <f>'Standard Vorgaben'!B41</f>
        <v>7.09</v>
      </c>
      <c r="BX8" s="61">
        <f>BV8*BW8</f>
        <v>42685.934819897077</v>
      </c>
      <c r="BY8" s="92">
        <f>'Standard Vorgaben'!B75</f>
        <v>0.45</v>
      </c>
      <c r="BZ8" s="23" t="s">
        <v>68</v>
      </c>
      <c r="CA8" s="125" t="str">
        <f>'Standard Vorgaben'!$B$40</f>
        <v>28+ mm</v>
      </c>
      <c r="CB8" s="116">
        <f>CC8/B5</f>
        <v>6.3374559898889578</v>
      </c>
      <c r="CC8" s="202">
        <f>CF8*CC12</f>
        <v>6020.58319039451</v>
      </c>
      <c r="CD8" s="759">
        <f>'Standard Vorgaben'!B41</f>
        <v>7.09</v>
      </c>
      <c r="CE8" s="61">
        <f>CC8*CD8</f>
        <v>42685.934819897077</v>
      </c>
      <c r="CF8" s="92">
        <f>'Standard Vorgaben'!B76</f>
        <v>0.45</v>
      </c>
      <c r="CG8" s="23" t="s">
        <v>68</v>
      </c>
      <c r="CH8" s="125" t="str">
        <f>'Standard Vorgaben'!$B$40</f>
        <v>28+ mm</v>
      </c>
      <c r="CI8" s="116">
        <f>CJ8/B5</f>
        <v>6.3374559898889578</v>
      </c>
      <c r="CJ8" s="202">
        <f>CM8*CJ12</f>
        <v>6020.58319039451</v>
      </c>
      <c r="CK8" s="759">
        <f>'Standard Vorgaben'!B41</f>
        <v>7.09</v>
      </c>
      <c r="CL8" s="61">
        <f>CJ8*CK8</f>
        <v>42685.934819897077</v>
      </c>
      <c r="CM8" s="92">
        <f>'Standard Vorgaben'!B77</f>
        <v>0.45</v>
      </c>
      <c r="CN8" s="23" t="s">
        <v>68</v>
      </c>
      <c r="CO8" s="125" t="str">
        <f>'Standard Vorgaben'!$B$40</f>
        <v>28+ mm</v>
      </c>
      <c r="CP8" s="116">
        <f>CQ8/B5</f>
        <v>6.3374559898889578</v>
      </c>
      <c r="CQ8" s="202">
        <f>CT8*CQ12</f>
        <v>6020.58319039451</v>
      </c>
      <c r="CR8" s="759">
        <f>'Standard Vorgaben'!B41</f>
        <v>7.09</v>
      </c>
      <c r="CS8" s="61">
        <f>CQ8*CR8</f>
        <v>42685.934819897077</v>
      </c>
      <c r="CT8" s="92">
        <f>'Standard Vorgaben'!B78</f>
        <v>0.45</v>
      </c>
      <c r="CU8" s="23" t="s">
        <v>68</v>
      </c>
      <c r="CV8" s="125" t="str">
        <f>'Standard Vorgaben'!$B$40</f>
        <v>28+ mm</v>
      </c>
      <c r="CW8" s="116">
        <f>CX8/B5</f>
        <v>5.8499593752821157</v>
      </c>
      <c r="CX8" s="202">
        <f>DA8*CX12</f>
        <v>5557.4614065180103</v>
      </c>
      <c r="CY8" s="759">
        <f>'Standard Vorgaben'!B41</f>
        <v>7.09</v>
      </c>
      <c r="CZ8" s="61">
        <f>CX8*CY8</f>
        <v>39402.401372212691</v>
      </c>
      <c r="DA8" s="92">
        <f>'Standard Vorgaben'!B79</f>
        <v>0.45</v>
      </c>
      <c r="DB8" s="23" t="s">
        <v>68</v>
      </c>
      <c r="DC8" s="125" t="str">
        <f>'Standard Vorgaben'!$B$40</f>
        <v>28+ mm</v>
      </c>
      <c r="DD8" s="116">
        <f>DE8/B5</f>
        <v>5.3624627606752728</v>
      </c>
      <c r="DE8" s="202">
        <f>DH8*DE12</f>
        <v>5094.3396226415089</v>
      </c>
      <c r="DF8" s="759">
        <f>'Standard Vorgaben'!B41</f>
        <v>7.09</v>
      </c>
      <c r="DG8" s="61">
        <f>DE8*DF8</f>
        <v>36118.867924528298</v>
      </c>
      <c r="DH8" s="92">
        <f>'Standard Vorgaben'!B80</f>
        <v>0.45</v>
      </c>
    </row>
    <row r="9" spans="1:112" ht="15.75" customHeight="1" x14ac:dyDescent="0.3">
      <c r="A9" s="23"/>
      <c r="B9" s="107" t="str">
        <f>'Standard Vorgaben'!$C$40</f>
        <v>24+ mm</v>
      </c>
      <c r="C9" s="116">
        <f>D9/B5</f>
        <v>0</v>
      </c>
      <c r="D9" s="202">
        <f>G9*D12</f>
        <v>0</v>
      </c>
      <c r="E9" s="759">
        <f>'Standard Vorgaben'!C41</f>
        <v>5.59</v>
      </c>
      <c r="F9" s="61">
        <f>D9*E9</f>
        <v>0</v>
      </c>
      <c r="G9" s="92">
        <f>'Standard Vorgaben'!C65</f>
        <v>0.48</v>
      </c>
      <c r="H9" s="23"/>
      <c r="I9" s="107" t="str">
        <f>'Standard Vorgaben'!$C$40</f>
        <v>24+ mm</v>
      </c>
      <c r="J9" s="116">
        <f>K9/B5</f>
        <v>0</v>
      </c>
      <c r="K9" s="202">
        <f>N9*K12</f>
        <v>0</v>
      </c>
      <c r="L9" s="759">
        <f>'Standard Vorgaben'!C41</f>
        <v>5.59</v>
      </c>
      <c r="M9" s="61">
        <f>K9*L9</f>
        <v>0</v>
      </c>
      <c r="N9" s="92">
        <f>'Standard Vorgaben'!C66</f>
        <v>0.48</v>
      </c>
      <c r="O9" s="23"/>
      <c r="P9" s="107" t="str">
        <f>'Standard Vorgaben'!$C$40</f>
        <v>24+ mm</v>
      </c>
      <c r="Q9" s="116">
        <f>R9/B5</f>
        <v>0.51999638891396582</v>
      </c>
      <c r="R9" s="202">
        <f>U9*R12</f>
        <v>493.99656946826752</v>
      </c>
      <c r="S9" s="759">
        <f>'Standard Vorgaben'!C41</f>
        <v>5.59</v>
      </c>
      <c r="T9" s="61">
        <f>R9*S9</f>
        <v>2761.4408233276154</v>
      </c>
      <c r="U9" s="92">
        <f>'Standard Vorgaben'!C67</f>
        <v>0.48</v>
      </c>
      <c r="V9" s="23"/>
      <c r="W9" s="107" t="str">
        <f>'Standard Vorgaben'!$C$40</f>
        <v>24+ mm</v>
      </c>
      <c r="X9" s="116">
        <f>Y9/B5</f>
        <v>2.0799855556558633</v>
      </c>
      <c r="Y9" s="202">
        <f>AB9*Y12</f>
        <v>1975.9862778730701</v>
      </c>
      <c r="Z9" s="759">
        <f>'Standard Vorgaben'!C41</f>
        <v>5.59</v>
      </c>
      <c r="AA9" s="61">
        <f>Y9*Z9</f>
        <v>11045.763293310461</v>
      </c>
      <c r="AB9" s="92">
        <f>'Standard Vorgaben'!C68</f>
        <v>0.48</v>
      </c>
      <c r="AC9" s="23"/>
      <c r="AD9" s="107" t="str">
        <f>'Standard Vorgaben'!$C$40</f>
        <v>24+ mm</v>
      </c>
      <c r="AE9" s="116">
        <f>AF9/B5</f>
        <v>4.6695675724474119</v>
      </c>
      <c r="AF9" s="202">
        <f>AI9*AF12</f>
        <v>4436.0891938250415</v>
      </c>
      <c r="AG9" s="759">
        <f>'Standard Vorgaben'!C41</f>
        <v>5.59</v>
      </c>
      <c r="AH9" s="61">
        <f>AF9*AG9</f>
        <v>24797.738593481983</v>
      </c>
      <c r="AI9" s="92">
        <f>'Standard Vorgaben'!C69</f>
        <v>0.48</v>
      </c>
      <c r="AJ9" s="23"/>
      <c r="AK9" s="107" t="str">
        <f>'Standard Vorgaben'!$C$40</f>
        <v>24+ mm</v>
      </c>
      <c r="AL9" s="116">
        <f>AM9/B5</f>
        <v>6.0319581114020027</v>
      </c>
      <c r="AM9" s="202">
        <f>AP9*AM12</f>
        <v>5730.3602058319029</v>
      </c>
      <c r="AN9" s="759">
        <f>'Standard Vorgaben'!C41</f>
        <v>5.59</v>
      </c>
      <c r="AO9" s="61">
        <f>AM9*AN9</f>
        <v>32032.713550600336</v>
      </c>
      <c r="AP9" s="92">
        <f>'Standard Vorgaben'!C70</f>
        <v>0.48</v>
      </c>
      <c r="AQ9" s="23"/>
      <c r="AR9" s="107" t="str">
        <f>'Standard Vorgaben'!$C$40</f>
        <v>24+ mm</v>
      </c>
      <c r="AS9" s="116">
        <f>AT9/B5</f>
        <v>7.2799494447955206</v>
      </c>
      <c r="AT9" s="202">
        <f>AW9*AT12</f>
        <v>6915.9519725557448</v>
      </c>
      <c r="AU9" s="759">
        <f>'Standard Vorgaben'!C41</f>
        <v>5.59</v>
      </c>
      <c r="AV9" s="61">
        <f>AT9*AU9</f>
        <v>38660.171526586615</v>
      </c>
      <c r="AW9" s="92">
        <f>'Standard Vorgaben'!C71</f>
        <v>0.48</v>
      </c>
      <c r="AX9" s="23"/>
      <c r="AY9" s="107" t="str">
        <f>'Standard Vorgaben'!$C$40</f>
        <v>24+ mm</v>
      </c>
      <c r="AZ9" s="116">
        <f>BA9/B5</f>
        <v>7.2799494447955206</v>
      </c>
      <c r="BA9" s="202">
        <f>BD9*BA12</f>
        <v>6915.9519725557448</v>
      </c>
      <c r="BB9" s="759">
        <f>'Standard Vorgaben'!C41</f>
        <v>5.59</v>
      </c>
      <c r="BC9" s="61">
        <f>BA9*BB9</f>
        <v>38660.171526586615</v>
      </c>
      <c r="BD9" s="92">
        <f>'Standard Vorgaben'!C72</f>
        <v>0.48</v>
      </c>
      <c r="BE9" s="23"/>
      <c r="BF9" s="107" t="str">
        <f>'Standard Vorgaben'!$C$40</f>
        <v>24+ mm</v>
      </c>
      <c r="BG9" s="116">
        <f>BH9/B5</f>
        <v>7.2799494447955206</v>
      </c>
      <c r="BH9" s="202">
        <f>BK9*BH12</f>
        <v>6915.9519725557448</v>
      </c>
      <c r="BI9" s="759">
        <f>'Standard Vorgaben'!C41</f>
        <v>5.59</v>
      </c>
      <c r="BJ9" s="61">
        <f>BH9*BI9</f>
        <v>38660.171526586615</v>
      </c>
      <c r="BK9" s="92">
        <f>'Standard Vorgaben'!C73</f>
        <v>0.48</v>
      </c>
      <c r="BL9" s="23"/>
      <c r="BM9" s="107" t="str">
        <f>'Standard Vorgaben'!$C$40</f>
        <v>24+ mm</v>
      </c>
      <c r="BN9" s="116">
        <f>BO9/B5</f>
        <v>7.2799494447955206</v>
      </c>
      <c r="BO9" s="202">
        <f>BR9*BO12</f>
        <v>6915.9519725557448</v>
      </c>
      <c r="BP9" s="759">
        <f>'Standard Vorgaben'!C41</f>
        <v>5.59</v>
      </c>
      <c r="BQ9" s="61">
        <f>BO9*BP9</f>
        <v>38660.171526586615</v>
      </c>
      <c r="BR9" s="92">
        <f>'Standard Vorgaben'!C74</f>
        <v>0.48</v>
      </c>
      <c r="BS9" s="23"/>
      <c r="BT9" s="107" t="str">
        <f>'Standard Vorgaben'!$C$40</f>
        <v>24+ mm</v>
      </c>
      <c r="BU9" s="116">
        <f>BV9/B5</f>
        <v>6.7599530558815548</v>
      </c>
      <c r="BV9" s="202">
        <f>BY9*BV12</f>
        <v>6421.955403087477</v>
      </c>
      <c r="BW9" s="759">
        <f>'Standard Vorgaben'!C41</f>
        <v>5.59</v>
      </c>
      <c r="BX9" s="61">
        <f>BV9*BW9</f>
        <v>35898.730703258996</v>
      </c>
      <c r="BY9" s="92">
        <f>'Standard Vorgaben'!C75</f>
        <v>0.48</v>
      </c>
      <c r="BZ9" s="23"/>
      <c r="CA9" s="107" t="str">
        <f>'Standard Vorgaben'!$C$40</f>
        <v>24+ mm</v>
      </c>
      <c r="CB9" s="116">
        <f>CC9/B5</f>
        <v>6.7599530558815548</v>
      </c>
      <c r="CC9" s="202">
        <f>CF9*CC12</f>
        <v>6421.955403087477</v>
      </c>
      <c r="CD9" s="759">
        <f>'Standard Vorgaben'!C41</f>
        <v>5.59</v>
      </c>
      <c r="CE9" s="61">
        <f>CC9*CD9</f>
        <v>35898.730703258996</v>
      </c>
      <c r="CF9" s="92">
        <f>'Standard Vorgaben'!C76</f>
        <v>0.48</v>
      </c>
      <c r="CG9" s="23"/>
      <c r="CH9" s="107" t="str">
        <f>'Standard Vorgaben'!$C$40</f>
        <v>24+ mm</v>
      </c>
      <c r="CI9" s="116">
        <f>CJ9/B5</f>
        <v>6.7599530558815548</v>
      </c>
      <c r="CJ9" s="202">
        <f>CM9*CJ12</f>
        <v>6421.955403087477</v>
      </c>
      <c r="CK9" s="759">
        <f>'Standard Vorgaben'!C41</f>
        <v>5.59</v>
      </c>
      <c r="CL9" s="61">
        <f>CJ9*CK9</f>
        <v>35898.730703258996</v>
      </c>
      <c r="CM9" s="92">
        <f>'Standard Vorgaben'!C77</f>
        <v>0.48</v>
      </c>
      <c r="CN9" s="23"/>
      <c r="CO9" s="107" t="str">
        <f>'Standard Vorgaben'!$C$40</f>
        <v>24+ mm</v>
      </c>
      <c r="CP9" s="116">
        <f>CQ9/B5</f>
        <v>6.7599530558815548</v>
      </c>
      <c r="CQ9" s="202">
        <f>CT9*CQ12</f>
        <v>6421.955403087477</v>
      </c>
      <c r="CR9" s="759">
        <f>'Standard Vorgaben'!C41</f>
        <v>5.59</v>
      </c>
      <c r="CS9" s="61">
        <f>CQ9*CR9</f>
        <v>35898.730703258996</v>
      </c>
      <c r="CT9" s="92">
        <f>'Standard Vorgaben'!C78</f>
        <v>0.48</v>
      </c>
      <c r="CU9" s="23"/>
      <c r="CV9" s="107" t="str">
        <f>'Standard Vorgaben'!$C$40</f>
        <v>24+ mm</v>
      </c>
      <c r="CW9" s="116">
        <f>CX9/B5</f>
        <v>6.2399566669675899</v>
      </c>
      <c r="CX9" s="202">
        <f>DA9*CX12</f>
        <v>5927.9588336192101</v>
      </c>
      <c r="CY9" s="759">
        <f>'Standard Vorgaben'!C41</f>
        <v>5.59</v>
      </c>
      <c r="CZ9" s="61">
        <f>CX9*CY9</f>
        <v>33137.289879931384</v>
      </c>
      <c r="DA9" s="92">
        <f>'Standard Vorgaben'!C79</f>
        <v>0.48</v>
      </c>
      <c r="DB9" s="23"/>
      <c r="DC9" s="107" t="str">
        <f>'Standard Vorgaben'!$C$40</f>
        <v>24+ mm</v>
      </c>
      <c r="DD9" s="116">
        <f>DE9/B5</f>
        <v>5.7199602780536241</v>
      </c>
      <c r="DE9" s="202">
        <f>DH9*DE12</f>
        <v>5433.9622641509432</v>
      </c>
      <c r="DF9" s="759">
        <f>'Standard Vorgaben'!C41</f>
        <v>5.59</v>
      </c>
      <c r="DG9" s="61">
        <f>DE9*DF9</f>
        <v>30375.849056603773</v>
      </c>
      <c r="DH9" s="92">
        <f>'Standard Vorgaben'!C80</f>
        <v>0.48</v>
      </c>
    </row>
    <row r="10" spans="1:112" ht="13.75" customHeight="1" x14ac:dyDescent="0.3">
      <c r="A10" s="23"/>
      <c r="B10" s="107" t="str">
        <f>'Standard Vorgaben'!$D$40</f>
        <v xml:space="preserve"> 22+ mm</v>
      </c>
      <c r="C10" s="116">
        <f>D10/B5</f>
        <v>0</v>
      </c>
      <c r="D10" s="202">
        <f>G10*D12</f>
        <v>0</v>
      </c>
      <c r="E10" s="759">
        <f>'Standard Vorgaben'!D41</f>
        <v>4</v>
      </c>
      <c r="F10" s="61">
        <f>D10*E10</f>
        <v>0</v>
      </c>
      <c r="G10" s="92">
        <f>'Standard Vorgaben'!D65</f>
        <v>0</v>
      </c>
      <c r="H10" s="23"/>
      <c r="I10" s="107" t="str">
        <f>'Standard Vorgaben'!$D$40</f>
        <v xml:space="preserve"> 22+ mm</v>
      </c>
      <c r="J10" s="116">
        <f>K10/B5</f>
        <v>0</v>
      </c>
      <c r="K10" s="202">
        <f>N10*K12</f>
        <v>0</v>
      </c>
      <c r="L10" s="759">
        <f>'Standard Vorgaben'!D41</f>
        <v>4</v>
      </c>
      <c r="M10" s="61">
        <f>K10*L10</f>
        <v>0</v>
      </c>
      <c r="N10" s="92">
        <f>'Standard Vorgaben'!D66</f>
        <v>0</v>
      </c>
      <c r="O10" s="23"/>
      <c r="P10" s="107" t="str">
        <f>'Standard Vorgaben'!$D$40</f>
        <v xml:space="preserve"> 22+ mm</v>
      </c>
      <c r="Q10" s="116">
        <f>R10/B5</f>
        <v>0</v>
      </c>
      <c r="R10" s="202">
        <f>U10*R12</f>
        <v>0</v>
      </c>
      <c r="S10" s="759">
        <f>'Standard Vorgaben'!D41</f>
        <v>4</v>
      </c>
      <c r="T10" s="61">
        <f>R10*S10</f>
        <v>0</v>
      </c>
      <c r="U10" s="92">
        <f>'Standard Vorgaben'!D67</f>
        <v>0</v>
      </c>
      <c r="V10" s="23"/>
      <c r="W10" s="107" t="str">
        <f>'Standard Vorgaben'!$D$40</f>
        <v xml:space="preserve"> 22+ mm</v>
      </c>
      <c r="X10" s="116">
        <f>Y10/B5</f>
        <v>0</v>
      </c>
      <c r="Y10" s="202">
        <f>AB10*Y12</f>
        <v>0</v>
      </c>
      <c r="Z10" s="759">
        <f>'Standard Vorgaben'!D41</f>
        <v>4</v>
      </c>
      <c r="AA10" s="61">
        <f>Y10*Z10</f>
        <v>0</v>
      </c>
      <c r="AB10" s="92">
        <f>'Standard Vorgaben'!D68</f>
        <v>0</v>
      </c>
      <c r="AC10" s="23"/>
      <c r="AD10" s="107" t="str">
        <f>'Standard Vorgaben'!$D$40</f>
        <v xml:space="preserve"> 22+ mm</v>
      </c>
      <c r="AE10" s="116">
        <f>AF10/B5</f>
        <v>0</v>
      </c>
      <c r="AF10" s="202">
        <f>AI10*AF12</f>
        <v>0</v>
      </c>
      <c r="AG10" s="759">
        <f>'Standard Vorgaben'!D41</f>
        <v>4</v>
      </c>
      <c r="AH10" s="61">
        <f>AF10*AG10</f>
        <v>0</v>
      </c>
      <c r="AI10" s="92">
        <f>'Standard Vorgaben'!D69</f>
        <v>0</v>
      </c>
      <c r="AJ10" s="23"/>
      <c r="AK10" s="107" t="str">
        <f>'Standard Vorgaben'!$D$40</f>
        <v xml:space="preserve"> 22+ mm</v>
      </c>
      <c r="AL10" s="116">
        <f>AM10/B5</f>
        <v>0</v>
      </c>
      <c r="AM10" s="202">
        <f>AP10*AM12</f>
        <v>0</v>
      </c>
      <c r="AN10" s="759">
        <f>'Standard Vorgaben'!D41</f>
        <v>4</v>
      </c>
      <c r="AO10" s="61">
        <f>AM10*AN10</f>
        <v>0</v>
      </c>
      <c r="AP10" s="92">
        <f>'Standard Vorgaben'!D70</f>
        <v>0</v>
      </c>
      <c r="AQ10" s="23"/>
      <c r="AR10" s="107" t="str">
        <f>'Standard Vorgaben'!$D$40</f>
        <v xml:space="preserve"> 22+ mm</v>
      </c>
      <c r="AS10" s="116">
        <f>AT10/B5</f>
        <v>0</v>
      </c>
      <c r="AT10" s="202">
        <f>AW10*AT12</f>
        <v>0</v>
      </c>
      <c r="AU10" s="759">
        <f>'Standard Vorgaben'!D41</f>
        <v>4</v>
      </c>
      <c r="AV10" s="61">
        <f>AT10*AU10</f>
        <v>0</v>
      </c>
      <c r="AW10" s="92">
        <f>'Standard Vorgaben'!D71</f>
        <v>0</v>
      </c>
      <c r="AX10" s="23"/>
      <c r="AY10" s="107" t="str">
        <f>'Standard Vorgaben'!$D$40</f>
        <v xml:space="preserve"> 22+ mm</v>
      </c>
      <c r="AZ10" s="116">
        <f>BA10/B5</f>
        <v>0</v>
      </c>
      <c r="BA10" s="202">
        <f>BD10*BA12</f>
        <v>0</v>
      </c>
      <c r="BB10" s="759">
        <f>'Standard Vorgaben'!D41</f>
        <v>4</v>
      </c>
      <c r="BC10" s="61">
        <f>BA10*BB10</f>
        <v>0</v>
      </c>
      <c r="BD10" s="92">
        <f>'Standard Vorgaben'!D72</f>
        <v>0</v>
      </c>
      <c r="BE10" s="23"/>
      <c r="BF10" s="107" t="str">
        <f>'Standard Vorgaben'!$D$40</f>
        <v xml:space="preserve"> 22+ mm</v>
      </c>
      <c r="BG10" s="116">
        <f>BH10/B5</f>
        <v>0</v>
      </c>
      <c r="BH10" s="202">
        <f>BK10*BH12</f>
        <v>0</v>
      </c>
      <c r="BI10" s="759">
        <f>'Standard Vorgaben'!D41</f>
        <v>4</v>
      </c>
      <c r="BJ10" s="61">
        <f>BH10*BI10</f>
        <v>0</v>
      </c>
      <c r="BK10" s="92">
        <f>'Standard Vorgaben'!D73</f>
        <v>0</v>
      </c>
      <c r="BL10" s="23"/>
      <c r="BM10" s="107" t="str">
        <f>'Standard Vorgaben'!$D$40</f>
        <v xml:space="preserve"> 22+ mm</v>
      </c>
      <c r="BN10" s="116">
        <f>BO10/B5</f>
        <v>0</v>
      </c>
      <c r="BO10" s="202">
        <f>BR10*BO12</f>
        <v>0</v>
      </c>
      <c r="BP10" s="759">
        <f>'Standard Vorgaben'!D41</f>
        <v>4</v>
      </c>
      <c r="BQ10" s="61">
        <f>BO10*BP10</f>
        <v>0</v>
      </c>
      <c r="BR10" s="92">
        <f>'Standard Vorgaben'!D74</f>
        <v>0</v>
      </c>
      <c r="BS10" s="23"/>
      <c r="BT10" s="107" t="str">
        <f>'Standard Vorgaben'!$D$40</f>
        <v xml:space="preserve"> 22+ mm</v>
      </c>
      <c r="BU10" s="116">
        <f>BV10/B5</f>
        <v>0</v>
      </c>
      <c r="BV10" s="202">
        <f>BY10*BV12</f>
        <v>0</v>
      </c>
      <c r="BW10" s="759">
        <f>'Standard Vorgaben'!D41</f>
        <v>4</v>
      </c>
      <c r="BX10" s="61">
        <f>BV10*BW10</f>
        <v>0</v>
      </c>
      <c r="BY10" s="92">
        <f>'Standard Vorgaben'!D75</f>
        <v>0</v>
      </c>
      <c r="BZ10" s="23"/>
      <c r="CA10" s="107" t="str">
        <f>'Standard Vorgaben'!$D$40</f>
        <v xml:space="preserve"> 22+ mm</v>
      </c>
      <c r="CB10" s="116">
        <f>CC10/B5</f>
        <v>0</v>
      </c>
      <c r="CC10" s="202">
        <f>CF10*CC12</f>
        <v>0</v>
      </c>
      <c r="CD10" s="759">
        <f>'Standard Vorgaben'!D41</f>
        <v>4</v>
      </c>
      <c r="CE10" s="61">
        <f>CC10*CD10</f>
        <v>0</v>
      </c>
      <c r="CF10" s="92">
        <f>'Standard Vorgaben'!D76</f>
        <v>0</v>
      </c>
      <c r="CG10" s="23"/>
      <c r="CH10" s="107" t="str">
        <f>'Standard Vorgaben'!$D$40</f>
        <v xml:space="preserve"> 22+ mm</v>
      </c>
      <c r="CI10" s="116">
        <f>CJ10/B5</f>
        <v>0</v>
      </c>
      <c r="CJ10" s="202">
        <f>CM10*CJ12</f>
        <v>0</v>
      </c>
      <c r="CK10" s="759">
        <f>'Standard Vorgaben'!D41</f>
        <v>4</v>
      </c>
      <c r="CL10" s="61">
        <f>CJ10*CK10</f>
        <v>0</v>
      </c>
      <c r="CM10" s="92">
        <f>'Standard Vorgaben'!D77</f>
        <v>0</v>
      </c>
      <c r="CN10" s="23"/>
      <c r="CO10" s="107" t="str">
        <f>'Standard Vorgaben'!$D$40</f>
        <v xml:space="preserve"> 22+ mm</v>
      </c>
      <c r="CP10" s="116">
        <f>CQ10/B5</f>
        <v>0</v>
      </c>
      <c r="CQ10" s="202">
        <f>CT10*CQ12</f>
        <v>0</v>
      </c>
      <c r="CR10" s="759">
        <f>'Standard Vorgaben'!D41</f>
        <v>4</v>
      </c>
      <c r="CS10" s="61">
        <f>CQ10*CR10</f>
        <v>0</v>
      </c>
      <c r="CT10" s="92">
        <f>'Standard Vorgaben'!D78</f>
        <v>0</v>
      </c>
      <c r="CU10" s="23"/>
      <c r="CV10" s="107" t="str">
        <f>'Standard Vorgaben'!$D$40</f>
        <v xml:space="preserve"> 22+ mm</v>
      </c>
      <c r="CW10" s="116">
        <f>CX10/B5</f>
        <v>0</v>
      </c>
      <c r="CX10" s="202">
        <f>DA10*CX12</f>
        <v>0</v>
      </c>
      <c r="CY10" s="759">
        <f>'Standard Vorgaben'!D41</f>
        <v>4</v>
      </c>
      <c r="CZ10" s="61">
        <f>CX10*CY10</f>
        <v>0</v>
      </c>
      <c r="DA10" s="92">
        <f>'Standard Vorgaben'!D79</f>
        <v>0</v>
      </c>
      <c r="DB10" s="23"/>
      <c r="DC10" s="107" t="str">
        <f>'Standard Vorgaben'!$D$40</f>
        <v xml:space="preserve"> 22+ mm</v>
      </c>
      <c r="DD10" s="116">
        <f>DE10/B5</f>
        <v>0</v>
      </c>
      <c r="DE10" s="202">
        <f>DH10*DE12</f>
        <v>0</v>
      </c>
      <c r="DF10" s="759">
        <f>'Standard Vorgaben'!D41</f>
        <v>4</v>
      </c>
      <c r="DG10" s="61">
        <f>DE10*DF10</f>
        <v>0</v>
      </c>
      <c r="DH10" s="92">
        <f>'Standard Vorgaben'!D80</f>
        <v>0</v>
      </c>
    </row>
    <row r="11" spans="1:112" ht="13.75" customHeight="1" thickBot="1" x14ac:dyDescent="0.35">
      <c r="A11" s="23"/>
      <c r="B11" s="107" t="str">
        <f>'Standard Vorgaben'!$E$40</f>
        <v xml:space="preserve"> Abgang</v>
      </c>
      <c r="C11" s="671">
        <f>D11/B5</f>
        <v>0</v>
      </c>
      <c r="D11" s="672">
        <f>G11*D13</f>
        <v>0</v>
      </c>
      <c r="E11" s="760">
        <f>'Standard Vorgaben'!E41</f>
        <v>0</v>
      </c>
      <c r="F11" s="208">
        <f>D11*E11</f>
        <v>0</v>
      </c>
      <c r="G11" s="761">
        <f>'Standard Vorgaben'!E65</f>
        <v>7.0000000000000007E-2</v>
      </c>
      <c r="H11" s="23"/>
      <c r="I11" s="107" t="str">
        <f>'Standard Vorgaben'!$E$40</f>
        <v xml:space="preserve"> Abgang</v>
      </c>
      <c r="J11" s="671">
        <f>K11/B5</f>
        <v>0</v>
      </c>
      <c r="K11" s="672">
        <f>N11*K12</f>
        <v>0</v>
      </c>
      <c r="L11" s="760">
        <f>'Standard Vorgaben'!E41</f>
        <v>0</v>
      </c>
      <c r="M11" s="208">
        <f>K11*L11</f>
        <v>0</v>
      </c>
      <c r="N11" s="761">
        <f>'Standard Vorgaben'!E66</f>
        <v>7.0000000000000007E-2</v>
      </c>
      <c r="O11" s="23"/>
      <c r="P11" s="107" t="str">
        <f>'Standard Vorgaben'!$E$40</f>
        <v xml:space="preserve"> Abgang</v>
      </c>
      <c r="Q11" s="671">
        <f>R11/B5</f>
        <v>7.583280671662003E-2</v>
      </c>
      <c r="R11" s="672">
        <f>U11*R12</f>
        <v>72.041166380789022</v>
      </c>
      <c r="S11" s="760">
        <f>'Standard Vorgaben'!E41</f>
        <v>0</v>
      </c>
      <c r="T11" s="208">
        <f>R11*S11</f>
        <v>0</v>
      </c>
      <c r="U11" s="761">
        <f>'Standard Vorgaben'!E67</f>
        <v>7.0000000000000007E-2</v>
      </c>
      <c r="V11" s="23"/>
      <c r="W11" s="107" t="str">
        <f>'Standard Vorgaben'!$E$40</f>
        <v xml:space="preserve"> Abgang</v>
      </c>
      <c r="X11" s="671">
        <f>Y11/B5</f>
        <v>0.30333122686648012</v>
      </c>
      <c r="Y11" s="672">
        <f>AB11*Y12</f>
        <v>288.16466552315609</v>
      </c>
      <c r="Z11" s="760">
        <f>'Standard Vorgaben'!E41</f>
        <v>0</v>
      </c>
      <c r="AA11" s="208">
        <f>Y11*Z11</f>
        <v>0</v>
      </c>
      <c r="AB11" s="761">
        <f>'Standard Vorgaben'!E68</f>
        <v>7.0000000000000007E-2</v>
      </c>
      <c r="AC11" s="23"/>
      <c r="AD11" s="107" t="str">
        <f>'Standard Vorgaben'!$E$40</f>
        <v xml:space="preserve"> Abgang</v>
      </c>
      <c r="AE11" s="671">
        <f>AF11/B5</f>
        <v>0.6809786043152477</v>
      </c>
      <c r="AF11" s="672">
        <f>AI11*AF12</f>
        <v>646.92967409948528</v>
      </c>
      <c r="AG11" s="760">
        <f>'Standard Vorgaben'!E41</f>
        <v>0</v>
      </c>
      <c r="AH11" s="208">
        <f>AF11*AG11</f>
        <v>0</v>
      </c>
      <c r="AI11" s="761">
        <f>'Standard Vorgaben'!E69</f>
        <v>7.0000000000000007E-2</v>
      </c>
      <c r="AJ11" s="23"/>
      <c r="AK11" s="107" t="str">
        <f>'Standard Vorgaben'!$E$40</f>
        <v xml:space="preserve"> Abgang</v>
      </c>
      <c r="AL11" s="671">
        <f>AM11/B5</f>
        <v>0.8796605579127923</v>
      </c>
      <c r="AM11" s="672">
        <f>AP11*AM12</f>
        <v>835.67753001715266</v>
      </c>
      <c r="AN11" s="760">
        <f>'Standard Vorgaben'!E41</f>
        <v>0</v>
      </c>
      <c r="AO11" s="208">
        <f>AM11*AN11</f>
        <v>0</v>
      </c>
      <c r="AP11" s="761">
        <f>'Standard Vorgaben'!E70</f>
        <v>7.0000000000000007E-2</v>
      </c>
      <c r="AQ11" s="23"/>
      <c r="AR11" s="107" t="str">
        <f>'Standard Vorgaben'!$E$40</f>
        <v xml:space="preserve"> Abgang</v>
      </c>
      <c r="AS11" s="671">
        <f>AT11/B5</f>
        <v>1.0616592940326801</v>
      </c>
      <c r="AT11" s="672">
        <f>AW11*AT12</f>
        <v>1008.5763293310462</v>
      </c>
      <c r="AU11" s="760">
        <f>'Standard Vorgaben'!E41</f>
        <v>0</v>
      </c>
      <c r="AV11" s="208">
        <f>AT11*AU11</f>
        <v>0</v>
      </c>
      <c r="AW11" s="761">
        <f>'Standard Vorgaben'!E71</f>
        <v>7.0000000000000007E-2</v>
      </c>
      <c r="AX11" s="23"/>
      <c r="AY11" s="107" t="str">
        <f>'Standard Vorgaben'!$E$40</f>
        <v xml:space="preserve"> Abgang</v>
      </c>
      <c r="AZ11" s="671">
        <f>BA11/B5</f>
        <v>1.0616592940326801</v>
      </c>
      <c r="BA11" s="672">
        <f>BD11*BA12</f>
        <v>1008.5763293310462</v>
      </c>
      <c r="BB11" s="760">
        <f>'Standard Vorgaben'!E41</f>
        <v>0</v>
      </c>
      <c r="BC11" s="208">
        <f>BA11*BB11</f>
        <v>0</v>
      </c>
      <c r="BD11" s="761">
        <f>'Standard Vorgaben'!E72</f>
        <v>7.0000000000000007E-2</v>
      </c>
      <c r="BE11" s="23"/>
      <c r="BF11" s="107" t="str">
        <f>'Standard Vorgaben'!$E$40</f>
        <v xml:space="preserve"> Abgang</v>
      </c>
      <c r="BG11" s="671">
        <f>BH11/B5</f>
        <v>1.0616592940326801</v>
      </c>
      <c r="BH11" s="672">
        <f>BK11*BH12</f>
        <v>1008.5763293310462</v>
      </c>
      <c r="BI11" s="760">
        <f>'Standard Vorgaben'!E41</f>
        <v>0</v>
      </c>
      <c r="BJ11" s="208">
        <f>BH11*BI11</f>
        <v>0</v>
      </c>
      <c r="BK11" s="761">
        <f>'Standard Vorgaben'!E73</f>
        <v>7.0000000000000007E-2</v>
      </c>
      <c r="BL11" s="23"/>
      <c r="BM11" s="107" t="str">
        <f>'Standard Vorgaben'!$E$40</f>
        <v xml:space="preserve"> Abgang</v>
      </c>
      <c r="BN11" s="671">
        <f>BO11/B5</f>
        <v>1.0616592940326801</v>
      </c>
      <c r="BO11" s="672">
        <f>BR11*BO12</f>
        <v>1008.5763293310462</v>
      </c>
      <c r="BP11" s="760">
        <f>'Standard Vorgaben'!E41</f>
        <v>0</v>
      </c>
      <c r="BQ11" s="208">
        <f>BO11*BP11</f>
        <v>0</v>
      </c>
      <c r="BR11" s="761">
        <f>'Standard Vorgaben'!E74</f>
        <v>7.0000000000000007E-2</v>
      </c>
      <c r="BS11" s="23"/>
      <c r="BT11" s="107" t="str">
        <f>'Standard Vorgaben'!$E$40</f>
        <v xml:space="preserve"> Abgang</v>
      </c>
      <c r="BU11" s="671">
        <f>BV11/B5</f>
        <v>0.98582648731606026</v>
      </c>
      <c r="BV11" s="672">
        <f>BY11*BV12</f>
        <v>936.53516295025725</v>
      </c>
      <c r="BW11" s="760">
        <f>'Standard Vorgaben'!E41</f>
        <v>0</v>
      </c>
      <c r="BX11" s="208">
        <f>BV11*BW11</f>
        <v>0</v>
      </c>
      <c r="BY11" s="761">
        <f>'Standard Vorgaben'!E75</f>
        <v>7.0000000000000007E-2</v>
      </c>
      <c r="BZ11" s="23"/>
      <c r="CA11" s="107" t="str">
        <f>'Standard Vorgaben'!$E$40</f>
        <v xml:space="preserve"> Abgang</v>
      </c>
      <c r="CB11" s="671">
        <f>CC11/B5</f>
        <v>0.98582648731606026</v>
      </c>
      <c r="CC11" s="672">
        <f>CF11*CC12</f>
        <v>936.53516295025725</v>
      </c>
      <c r="CD11" s="760">
        <f>'Standard Vorgaben'!E41</f>
        <v>0</v>
      </c>
      <c r="CE11" s="208">
        <f>CC11*CD11</f>
        <v>0</v>
      </c>
      <c r="CF11" s="761">
        <f>'Standard Vorgaben'!E76</f>
        <v>7.0000000000000007E-2</v>
      </c>
      <c r="CG11" s="23"/>
      <c r="CH11" s="107" t="str">
        <f>'Standard Vorgaben'!$E$40</f>
        <v xml:space="preserve"> Abgang</v>
      </c>
      <c r="CI11" s="671">
        <f>CJ11/B5</f>
        <v>0.98582648731606026</v>
      </c>
      <c r="CJ11" s="672">
        <f>CM11*CJ12</f>
        <v>936.53516295025725</v>
      </c>
      <c r="CK11" s="760">
        <f>'Standard Vorgaben'!E41</f>
        <v>0</v>
      </c>
      <c r="CL11" s="208">
        <f>CJ11*CK11</f>
        <v>0</v>
      </c>
      <c r="CM11" s="761">
        <f>'Standard Vorgaben'!E77</f>
        <v>7.0000000000000007E-2</v>
      </c>
      <c r="CN11" s="23"/>
      <c r="CO11" s="107" t="str">
        <f>'Standard Vorgaben'!$E$40</f>
        <v xml:space="preserve"> Abgang</v>
      </c>
      <c r="CP11" s="671">
        <f>CQ11/B5</f>
        <v>0.98582648731606026</v>
      </c>
      <c r="CQ11" s="672">
        <f>CT11*CQ12</f>
        <v>936.53516295025725</v>
      </c>
      <c r="CR11" s="760">
        <f>'Standard Vorgaben'!E41</f>
        <v>0</v>
      </c>
      <c r="CS11" s="208">
        <f>CQ11*CR11</f>
        <v>0</v>
      </c>
      <c r="CT11" s="761">
        <f>'Standard Vorgaben'!E78</f>
        <v>7.0000000000000007E-2</v>
      </c>
      <c r="CU11" s="23"/>
      <c r="CV11" s="107" t="str">
        <f>'Standard Vorgaben'!$E$40</f>
        <v xml:space="preserve"> Abgang</v>
      </c>
      <c r="CW11" s="671">
        <f>CX11/B5</f>
        <v>0.9099936805994403</v>
      </c>
      <c r="CX11" s="672">
        <f>DA11*CX12</f>
        <v>864.49399656946832</v>
      </c>
      <c r="CY11" s="760">
        <f>'Standard Vorgaben'!E41</f>
        <v>0</v>
      </c>
      <c r="CZ11" s="208">
        <f>CX11*CY11</f>
        <v>0</v>
      </c>
      <c r="DA11" s="761">
        <f>'Standard Vorgaben'!E79</f>
        <v>7.0000000000000007E-2</v>
      </c>
      <c r="DB11" s="23"/>
      <c r="DC11" s="107" t="str">
        <f>'Standard Vorgaben'!$E$40</f>
        <v xml:space="preserve"> Abgang</v>
      </c>
      <c r="DD11" s="671">
        <f>DE11/B5</f>
        <v>0.83416087388282034</v>
      </c>
      <c r="DE11" s="672">
        <f>DH11*DE12</f>
        <v>792.45283018867929</v>
      </c>
      <c r="DF11" s="760">
        <f>'Standard Vorgaben'!E41</f>
        <v>0</v>
      </c>
      <c r="DG11" s="208">
        <f>DE11*DF11</f>
        <v>0</v>
      </c>
      <c r="DH11" s="761">
        <f>'Standard Vorgaben'!E80</f>
        <v>7.0000000000000007E-2</v>
      </c>
    </row>
    <row r="12" spans="1:112" x14ac:dyDescent="0.3">
      <c r="A12" s="53"/>
      <c r="B12" s="54"/>
      <c r="C12" s="89">
        <f>SUM(C8:C11)</f>
        <v>0</v>
      </c>
      <c r="D12" s="437">
        <f>'Standard Vorgaben'!F41</f>
        <v>0</v>
      </c>
      <c r="E12" s="91">
        <f>(E8*G8)+(E9*G9)+(E10*G10)+(E11*G11)</f>
        <v>5.8736999999999995</v>
      </c>
      <c r="F12" s="118">
        <f>SUM(F8:F11)</f>
        <v>0</v>
      </c>
      <c r="G12" s="92">
        <f>SUM(G8:G11)</f>
        <v>1</v>
      </c>
      <c r="H12" s="53"/>
      <c r="I12" s="54"/>
      <c r="J12" s="89">
        <f>SUM(J8:J11)</f>
        <v>0</v>
      </c>
      <c r="K12" s="437">
        <f>'Standard Vorgaben'!F42</f>
        <v>0</v>
      </c>
      <c r="L12" s="91">
        <f>(L8*N8)+(L9*N9)+(L10*N10)+(L11*N11)</f>
        <v>5.8736999999999995</v>
      </c>
      <c r="M12" s="118">
        <f>SUM(M8:M11)</f>
        <v>0</v>
      </c>
      <c r="N12" s="92">
        <f>SUM(N8:N11)</f>
        <v>1</v>
      </c>
      <c r="O12" s="53"/>
      <c r="P12" s="54"/>
      <c r="Q12" s="89">
        <f>SUM(Q8:Q11)</f>
        <v>1.0833258102374288</v>
      </c>
      <c r="R12" s="437">
        <f>'Standard Vorgaben'!F43</f>
        <v>1029.1595197255574</v>
      </c>
      <c r="S12" s="91">
        <f>(S8*U8)+(S9*U9)+(S10*U10)+(S11*U11)</f>
        <v>5.8736999999999995</v>
      </c>
      <c r="T12" s="206">
        <f>SUM(T8:T11)</f>
        <v>6044.9742710120063</v>
      </c>
      <c r="U12" s="92">
        <f>SUM(U8:U11)</f>
        <v>1</v>
      </c>
      <c r="V12" s="53"/>
      <c r="W12" s="54"/>
      <c r="X12" s="89">
        <f>SUM(X8:X11)</f>
        <v>4.3333032409497152</v>
      </c>
      <c r="Y12" s="437">
        <f>'Standard Vorgaben'!F44</f>
        <v>4116.6380789022296</v>
      </c>
      <c r="Z12" s="91">
        <f>(Z8*AB8)+(Z9*AB9)+(Z10*AB10)+(Z11*AB11)</f>
        <v>5.8736999999999995</v>
      </c>
      <c r="AA12" s="118">
        <f>SUM(AA8:AA11)</f>
        <v>24179.897084048025</v>
      </c>
      <c r="AB12" s="92">
        <f>SUM(AB8:AB11)</f>
        <v>1</v>
      </c>
      <c r="AC12" s="53"/>
      <c r="AD12" s="54"/>
      <c r="AE12" s="89">
        <f>SUM(AE8:AE11)</f>
        <v>9.7282657759321101</v>
      </c>
      <c r="AF12" s="437">
        <f>'Standard Vorgaben'!F45</f>
        <v>9241.8524871355039</v>
      </c>
      <c r="AG12" s="91">
        <f>(AG8*AI8)+(AG9*AI9)+(AG10*AI10)+(AG11*AI11)</f>
        <v>5.8736999999999995</v>
      </c>
      <c r="AH12" s="118">
        <f>SUM(AH8:AH11)</f>
        <v>54283.868953687808</v>
      </c>
      <c r="AI12" s="92">
        <f>SUM(AI8:AI11)</f>
        <v>1</v>
      </c>
      <c r="AJ12" s="53"/>
      <c r="AK12" s="54"/>
      <c r="AL12" s="89">
        <f>SUM(AL8:AL11)</f>
        <v>12.566579398754174</v>
      </c>
      <c r="AM12" s="437">
        <f>'Standard Vorgaben'!F46</f>
        <v>11938.250428816466</v>
      </c>
      <c r="AN12" s="91">
        <f>(AN8*AP8)+(AN9*AP9)+(AN10*AP10)+(AN11*AP11)</f>
        <v>5.8736999999999995</v>
      </c>
      <c r="AO12" s="118">
        <f>SUM(AO8:AO11)</f>
        <v>70121.701543739269</v>
      </c>
      <c r="AP12" s="92">
        <f>SUM(AP8:AP11)</f>
        <v>1</v>
      </c>
      <c r="AQ12" s="53"/>
      <c r="AR12" s="54"/>
      <c r="AS12" s="89">
        <f>SUM(AS8:AS11)</f>
        <v>15.166561343324002</v>
      </c>
      <c r="AT12" s="437">
        <f>'Standard Vorgaben'!F47</f>
        <v>14408.233276157802</v>
      </c>
      <c r="AU12" s="91">
        <f>(AU8*AW8)+(AU9*AW9)+(AU10*AW10)+(AU11*AW11)</f>
        <v>5.8736999999999995</v>
      </c>
      <c r="AV12" s="118">
        <f>SUM(AV8:AV11)</f>
        <v>84629.639794168077</v>
      </c>
      <c r="AW12" s="92">
        <f>SUM(AW8:AW11)</f>
        <v>1</v>
      </c>
      <c r="AX12" s="53"/>
      <c r="AY12" s="54"/>
      <c r="AZ12" s="89">
        <f>SUM(AZ8:AZ11)</f>
        <v>15.166561343324002</v>
      </c>
      <c r="BA12" s="437">
        <f>'Standard Vorgaben'!F48</f>
        <v>14408.233276157802</v>
      </c>
      <c r="BB12" s="91">
        <f>(BB8*BD8)+(BB9*BD9)+(BB10*BD10)+(BB11*BD11)</f>
        <v>5.8736999999999995</v>
      </c>
      <c r="BC12" s="118">
        <f>SUM(BC8:BC11)</f>
        <v>84629.639794168077</v>
      </c>
      <c r="BD12" s="92">
        <f>SUM(BD8:BD11)</f>
        <v>1</v>
      </c>
      <c r="BE12" s="53"/>
      <c r="BF12" s="54"/>
      <c r="BG12" s="89">
        <f>SUM(BG8:BG11)</f>
        <v>15.166561343324002</v>
      </c>
      <c r="BH12" s="437">
        <f>'Standard Vorgaben'!F49</f>
        <v>14408.233276157802</v>
      </c>
      <c r="BI12" s="91">
        <f>(BI8*BK8)+(BI9*BK9)+(BI10*BK10)+(BI11*BK11)</f>
        <v>5.8736999999999995</v>
      </c>
      <c r="BJ12" s="118">
        <f>SUM(BJ8:BJ11)</f>
        <v>84629.639794168077</v>
      </c>
      <c r="BK12" s="92">
        <f>SUM(BK8:BK11)</f>
        <v>1</v>
      </c>
      <c r="BL12" s="53"/>
      <c r="BM12" s="54"/>
      <c r="BN12" s="89">
        <f>SUM(BN8:BN11)</f>
        <v>15.166561343324002</v>
      </c>
      <c r="BO12" s="437">
        <f>'Standard Vorgaben'!F50</f>
        <v>14408.233276157802</v>
      </c>
      <c r="BP12" s="91">
        <f>(BP8*BR8)+(BP9*BR9)+(BP10*BR10)+(BP11*BR11)</f>
        <v>5.8736999999999995</v>
      </c>
      <c r="BQ12" s="118">
        <f>SUM(BQ8:BQ11)</f>
        <v>84629.639794168077</v>
      </c>
      <c r="BR12" s="92">
        <f>SUM(BR8:BR11)</f>
        <v>1</v>
      </c>
      <c r="BS12" s="53"/>
      <c r="BT12" s="54"/>
      <c r="BU12" s="89">
        <f>SUM(BU8:BU11)</f>
        <v>14.083235533086572</v>
      </c>
      <c r="BV12" s="437">
        <f>'Standard Vorgaben'!F51</f>
        <v>13379.073756432244</v>
      </c>
      <c r="BW12" s="91">
        <f>(BW8*BY8)+(BW9*BY9)+(BW10*BY10)+(BW11*BY11)</f>
        <v>5.8736999999999995</v>
      </c>
      <c r="BX12" s="118">
        <f>SUM(BX8:BX11)</f>
        <v>78584.665523156073</v>
      </c>
      <c r="BY12" s="92">
        <f>SUM(BY8:BY11)</f>
        <v>1</v>
      </c>
      <c r="BZ12" s="53"/>
      <c r="CA12" s="54"/>
      <c r="CB12" s="89">
        <f>SUM(CB8:CB11)</f>
        <v>14.083235533086572</v>
      </c>
      <c r="CC12" s="437">
        <f>'Standard Vorgaben'!F52</f>
        <v>13379.073756432244</v>
      </c>
      <c r="CD12" s="91">
        <f>(CD8*CF8)+(CD9*CF9)+(CD10*CF10)+(CD11*CF11)</f>
        <v>5.8736999999999995</v>
      </c>
      <c r="CE12" s="118">
        <f>SUM(CE8:CE11)</f>
        <v>78584.665523156073</v>
      </c>
      <c r="CF12" s="92">
        <f>SUM(CF8:CF11)</f>
        <v>1</v>
      </c>
      <c r="CG12" s="53"/>
      <c r="CH12" s="54"/>
      <c r="CI12" s="89">
        <f>SUM(CI8:CI11)</f>
        <v>14.083235533086572</v>
      </c>
      <c r="CJ12" s="437">
        <f>'Standard Vorgaben'!F53</f>
        <v>13379.073756432244</v>
      </c>
      <c r="CK12" s="91">
        <f>(CK8*CM8)+(CK9*CM9)+(CK10*CM10)+(CK11*CM11)</f>
        <v>5.8736999999999995</v>
      </c>
      <c r="CL12" s="118">
        <f>SUM(CL8:CL11)</f>
        <v>78584.665523156073</v>
      </c>
      <c r="CM12" s="92">
        <f>SUM(CM8:CM11)</f>
        <v>1</v>
      </c>
      <c r="CN12" s="53"/>
      <c r="CO12" s="54"/>
      <c r="CP12" s="89">
        <f>SUM(CP8:CP11)</f>
        <v>14.083235533086572</v>
      </c>
      <c r="CQ12" s="437">
        <f>'Standard Vorgaben'!F54</f>
        <v>13379.073756432244</v>
      </c>
      <c r="CR12" s="91">
        <f>(CR8*CT8)+(CR9*CT9)+(CR10*CT10)+(CR11*CT11)</f>
        <v>5.8736999999999995</v>
      </c>
      <c r="CS12" s="118">
        <f>SUM(CS8:CS11)</f>
        <v>78584.665523156073</v>
      </c>
      <c r="CT12" s="92">
        <f>SUM(CT8:CT11)</f>
        <v>1</v>
      </c>
      <c r="CU12" s="53"/>
      <c r="CV12" s="54"/>
      <c r="CW12" s="89">
        <f>SUM(CW8:CW11)</f>
        <v>12.999909722849145</v>
      </c>
      <c r="CX12" s="437">
        <f>'Standard Vorgaben'!F55</f>
        <v>12349.914236706689</v>
      </c>
      <c r="CY12" s="91">
        <f>(CY8*DA8)+(CY9*DA9)+(CY10*DA10)+(CY11*DA11)</f>
        <v>5.8736999999999995</v>
      </c>
      <c r="CZ12" s="118">
        <f>SUM(CZ8:CZ11)</f>
        <v>72539.691252144083</v>
      </c>
      <c r="DA12" s="92">
        <f>SUM(DA8:DA11)</f>
        <v>1</v>
      </c>
      <c r="DB12" s="53"/>
      <c r="DC12" s="54"/>
      <c r="DD12" s="89">
        <f>SUM(DD8:DD11)</f>
        <v>11.916583912611719</v>
      </c>
      <c r="DE12" s="437">
        <f>'Standard Vorgaben'!F56</f>
        <v>11320.754716981131</v>
      </c>
      <c r="DF12" s="91">
        <f>(DF8*DH8)+(DF9*DH9)+(DF10*DH10)+(DF11*DH11)</f>
        <v>5.8736999999999995</v>
      </c>
      <c r="DG12" s="118">
        <f>SUM(DG8:DG11)</f>
        <v>66494.716981132078</v>
      </c>
      <c r="DH12" s="92">
        <f>SUM(DH8:DH11)</f>
        <v>1</v>
      </c>
    </row>
    <row r="13" spans="1:112" x14ac:dyDescent="0.3">
      <c r="A13" s="53"/>
      <c r="B13" s="125" t="s">
        <v>103</v>
      </c>
      <c r="C13" s="89"/>
      <c r="D13" s="90"/>
      <c r="E13" s="91"/>
      <c r="F13" s="264">
        <f>'Standard Vorgaben'!$C$34</f>
        <v>1100</v>
      </c>
      <c r="G13" s="92"/>
      <c r="H13" s="53"/>
      <c r="I13" s="125" t="s">
        <v>103</v>
      </c>
      <c r="J13" s="89"/>
      <c r="K13" s="90"/>
      <c r="L13" s="91"/>
      <c r="M13" s="264">
        <f>'Standard Vorgaben'!$C$34</f>
        <v>1100</v>
      </c>
      <c r="N13" s="92"/>
      <c r="O13" s="53"/>
      <c r="P13" s="125" t="s">
        <v>103</v>
      </c>
      <c r="Q13" s="89"/>
      <c r="R13" s="90"/>
      <c r="S13" s="91"/>
      <c r="T13" s="264">
        <f>'Standard Vorgaben'!$C$34</f>
        <v>1100</v>
      </c>
      <c r="U13" s="92"/>
      <c r="V13" s="53"/>
      <c r="W13" s="125" t="s">
        <v>103</v>
      </c>
      <c r="X13" s="89"/>
      <c r="Y13" s="90"/>
      <c r="Z13" s="91"/>
      <c r="AA13" s="264">
        <f>'Standard Vorgaben'!$C$34</f>
        <v>1100</v>
      </c>
      <c r="AB13" s="92"/>
      <c r="AC13" s="53"/>
      <c r="AD13" s="125" t="s">
        <v>103</v>
      </c>
      <c r="AE13" s="89"/>
      <c r="AF13" s="90"/>
      <c r="AG13" s="91"/>
      <c r="AH13" s="264">
        <f>'Standard Vorgaben'!$C$34</f>
        <v>1100</v>
      </c>
      <c r="AI13" s="92"/>
      <c r="AJ13" s="53"/>
      <c r="AK13" s="125" t="s">
        <v>103</v>
      </c>
      <c r="AL13" s="89"/>
      <c r="AM13" s="90"/>
      <c r="AN13" s="91"/>
      <c r="AO13" s="264">
        <f>'Standard Vorgaben'!$C$34</f>
        <v>1100</v>
      </c>
      <c r="AP13" s="92"/>
      <c r="AQ13" s="53"/>
      <c r="AR13" s="125" t="s">
        <v>103</v>
      </c>
      <c r="AS13" s="89"/>
      <c r="AT13" s="90"/>
      <c r="AU13" s="91"/>
      <c r="AV13" s="264">
        <f>'Standard Vorgaben'!$C$34</f>
        <v>1100</v>
      </c>
      <c r="AW13" s="92"/>
      <c r="AX13" s="53"/>
      <c r="AY13" s="125" t="s">
        <v>103</v>
      </c>
      <c r="AZ13" s="89"/>
      <c r="BA13" s="90"/>
      <c r="BB13" s="91"/>
      <c r="BC13" s="264">
        <f>'Standard Vorgaben'!$C$34</f>
        <v>1100</v>
      </c>
      <c r="BD13" s="92"/>
      <c r="BE13" s="53"/>
      <c r="BF13" s="125" t="s">
        <v>103</v>
      </c>
      <c r="BG13" s="89"/>
      <c r="BH13" s="90"/>
      <c r="BI13" s="91"/>
      <c r="BJ13" s="264">
        <f>'Standard Vorgaben'!$C$34</f>
        <v>1100</v>
      </c>
      <c r="BK13" s="92"/>
      <c r="BL13" s="53"/>
      <c r="BM13" s="125" t="s">
        <v>103</v>
      </c>
      <c r="BN13" s="89"/>
      <c r="BO13" s="90"/>
      <c r="BP13" s="91"/>
      <c r="BQ13" s="264">
        <f>'Standard Vorgaben'!$C$34</f>
        <v>1100</v>
      </c>
      <c r="BR13" s="92"/>
      <c r="BS13" s="53"/>
      <c r="BT13" s="125" t="s">
        <v>103</v>
      </c>
      <c r="BU13" s="89"/>
      <c r="BV13" s="90"/>
      <c r="BW13" s="91"/>
      <c r="BX13" s="264">
        <f>'Standard Vorgaben'!$C$34</f>
        <v>1100</v>
      </c>
      <c r="BY13" s="92"/>
      <c r="BZ13" s="53"/>
      <c r="CA13" s="125" t="s">
        <v>103</v>
      </c>
      <c r="CB13" s="89"/>
      <c r="CC13" s="90"/>
      <c r="CD13" s="91"/>
      <c r="CE13" s="264">
        <f>'Standard Vorgaben'!$C$34</f>
        <v>1100</v>
      </c>
      <c r="CF13" s="92"/>
      <c r="CG13" s="53"/>
      <c r="CH13" s="125" t="s">
        <v>103</v>
      </c>
      <c r="CI13" s="89"/>
      <c r="CJ13" s="90"/>
      <c r="CK13" s="91"/>
      <c r="CL13" s="264">
        <f>'Standard Vorgaben'!$C$34</f>
        <v>1100</v>
      </c>
      <c r="CM13" s="92"/>
      <c r="CN13" s="53"/>
      <c r="CO13" s="125" t="s">
        <v>103</v>
      </c>
      <c r="CP13" s="89"/>
      <c r="CQ13" s="90"/>
      <c r="CR13" s="91"/>
      <c r="CS13" s="264">
        <f>'Standard Vorgaben'!$C$34</f>
        <v>1100</v>
      </c>
      <c r="CT13" s="92"/>
      <c r="CU13" s="53"/>
      <c r="CV13" s="125" t="s">
        <v>103</v>
      </c>
      <c r="CW13" s="89"/>
      <c r="CX13" s="90"/>
      <c r="CY13" s="91"/>
      <c r="CZ13" s="264">
        <f>'Standard Vorgaben'!$C$34</f>
        <v>1100</v>
      </c>
      <c r="DA13" s="92"/>
      <c r="DB13" s="53"/>
      <c r="DC13" s="125" t="s">
        <v>103</v>
      </c>
      <c r="DD13" s="89"/>
      <c r="DE13" s="90"/>
      <c r="DF13" s="91"/>
      <c r="DG13" s="264">
        <f>'Standard Vorgaben'!$C$34</f>
        <v>1100</v>
      </c>
      <c r="DH13" s="92"/>
    </row>
    <row r="14" spans="1:112" ht="14.5" thickBot="1" x14ac:dyDescent="0.35">
      <c r="A14" s="639" t="s">
        <v>104</v>
      </c>
      <c r="B14" s="640"/>
      <c r="C14" s="640"/>
      <c r="D14" s="640"/>
      <c r="E14" s="640"/>
      <c r="F14" s="641">
        <f>SUM(F12:F13)</f>
        <v>1100</v>
      </c>
      <c r="G14" s="83"/>
      <c r="H14" s="639" t="s">
        <v>104</v>
      </c>
      <c r="I14" s="640"/>
      <c r="J14" s="640"/>
      <c r="K14" s="640"/>
      <c r="L14" s="640"/>
      <c r="M14" s="641">
        <f>SUM(M12:M13)</f>
        <v>1100</v>
      </c>
      <c r="N14" s="83"/>
      <c r="O14" s="639" t="s">
        <v>104</v>
      </c>
      <c r="P14" s="640"/>
      <c r="Q14" s="640"/>
      <c r="R14" s="640"/>
      <c r="S14" s="640"/>
      <c r="T14" s="641">
        <f>SUM(T12:T13)</f>
        <v>7144.9742710120063</v>
      </c>
      <c r="U14" s="83"/>
      <c r="V14" s="639" t="s">
        <v>104</v>
      </c>
      <c r="W14" s="640"/>
      <c r="X14" s="640"/>
      <c r="Y14" s="640"/>
      <c r="Z14" s="640"/>
      <c r="AA14" s="641">
        <f>SUM(AA12:AA13)</f>
        <v>25279.897084048025</v>
      </c>
      <c r="AB14" s="83"/>
      <c r="AC14" s="639" t="s">
        <v>104</v>
      </c>
      <c r="AD14" s="640"/>
      <c r="AE14" s="640"/>
      <c r="AF14" s="640"/>
      <c r="AG14" s="640"/>
      <c r="AH14" s="641">
        <f>SUM(AH12:AH13)</f>
        <v>55383.868953687808</v>
      </c>
      <c r="AI14" s="83"/>
      <c r="AJ14" s="639" t="s">
        <v>104</v>
      </c>
      <c r="AK14" s="640"/>
      <c r="AL14" s="640"/>
      <c r="AM14" s="640"/>
      <c r="AN14" s="640"/>
      <c r="AO14" s="641">
        <f>SUM(AO12:AO13)</f>
        <v>71221.701543739269</v>
      </c>
      <c r="AP14" s="83"/>
      <c r="AQ14" s="639" t="s">
        <v>104</v>
      </c>
      <c r="AR14" s="640"/>
      <c r="AS14" s="640"/>
      <c r="AT14" s="640"/>
      <c r="AU14" s="640"/>
      <c r="AV14" s="641">
        <f>SUM(AV12:AV13)</f>
        <v>85729.639794168077</v>
      </c>
      <c r="AW14" s="83"/>
      <c r="AX14" s="639" t="s">
        <v>104</v>
      </c>
      <c r="AY14" s="640"/>
      <c r="AZ14" s="640"/>
      <c r="BA14" s="640"/>
      <c r="BB14" s="640"/>
      <c r="BC14" s="641">
        <f>SUM(BC12:BC13)</f>
        <v>85729.639794168077</v>
      </c>
      <c r="BD14" s="83"/>
      <c r="BE14" s="639" t="s">
        <v>104</v>
      </c>
      <c r="BF14" s="640"/>
      <c r="BG14" s="640"/>
      <c r="BH14" s="640"/>
      <c r="BI14" s="640"/>
      <c r="BJ14" s="641">
        <f>SUM(BJ12:BJ13)</f>
        <v>85729.639794168077</v>
      </c>
      <c r="BK14" s="83"/>
      <c r="BL14" s="639" t="s">
        <v>104</v>
      </c>
      <c r="BM14" s="640"/>
      <c r="BN14" s="640"/>
      <c r="BO14" s="640"/>
      <c r="BP14" s="640"/>
      <c r="BQ14" s="641">
        <f>SUM(BQ12:BQ13)</f>
        <v>85729.639794168077</v>
      </c>
      <c r="BR14" s="83"/>
      <c r="BS14" s="639" t="s">
        <v>104</v>
      </c>
      <c r="BT14" s="640"/>
      <c r="BU14" s="640"/>
      <c r="BV14" s="640"/>
      <c r="BW14" s="640"/>
      <c r="BX14" s="641">
        <f>SUM(BX12:BX13)</f>
        <v>79684.665523156073</v>
      </c>
      <c r="BY14" s="83"/>
      <c r="BZ14" s="639" t="s">
        <v>104</v>
      </c>
      <c r="CA14" s="640"/>
      <c r="CB14" s="640"/>
      <c r="CC14" s="640"/>
      <c r="CD14" s="640"/>
      <c r="CE14" s="641">
        <f>SUM(CE12:CE13)</f>
        <v>79684.665523156073</v>
      </c>
      <c r="CF14" s="83"/>
      <c r="CG14" s="639" t="s">
        <v>104</v>
      </c>
      <c r="CH14" s="640"/>
      <c r="CI14" s="640"/>
      <c r="CJ14" s="640"/>
      <c r="CK14" s="640"/>
      <c r="CL14" s="641">
        <f>SUM(CL12:CL13)</f>
        <v>79684.665523156073</v>
      </c>
      <c r="CM14" s="83"/>
      <c r="CN14" s="639" t="s">
        <v>104</v>
      </c>
      <c r="CO14" s="640"/>
      <c r="CP14" s="640"/>
      <c r="CQ14" s="640"/>
      <c r="CR14" s="640"/>
      <c r="CS14" s="641">
        <f>SUM(CS12:CS13)</f>
        <v>79684.665523156073</v>
      </c>
      <c r="CT14" s="83"/>
      <c r="CU14" s="639" t="s">
        <v>104</v>
      </c>
      <c r="CV14" s="640"/>
      <c r="CW14" s="640"/>
      <c r="CX14" s="640"/>
      <c r="CY14" s="640"/>
      <c r="CZ14" s="641">
        <f>SUM(CZ12:CZ13)</f>
        <v>73639.691252144083</v>
      </c>
      <c r="DA14" s="83"/>
      <c r="DB14" s="639" t="s">
        <v>104</v>
      </c>
      <c r="DC14" s="640"/>
      <c r="DD14" s="640"/>
      <c r="DE14" s="640"/>
      <c r="DF14" s="640"/>
      <c r="DG14" s="641">
        <f>SUM(DG12:DG13)</f>
        <v>67594.716981132078</v>
      </c>
      <c r="DH14" s="83"/>
    </row>
    <row r="15" spans="1:112" ht="12.5" x14ac:dyDescent="0.25">
      <c r="A15" s="4"/>
      <c r="B15" s="4"/>
      <c r="C15" s="36" t="s">
        <v>18</v>
      </c>
      <c r="D15" s="36" t="s">
        <v>64</v>
      </c>
      <c r="E15" s="37" t="s">
        <v>65</v>
      </c>
      <c r="F15" s="43" t="s">
        <v>20</v>
      </c>
      <c r="G15" s="39" t="s">
        <v>67</v>
      </c>
      <c r="H15" s="4"/>
      <c r="I15" s="4"/>
      <c r="J15" s="36" t="s">
        <v>18</v>
      </c>
      <c r="K15" s="36" t="s">
        <v>64</v>
      </c>
      <c r="L15" s="37" t="s">
        <v>65</v>
      </c>
      <c r="M15" s="43" t="s">
        <v>20</v>
      </c>
      <c r="N15" s="39" t="s">
        <v>67</v>
      </c>
      <c r="O15" s="4"/>
      <c r="P15" s="4"/>
      <c r="Q15" s="36" t="s">
        <v>18</v>
      </c>
      <c r="R15" s="36" t="s">
        <v>64</v>
      </c>
      <c r="S15" s="37" t="s">
        <v>65</v>
      </c>
      <c r="T15" s="43" t="s">
        <v>20</v>
      </c>
      <c r="U15" s="39" t="s">
        <v>67</v>
      </c>
      <c r="V15" s="4"/>
      <c r="W15" s="4"/>
      <c r="X15" s="36" t="s">
        <v>18</v>
      </c>
      <c r="Y15" s="36" t="s">
        <v>64</v>
      </c>
      <c r="Z15" s="37" t="s">
        <v>65</v>
      </c>
      <c r="AA15" s="43" t="s">
        <v>20</v>
      </c>
      <c r="AB15" s="39" t="s">
        <v>67</v>
      </c>
      <c r="AC15" s="4"/>
      <c r="AD15" s="4"/>
      <c r="AE15" s="36" t="s">
        <v>18</v>
      </c>
      <c r="AF15" s="36" t="s">
        <v>64</v>
      </c>
      <c r="AG15" s="37" t="s">
        <v>65</v>
      </c>
      <c r="AH15" s="43" t="s">
        <v>20</v>
      </c>
      <c r="AI15" s="39" t="s">
        <v>67</v>
      </c>
      <c r="AJ15" s="4"/>
      <c r="AK15" s="4"/>
      <c r="AL15" s="36" t="s">
        <v>18</v>
      </c>
      <c r="AM15" s="36" t="s">
        <v>64</v>
      </c>
      <c r="AN15" s="37" t="s">
        <v>65</v>
      </c>
      <c r="AO15" s="43" t="s">
        <v>20</v>
      </c>
      <c r="AP15" s="39" t="s">
        <v>67</v>
      </c>
      <c r="AQ15" s="4"/>
      <c r="AR15" s="4"/>
      <c r="AS15" s="36" t="s">
        <v>18</v>
      </c>
      <c r="AT15" s="36" t="s">
        <v>64</v>
      </c>
      <c r="AU15" s="37" t="s">
        <v>65</v>
      </c>
      <c r="AV15" s="43" t="s">
        <v>20</v>
      </c>
      <c r="AW15" s="39" t="s">
        <v>67</v>
      </c>
      <c r="AX15" s="4"/>
      <c r="AY15" s="4"/>
      <c r="AZ15" s="36" t="s">
        <v>18</v>
      </c>
      <c r="BA15" s="36" t="s">
        <v>64</v>
      </c>
      <c r="BB15" s="37" t="s">
        <v>65</v>
      </c>
      <c r="BC15" s="43" t="s">
        <v>20</v>
      </c>
      <c r="BD15" s="39" t="s">
        <v>67</v>
      </c>
      <c r="BE15" s="4"/>
      <c r="BF15" s="4"/>
      <c r="BG15" s="36" t="s">
        <v>18</v>
      </c>
      <c r="BH15" s="36" t="s">
        <v>64</v>
      </c>
      <c r="BI15" s="37" t="s">
        <v>65</v>
      </c>
      <c r="BJ15" s="43" t="s">
        <v>20</v>
      </c>
      <c r="BK15" s="39" t="s">
        <v>67</v>
      </c>
      <c r="BL15" s="4"/>
      <c r="BM15" s="4"/>
      <c r="BN15" s="36" t="s">
        <v>18</v>
      </c>
      <c r="BO15" s="36" t="s">
        <v>64</v>
      </c>
      <c r="BP15" s="37" t="s">
        <v>65</v>
      </c>
      <c r="BQ15" s="43" t="s">
        <v>20</v>
      </c>
      <c r="BR15" s="39" t="s">
        <v>67</v>
      </c>
      <c r="BS15" s="4"/>
      <c r="BT15" s="4"/>
      <c r="BU15" s="36" t="s">
        <v>18</v>
      </c>
      <c r="BV15" s="36" t="s">
        <v>64</v>
      </c>
      <c r="BW15" s="37" t="s">
        <v>65</v>
      </c>
      <c r="BX15" s="43" t="s">
        <v>20</v>
      </c>
      <c r="BY15" s="39" t="s">
        <v>67</v>
      </c>
      <c r="BZ15" s="4"/>
      <c r="CA15" s="4"/>
      <c r="CB15" s="36" t="s">
        <v>18</v>
      </c>
      <c r="CC15" s="36" t="s">
        <v>64</v>
      </c>
      <c r="CD15" s="37" t="s">
        <v>65</v>
      </c>
      <c r="CE15" s="43" t="s">
        <v>20</v>
      </c>
      <c r="CF15" s="39" t="s">
        <v>67</v>
      </c>
      <c r="CG15" s="4"/>
      <c r="CH15" s="4"/>
      <c r="CI15" s="36" t="s">
        <v>18</v>
      </c>
      <c r="CJ15" s="36" t="s">
        <v>64</v>
      </c>
      <c r="CK15" s="37" t="s">
        <v>65</v>
      </c>
      <c r="CL15" s="43" t="s">
        <v>20</v>
      </c>
      <c r="CM15" s="39" t="s">
        <v>67</v>
      </c>
      <c r="CN15" s="4"/>
      <c r="CO15" s="4"/>
      <c r="CP15" s="36" t="s">
        <v>18</v>
      </c>
      <c r="CQ15" s="36" t="s">
        <v>64</v>
      </c>
      <c r="CR15" s="37" t="s">
        <v>65</v>
      </c>
      <c r="CS15" s="43" t="s">
        <v>20</v>
      </c>
      <c r="CT15" s="39" t="s">
        <v>67</v>
      </c>
      <c r="CU15" s="4"/>
      <c r="CV15" s="4"/>
      <c r="CW15" s="36" t="s">
        <v>18</v>
      </c>
      <c r="CX15" s="36" t="s">
        <v>64</v>
      </c>
      <c r="CY15" s="37" t="s">
        <v>65</v>
      </c>
      <c r="CZ15" s="43" t="s">
        <v>20</v>
      </c>
      <c r="DA15" s="39" t="s">
        <v>67</v>
      </c>
      <c r="DB15" s="4"/>
      <c r="DC15" s="4"/>
      <c r="DD15" s="36" t="s">
        <v>18</v>
      </c>
      <c r="DE15" s="36" t="s">
        <v>64</v>
      </c>
      <c r="DF15" s="37" t="s">
        <v>65</v>
      </c>
      <c r="DG15" s="43" t="s">
        <v>20</v>
      </c>
      <c r="DH15" s="39" t="s">
        <v>67</v>
      </c>
    </row>
    <row r="16" spans="1:112" x14ac:dyDescent="0.3">
      <c r="A16" s="3" t="s">
        <v>36</v>
      </c>
      <c r="B16" s="21" t="str">
        <f>'Standard Vorgaben'!B95</f>
        <v>Ammonsalpeter</v>
      </c>
      <c r="C16" s="155">
        <f>'Standard Vorgaben'!B101</f>
        <v>0</v>
      </c>
      <c r="D16" s="20">
        <f>'Standard Vorgaben'!B100</f>
        <v>0</v>
      </c>
      <c r="E16" s="32">
        <f>'Standard Vorgaben'!B96</f>
        <v>0.9</v>
      </c>
      <c r="F16" s="33">
        <f>D16*E16</f>
        <v>0</v>
      </c>
      <c r="G16" s="44">
        <f>F16/$F$69</f>
        <v>0</v>
      </c>
      <c r="H16" s="3" t="s">
        <v>36</v>
      </c>
      <c r="I16" s="21" t="str">
        <f>'Standard Vorgaben'!B95</f>
        <v>Ammonsalpeter</v>
      </c>
      <c r="J16" s="155">
        <f>'Standard Vorgaben'!B103</f>
        <v>1</v>
      </c>
      <c r="K16" s="20">
        <f>'Standard Vorgaben'!B102</f>
        <v>100</v>
      </c>
      <c r="L16" s="32">
        <f>'Standard Vorgaben'!B96</f>
        <v>0.9</v>
      </c>
      <c r="M16" s="33">
        <f>K16*L16</f>
        <v>90</v>
      </c>
      <c r="N16" s="44">
        <f>M16/$M$69</f>
        <v>7.8547251287224267E-3</v>
      </c>
      <c r="O16" s="3" t="s">
        <v>36</v>
      </c>
      <c r="P16" s="21" t="str">
        <f>'Standard Vorgaben'!B95</f>
        <v>Ammonsalpeter</v>
      </c>
      <c r="Q16" s="155">
        <f>'Standard Vorgaben'!B105</f>
        <v>1</v>
      </c>
      <c r="R16" s="20">
        <f>'Standard Vorgaben'!B104</f>
        <v>200</v>
      </c>
      <c r="S16" s="32">
        <f>'Standard Vorgaben'!B96</f>
        <v>0.9</v>
      </c>
      <c r="T16" s="33">
        <f>R16*S16</f>
        <v>180</v>
      </c>
      <c r="U16" s="44">
        <f>T16/$T$69</f>
        <v>2.5083762001865805E-3</v>
      </c>
      <c r="V16" s="3" t="s">
        <v>36</v>
      </c>
      <c r="W16" s="21" t="str">
        <f>'Standard Vorgaben'!B95</f>
        <v>Ammonsalpeter</v>
      </c>
      <c r="X16" s="155">
        <f>'Standard Vorgaben'!B107</f>
        <v>1</v>
      </c>
      <c r="Y16" s="20">
        <f>'Standard Vorgaben'!B106</f>
        <v>200</v>
      </c>
      <c r="Z16" s="32">
        <f>'Standard Vorgaben'!B96</f>
        <v>0.9</v>
      </c>
      <c r="AA16" s="33">
        <f>Y16*Z16</f>
        <v>180</v>
      </c>
      <c r="AB16" s="44">
        <f>AA16/$AA$69</f>
        <v>5.1972981662942903E-3</v>
      </c>
      <c r="AC16" s="3" t="s">
        <v>36</v>
      </c>
      <c r="AD16" s="21" t="str">
        <f>'Standard Vorgaben'!B95</f>
        <v>Ammonsalpeter</v>
      </c>
      <c r="AE16" s="155">
        <f>'Standard Vorgaben'!B107</f>
        <v>1</v>
      </c>
      <c r="AF16" s="20">
        <f>'Standard Vorgaben'!B106</f>
        <v>200</v>
      </c>
      <c r="AG16" s="32">
        <f>'Standard Vorgaben'!B96</f>
        <v>0.9</v>
      </c>
      <c r="AH16" s="33">
        <f>AF16*AG16</f>
        <v>180</v>
      </c>
      <c r="AI16" s="44">
        <f>AH16/$AH$69</f>
        <v>3.2680291779316516E-3</v>
      </c>
      <c r="AJ16" s="3" t="s">
        <v>36</v>
      </c>
      <c r="AK16" s="21" t="str">
        <f>'Standard Vorgaben'!B95</f>
        <v>Ammonsalpeter</v>
      </c>
      <c r="AL16" s="155">
        <f>'Standard Vorgaben'!B107</f>
        <v>1</v>
      </c>
      <c r="AM16" s="20">
        <f>'Standard Vorgaben'!B106</f>
        <v>200</v>
      </c>
      <c r="AN16" s="32">
        <f>'Standard Vorgaben'!B96</f>
        <v>0.9</v>
      </c>
      <c r="AO16" s="33">
        <f>AM16*AN16</f>
        <v>180</v>
      </c>
      <c r="AP16" s="44">
        <f>AO16/$AO$69</f>
        <v>2.8391362951910759E-3</v>
      </c>
      <c r="AQ16" s="3" t="s">
        <v>36</v>
      </c>
      <c r="AR16" s="21" t="str">
        <f>'Standard Vorgaben'!B95</f>
        <v>Ammonsalpeter</v>
      </c>
      <c r="AS16" s="155">
        <f>'Standard Vorgaben'!B107</f>
        <v>1</v>
      </c>
      <c r="AT16" s="20">
        <f>'Standard Vorgaben'!B106</f>
        <v>200</v>
      </c>
      <c r="AU16" s="32">
        <f>'Standard Vorgaben'!B96</f>
        <v>0.9</v>
      </c>
      <c r="AV16" s="33">
        <f>AT16*AU16</f>
        <v>180</v>
      </c>
      <c r="AW16" s="44">
        <f>AV16/$AV$69</f>
        <v>2.5205669797252876E-3</v>
      </c>
      <c r="AX16" s="3" t="s">
        <v>36</v>
      </c>
      <c r="AY16" s="21" t="str">
        <f>'Standard Vorgaben'!B95</f>
        <v>Ammonsalpeter</v>
      </c>
      <c r="AZ16" s="155">
        <f>'Standard Vorgaben'!B107</f>
        <v>1</v>
      </c>
      <c r="BA16" s="20">
        <f>'Standard Vorgaben'!B106</f>
        <v>200</v>
      </c>
      <c r="BB16" s="32">
        <f>'Standard Vorgaben'!B96</f>
        <v>0.9</v>
      </c>
      <c r="BC16" s="33">
        <f>BA16*BB16</f>
        <v>180</v>
      </c>
      <c r="BD16" s="44">
        <f>BC16/$BC$69</f>
        <v>2.5414880282243306E-3</v>
      </c>
      <c r="BE16" s="3" t="s">
        <v>36</v>
      </c>
      <c r="BF16" s="21" t="str">
        <f>'Standard Vorgaben'!B95</f>
        <v>Ammonsalpeter</v>
      </c>
      <c r="BG16" s="155">
        <f>'Standard Vorgaben'!B107</f>
        <v>1</v>
      </c>
      <c r="BH16" s="20">
        <f>'Standard Vorgaben'!B106</f>
        <v>200</v>
      </c>
      <c r="BI16" s="32">
        <f>'Standard Vorgaben'!B96</f>
        <v>0.9</v>
      </c>
      <c r="BJ16" s="33">
        <f>BH16*BI16</f>
        <v>180</v>
      </c>
      <c r="BK16" s="44">
        <f>BJ16/$BJ$69</f>
        <v>2.5463108495992022E-3</v>
      </c>
      <c r="BL16" s="3" t="s">
        <v>36</v>
      </c>
      <c r="BM16" s="21" t="str">
        <f>'Standard Vorgaben'!B95</f>
        <v>Ammonsalpeter</v>
      </c>
      <c r="BN16" s="155">
        <f>'Standard Vorgaben'!B107</f>
        <v>1</v>
      </c>
      <c r="BO16" s="20">
        <f>'Standard Vorgaben'!B106</f>
        <v>200</v>
      </c>
      <c r="BP16" s="32">
        <f>'Standard Vorgaben'!B96</f>
        <v>0.9</v>
      </c>
      <c r="BQ16" s="33">
        <f>BO16*BP16</f>
        <v>180</v>
      </c>
      <c r="BR16" s="44">
        <f>BQ16/$BQ$69</f>
        <v>1.5171788537186605E-3</v>
      </c>
      <c r="BS16" s="3" t="s">
        <v>36</v>
      </c>
      <c r="BT16" s="21" t="str">
        <f>'Standard Vorgaben'!B95</f>
        <v>Ammonsalpeter</v>
      </c>
      <c r="BU16" s="155">
        <f>'Standard Vorgaben'!B107</f>
        <v>1</v>
      </c>
      <c r="BV16" s="20">
        <f>'Standard Vorgaben'!B106</f>
        <v>200</v>
      </c>
      <c r="BW16" s="32">
        <f>'Standard Vorgaben'!B96</f>
        <v>0.9</v>
      </c>
      <c r="BX16" s="33">
        <f>BV16*BW16</f>
        <v>180</v>
      </c>
      <c r="BY16" s="44">
        <f>BX16/$BX$69</f>
        <v>2.6597886978194231E-3</v>
      </c>
      <c r="BZ16" s="3" t="s">
        <v>36</v>
      </c>
      <c r="CA16" s="21" t="str">
        <f>'Standard Vorgaben'!B95</f>
        <v>Ammonsalpeter</v>
      </c>
      <c r="CB16" s="155">
        <f>'Standard Vorgaben'!B107</f>
        <v>1</v>
      </c>
      <c r="CC16" s="20">
        <f>'Standard Vorgaben'!B106</f>
        <v>200</v>
      </c>
      <c r="CD16" s="32">
        <f>'Standard Vorgaben'!B96</f>
        <v>0.9</v>
      </c>
      <c r="CE16" s="33">
        <f>CC16*CD16</f>
        <v>180</v>
      </c>
      <c r="CF16" s="44">
        <f>CE16/$CE$69</f>
        <v>2.6640437581608085E-3</v>
      </c>
      <c r="CG16" s="3" t="s">
        <v>36</v>
      </c>
      <c r="CH16" s="21" t="str">
        <f>'Standard Vorgaben'!B95</f>
        <v>Ammonsalpeter</v>
      </c>
      <c r="CI16" s="155">
        <f>'Standard Vorgaben'!B107</f>
        <v>1</v>
      </c>
      <c r="CJ16" s="20">
        <f>'Standard Vorgaben'!B106</f>
        <v>200</v>
      </c>
      <c r="CK16" s="32">
        <f>'Standard Vorgaben'!B96</f>
        <v>0.9</v>
      </c>
      <c r="CL16" s="33">
        <f>CJ16*CK16</f>
        <v>180</v>
      </c>
      <c r="CM16" s="44">
        <f>CL16/$CL$69</f>
        <v>2.652621766586964E-3</v>
      </c>
      <c r="CN16" s="3" t="s">
        <v>36</v>
      </c>
      <c r="CO16" s="21" t="str">
        <f>'Standard Vorgaben'!B95</f>
        <v>Ammonsalpeter</v>
      </c>
      <c r="CP16" s="155">
        <f>'Standard Vorgaben'!B107</f>
        <v>1</v>
      </c>
      <c r="CQ16" s="20">
        <f>'Standard Vorgaben'!B106</f>
        <v>200</v>
      </c>
      <c r="CR16" s="32">
        <f>'Standard Vorgaben'!B96</f>
        <v>0.9</v>
      </c>
      <c r="CS16" s="33">
        <f>CQ16*CR16</f>
        <v>180</v>
      </c>
      <c r="CT16" s="44">
        <f>CS16/$CS$69</f>
        <v>2.672568155496745E-3</v>
      </c>
      <c r="CU16" s="3" t="s">
        <v>36</v>
      </c>
      <c r="CV16" s="21" t="str">
        <f>'Standard Vorgaben'!B95</f>
        <v>Ammonsalpeter</v>
      </c>
      <c r="CW16" s="155">
        <f>'Standard Vorgaben'!B107</f>
        <v>1</v>
      </c>
      <c r="CX16" s="20">
        <f>'Standard Vorgaben'!B106</f>
        <v>200</v>
      </c>
      <c r="CY16" s="32">
        <f>'Standard Vorgaben'!B96</f>
        <v>0.9</v>
      </c>
      <c r="CZ16" s="33">
        <f>CX16*CY16</f>
        <v>180</v>
      </c>
      <c r="DA16" s="44">
        <f>CZ16/$CZ$69</f>
        <v>2.8097281858650465E-3</v>
      </c>
      <c r="DB16" s="3" t="s">
        <v>36</v>
      </c>
      <c r="DC16" s="21" t="str">
        <f>'Standard Vorgaben'!B95</f>
        <v>Ammonsalpeter</v>
      </c>
      <c r="DD16" s="155">
        <f>'Standard Vorgaben'!B107</f>
        <v>1</v>
      </c>
      <c r="DE16" s="20">
        <f>'Standard Vorgaben'!B106</f>
        <v>200</v>
      </c>
      <c r="DF16" s="32">
        <f>'Standard Vorgaben'!B96</f>
        <v>0.9</v>
      </c>
      <c r="DG16" s="33">
        <f>DE16*DF16</f>
        <v>180</v>
      </c>
      <c r="DH16" s="44">
        <f>DG16/$DG$69</f>
        <v>2.694605178523568E-3</v>
      </c>
    </row>
    <row r="17" spans="1:112" x14ac:dyDescent="0.3">
      <c r="A17" s="53"/>
      <c r="B17" s="937" t="str">
        <f>'Standard Vorgaben'!C95</f>
        <v>Gründdunger (Terbona)</v>
      </c>
      <c r="C17" s="531">
        <f>'Standard Vorgaben'!C101</f>
        <v>0</v>
      </c>
      <c r="D17" s="153">
        <f>'Standard Vorgaben'!C100</f>
        <v>0</v>
      </c>
      <c r="E17" s="154">
        <f>'Standard Vorgaben'!C96</f>
        <v>1.05</v>
      </c>
      <c r="F17" s="41">
        <f>D17*E17</f>
        <v>0</v>
      </c>
      <c r="G17" s="44">
        <f>F17/$F$69</f>
        <v>0</v>
      </c>
      <c r="H17" s="53"/>
      <c r="I17" s="937" t="str">
        <f>'Standard Vorgaben'!C95</f>
        <v>Gründdunger (Terbona)</v>
      </c>
      <c r="J17" s="531">
        <f>'Standard Vorgaben'!C103</f>
        <v>0</v>
      </c>
      <c r="K17" s="153">
        <f>'Standard Vorgaben'!C102</f>
        <v>0</v>
      </c>
      <c r="L17" s="154">
        <f>'Standard Vorgaben'!C96</f>
        <v>1.05</v>
      </c>
      <c r="M17" s="40">
        <f>K17*L17</f>
        <v>0</v>
      </c>
      <c r="N17" s="44">
        <f>M17/$M$69</f>
        <v>0</v>
      </c>
      <c r="O17" s="53"/>
      <c r="P17" s="937" t="str">
        <f>'Standard Vorgaben'!C95</f>
        <v>Gründdunger (Terbona)</v>
      </c>
      <c r="Q17" s="531">
        <f>'Standard Vorgaben'!C105</f>
        <v>1</v>
      </c>
      <c r="R17" s="153">
        <f>'Standard Vorgaben'!C104</f>
        <v>200</v>
      </c>
      <c r="S17" s="154">
        <f>'Standard Vorgaben'!C96</f>
        <v>1.05</v>
      </c>
      <c r="T17" s="40">
        <f>R17*S17</f>
        <v>210</v>
      </c>
      <c r="U17" s="44">
        <f>T17/$T$69</f>
        <v>2.9264389002176773E-3</v>
      </c>
      <c r="V17" s="53"/>
      <c r="W17" s="937" t="str">
        <f>'Standard Vorgaben'!C95</f>
        <v>Gründdunger (Terbona)</v>
      </c>
      <c r="X17" s="531">
        <f>'Standard Vorgaben'!C107</f>
        <v>1</v>
      </c>
      <c r="Y17" s="153">
        <f>'Standard Vorgaben'!C106</f>
        <v>250</v>
      </c>
      <c r="Z17" s="154">
        <f>'Standard Vorgaben'!C96</f>
        <v>1.05</v>
      </c>
      <c r="AA17" s="40">
        <f>Y17*Z17</f>
        <v>262.5</v>
      </c>
      <c r="AB17" s="44">
        <f>AA17/$AA$69</f>
        <v>7.5793931591791727E-3</v>
      </c>
      <c r="AC17" s="53"/>
      <c r="AD17" s="937" t="str">
        <f>'Standard Vorgaben'!C95</f>
        <v>Gründdunger (Terbona)</v>
      </c>
      <c r="AE17" s="531">
        <f>'Standard Vorgaben'!C107</f>
        <v>1</v>
      </c>
      <c r="AF17" s="153">
        <f>'Standard Vorgaben'!C106</f>
        <v>250</v>
      </c>
      <c r="AG17" s="154">
        <f>'Standard Vorgaben'!C96</f>
        <v>1.05</v>
      </c>
      <c r="AH17" s="40">
        <f>AF17*AG17</f>
        <v>262.5</v>
      </c>
      <c r="AI17" s="44">
        <f>AH17/$AH$69</f>
        <v>4.7658758844836592E-3</v>
      </c>
      <c r="AJ17" s="53"/>
      <c r="AK17" s="937" t="str">
        <f>'Standard Vorgaben'!C95</f>
        <v>Gründdunger (Terbona)</v>
      </c>
      <c r="AL17" s="531">
        <f>'Standard Vorgaben'!C107</f>
        <v>1</v>
      </c>
      <c r="AM17" s="153">
        <f>'Standard Vorgaben'!C106</f>
        <v>250</v>
      </c>
      <c r="AN17" s="154">
        <f>'Standard Vorgaben'!C96</f>
        <v>1.05</v>
      </c>
      <c r="AO17" s="40">
        <f>AM17*AN17</f>
        <v>262.5</v>
      </c>
      <c r="AP17" s="44">
        <f>AO17/$AO$69</f>
        <v>4.1404070971536519E-3</v>
      </c>
      <c r="AQ17" s="53"/>
      <c r="AR17" s="937" t="str">
        <f>'Standard Vorgaben'!C95</f>
        <v>Gründdunger (Terbona)</v>
      </c>
      <c r="AS17" s="531">
        <f>'Standard Vorgaben'!C107</f>
        <v>1</v>
      </c>
      <c r="AT17" s="153">
        <f>'Standard Vorgaben'!C106</f>
        <v>250</v>
      </c>
      <c r="AU17" s="154">
        <f>'Standard Vorgaben'!C96</f>
        <v>1.05</v>
      </c>
      <c r="AV17" s="40">
        <f>AT17*AU17</f>
        <v>262.5</v>
      </c>
      <c r="AW17" s="44">
        <f>AV17/$AV$69</f>
        <v>3.6758268454327109E-3</v>
      </c>
      <c r="AX17" s="53"/>
      <c r="AY17" s="937" t="str">
        <f>'Standard Vorgaben'!C95</f>
        <v>Gründdunger (Terbona)</v>
      </c>
      <c r="AZ17" s="531">
        <f>'Standard Vorgaben'!C107</f>
        <v>1</v>
      </c>
      <c r="BA17" s="153">
        <f>'Standard Vorgaben'!C106</f>
        <v>250</v>
      </c>
      <c r="BB17" s="154">
        <f>'Standard Vorgaben'!C96</f>
        <v>1.05</v>
      </c>
      <c r="BC17" s="40">
        <f>BA17*BB17</f>
        <v>262.5</v>
      </c>
      <c r="BD17" s="44">
        <f>BC17/$BC$69</f>
        <v>3.7063367078271486E-3</v>
      </c>
      <c r="BE17" s="53"/>
      <c r="BF17" s="937" t="str">
        <f>'Standard Vorgaben'!C95</f>
        <v>Gründdunger (Terbona)</v>
      </c>
      <c r="BG17" s="531">
        <f>'Standard Vorgaben'!C107</f>
        <v>1</v>
      </c>
      <c r="BH17" s="153">
        <f>'Standard Vorgaben'!C106</f>
        <v>250</v>
      </c>
      <c r="BI17" s="154">
        <f>'Standard Vorgaben'!C96</f>
        <v>1.05</v>
      </c>
      <c r="BJ17" s="40">
        <f>BH17*BI17</f>
        <v>262.5</v>
      </c>
      <c r="BK17" s="44">
        <f>BJ17/$BJ$69</f>
        <v>3.7133699889988366E-3</v>
      </c>
      <c r="BL17" s="53"/>
      <c r="BM17" s="937" t="str">
        <f>'Standard Vorgaben'!C95</f>
        <v>Gründdunger (Terbona)</v>
      </c>
      <c r="BN17" s="531">
        <f>'Standard Vorgaben'!C107</f>
        <v>1</v>
      </c>
      <c r="BO17" s="153">
        <f>'Standard Vorgaben'!C106</f>
        <v>250</v>
      </c>
      <c r="BP17" s="154">
        <f>'Standard Vorgaben'!C96</f>
        <v>1.05</v>
      </c>
      <c r="BQ17" s="40">
        <f>BO17*BP17</f>
        <v>262.5</v>
      </c>
      <c r="BR17" s="44">
        <f>BQ17/$BQ$69</f>
        <v>2.2125524950063801E-3</v>
      </c>
      <c r="BS17" s="53"/>
      <c r="BT17" s="937" t="str">
        <f>'Standard Vorgaben'!C95</f>
        <v>Gründdunger (Terbona)</v>
      </c>
      <c r="BU17" s="531">
        <f>'Standard Vorgaben'!C107</f>
        <v>1</v>
      </c>
      <c r="BV17" s="153">
        <f>'Standard Vorgaben'!C106</f>
        <v>250</v>
      </c>
      <c r="BW17" s="154">
        <f>'Standard Vorgaben'!C96</f>
        <v>1.05</v>
      </c>
      <c r="BX17" s="40">
        <f>BV17*BW17</f>
        <v>262.5</v>
      </c>
      <c r="BY17" s="44">
        <f>BX17/$BX$69</f>
        <v>3.8788585176533254E-3</v>
      </c>
      <c r="BZ17" s="53"/>
      <c r="CA17" s="937" t="str">
        <f>'Standard Vorgaben'!C95</f>
        <v>Gründdunger (Terbona)</v>
      </c>
      <c r="CB17" s="531">
        <f>'Standard Vorgaben'!C107</f>
        <v>1</v>
      </c>
      <c r="CC17" s="153">
        <f>'Standard Vorgaben'!C106</f>
        <v>250</v>
      </c>
      <c r="CD17" s="154">
        <f>'Standard Vorgaben'!C96</f>
        <v>1.05</v>
      </c>
      <c r="CE17" s="40">
        <f>CC17*CD17</f>
        <v>262.5</v>
      </c>
      <c r="CF17" s="44">
        <f>CE17/$CE$69</f>
        <v>3.8850638139845128E-3</v>
      </c>
      <c r="CG17" s="53"/>
      <c r="CH17" s="937" t="str">
        <f>'Standard Vorgaben'!C95</f>
        <v>Gründdunger (Terbona)</v>
      </c>
      <c r="CI17" s="531">
        <f>'Standard Vorgaben'!C107</f>
        <v>1</v>
      </c>
      <c r="CJ17" s="153">
        <f>'Standard Vorgaben'!C106</f>
        <v>250</v>
      </c>
      <c r="CK17" s="154">
        <f>'Standard Vorgaben'!C96</f>
        <v>1.05</v>
      </c>
      <c r="CL17" s="40">
        <f>CJ17*CK17</f>
        <v>262.5</v>
      </c>
      <c r="CM17" s="44">
        <f>CL17/$CL$69</f>
        <v>3.8684067429393225E-3</v>
      </c>
      <c r="CN17" s="53"/>
      <c r="CO17" s="937" t="str">
        <f>'Standard Vorgaben'!C95</f>
        <v>Gründdunger (Terbona)</v>
      </c>
      <c r="CP17" s="531">
        <f>'Standard Vorgaben'!C107</f>
        <v>1</v>
      </c>
      <c r="CQ17" s="153">
        <f>'Standard Vorgaben'!C106</f>
        <v>250</v>
      </c>
      <c r="CR17" s="154">
        <f>'Standard Vorgaben'!C96</f>
        <v>1.05</v>
      </c>
      <c r="CS17" s="40">
        <f>CQ17*CR17</f>
        <v>262.5</v>
      </c>
      <c r="CT17" s="44">
        <f>CS17/$CS$69</f>
        <v>3.8974952267660868E-3</v>
      </c>
      <c r="CU17" s="53"/>
      <c r="CV17" s="937" t="str">
        <f>'Standard Vorgaben'!C95</f>
        <v>Gründdunger (Terbona)</v>
      </c>
      <c r="CW17" s="531">
        <f>'Standard Vorgaben'!C107</f>
        <v>1</v>
      </c>
      <c r="CX17" s="153">
        <f>'Standard Vorgaben'!C106</f>
        <v>250</v>
      </c>
      <c r="CY17" s="154">
        <f>'Standard Vorgaben'!C96</f>
        <v>1.05</v>
      </c>
      <c r="CZ17" s="40">
        <f>CX17*CY17</f>
        <v>262.5</v>
      </c>
      <c r="DA17" s="44">
        <f>CZ17/$CZ$69</f>
        <v>4.0975202710531932E-3</v>
      </c>
      <c r="DB17" s="53"/>
      <c r="DC17" s="937" t="str">
        <f>'Standard Vorgaben'!C95</f>
        <v>Gründdunger (Terbona)</v>
      </c>
      <c r="DD17" s="531">
        <f>'Standard Vorgaben'!C107</f>
        <v>1</v>
      </c>
      <c r="DE17" s="153">
        <f>'Standard Vorgaben'!C106</f>
        <v>250</v>
      </c>
      <c r="DF17" s="154">
        <f>'Standard Vorgaben'!C96</f>
        <v>1.05</v>
      </c>
      <c r="DG17" s="40">
        <f>DE17*DF17</f>
        <v>262.5</v>
      </c>
      <c r="DH17" s="44">
        <f>DG17/$DG$69</f>
        <v>3.9296325520135371E-3</v>
      </c>
    </row>
    <row r="18" spans="1:112" x14ac:dyDescent="0.3">
      <c r="A18" s="53"/>
      <c r="B18" s="937"/>
      <c r="C18" s="531"/>
      <c r="D18" s="153"/>
      <c r="E18" s="154"/>
      <c r="F18" s="40"/>
      <c r="G18" s="44"/>
      <c r="H18" s="53"/>
      <c r="I18" s="937"/>
      <c r="J18" s="531"/>
      <c r="K18" s="153"/>
      <c r="L18" s="154"/>
      <c r="M18" s="40"/>
      <c r="N18" s="44"/>
      <c r="O18" s="53"/>
      <c r="P18" s="937"/>
      <c r="Q18" s="531"/>
      <c r="R18" s="153"/>
      <c r="S18" s="154"/>
      <c r="T18" s="40"/>
      <c r="U18" s="44"/>
      <c r="V18" s="53"/>
      <c r="W18" s="937" t="str">
        <f>'Standard Vorgaben'!D95</f>
        <v>Kompost</v>
      </c>
      <c r="X18" s="531">
        <f>'Standard Vorgaben'!D107</f>
        <v>1</v>
      </c>
      <c r="Y18" s="153">
        <f>'Standard Vorgaben'!D106</f>
        <v>20000</v>
      </c>
      <c r="Z18" s="154">
        <f>'Standard Vorgaben'!D96</f>
        <v>0.02</v>
      </c>
      <c r="AA18" s="41">
        <f>Y18*Z18</f>
        <v>400</v>
      </c>
      <c r="AB18" s="44"/>
      <c r="AC18" s="53"/>
      <c r="AD18" s="937"/>
      <c r="AE18" s="531"/>
      <c r="AF18" s="153"/>
      <c r="AG18" s="154"/>
      <c r="AH18" s="40"/>
      <c r="AI18" s="44"/>
      <c r="AJ18" s="53"/>
      <c r="AK18" s="937"/>
      <c r="AL18" s="531"/>
      <c r="AM18" s="153"/>
      <c r="AN18" s="154"/>
      <c r="AO18" s="40"/>
      <c r="AP18" s="44"/>
      <c r="AQ18" s="53"/>
      <c r="AR18" s="937" t="str">
        <f>$W$18</f>
        <v>Kompost</v>
      </c>
      <c r="AS18" s="1311">
        <f>$X$18</f>
        <v>1</v>
      </c>
      <c r="AT18" s="153">
        <f>$Y$18</f>
        <v>20000</v>
      </c>
      <c r="AU18" s="154">
        <f>$Z$18</f>
        <v>0.02</v>
      </c>
      <c r="AV18" s="41">
        <f>AT18*AU18</f>
        <v>400</v>
      </c>
      <c r="AW18" s="44"/>
      <c r="AX18" s="53"/>
      <c r="AY18" s="937"/>
      <c r="AZ18" s="531"/>
      <c r="BA18" s="153"/>
      <c r="BB18" s="154"/>
      <c r="BC18" s="40"/>
      <c r="BD18" s="44"/>
      <c r="BE18" s="53"/>
      <c r="BF18" s="937"/>
      <c r="BG18" s="531"/>
      <c r="BH18" s="153"/>
      <c r="BI18" s="154"/>
      <c r="BJ18" s="40"/>
      <c r="BK18" s="44"/>
      <c r="BL18" s="53"/>
      <c r="BM18" s="937" t="str">
        <f>$W$18</f>
        <v>Kompost</v>
      </c>
      <c r="BN18" s="1311">
        <f>$X$18</f>
        <v>1</v>
      </c>
      <c r="BO18" s="153">
        <f>$Y$18</f>
        <v>20000</v>
      </c>
      <c r="BP18" s="154">
        <f>$Z$18</f>
        <v>0.02</v>
      </c>
      <c r="BQ18" s="41">
        <f>BO18*BP18</f>
        <v>400</v>
      </c>
      <c r="BR18" s="44"/>
      <c r="BS18" s="53"/>
      <c r="BT18" s="937"/>
      <c r="BU18" s="531"/>
      <c r="BV18" s="153"/>
      <c r="BW18" s="154"/>
      <c r="BX18" s="40"/>
      <c r="BY18" s="44"/>
      <c r="BZ18" s="53"/>
      <c r="CA18" s="937"/>
      <c r="CB18" s="531"/>
      <c r="CC18" s="153"/>
      <c r="CD18" s="154"/>
      <c r="CE18" s="40"/>
      <c r="CF18" s="44"/>
      <c r="CG18" s="53"/>
      <c r="CH18" s="937" t="str">
        <f>$W$18</f>
        <v>Kompost</v>
      </c>
      <c r="CI18" s="1311">
        <f>$X$18</f>
        <v>1</v>
      </c>
      <c r="CJ18" s="153">
        <f>$Y$18</f>
        <v>20000</v>
      </c>
      <c r="CK18" s="154">
        <f>$Z$18</f>
        <v>0.02</v>
      </c>
      <c r="CL18" s="41">
        <f>CJ18*CK18</f>
        <v>400</v>
      </c>
      <c r="CM18" s="44"/>
      <c r="CN18" s="53"/>
      <c r="CO18" s="937"/>
      <c r="CP18" s="531"/>
      <c r="CQ18" s="153"/>
      <c r="CR18" s="154"/>
      <c r="CS18" s="40"/>
      <c r="CT18" s="44"/>
      <c r="CU18" s="53"/>
      <c r="CV18" s="937"/>
      <c r="CW18" s="531"/>
      <c r="CX18" s="153"/>
      <c r="CY18" s="154"/>
      <c r="CZ18" s="40"/>
      <c r="DA18" s="44"/>
      <c r="DB18" s="53"/>
      <c r="DC18" s="937"/>
      <c r="DD18" s="531"/>
      <c r="DE18" s="153"/>
      <c r="DF18" s="154"/>
      <c r="DG18" s="40"/>
      <c r="DH18" s="44"/>
    </row>
    <row r="19" spans="1:112" x14ac:dyDescent="0.3">
      <c r="A19" s="3"/>
      <c r="C19" s="235">
        <f>SUM(C16:C17)</f>
        <v>0</v>
      </c>
      <c r="F19" s="35">
        <f>SUM(F16:F17)</f>
        <v>0</v>
      </c>
      <c r="G19" s="668">
        <f>F19/$F$69</f>
        <v>0</v>
      </c>
      <c r="H19" s="3"/>
      <c r="I19" s="21"/>
      <c r="J19" s="12">
        <f>SUM(J16:J17)</f>
        <v>1</v>
      </c>
      <c r="K19" s="12"/>
      <c r="L19" s="32"/>
      <c r="M19" s="35">
        <f>SUM(M16:M17)</f>
        <v>90</v>
      </c>
      <c r="N19" s="668">
        <f>M19/$M$69</f>
        <v>7.8547251287224267E-3</v>
      </c>
      <c r="O19" s="3"/>
      <c r="P19" s="21"/>
      <c r="Q19" s="12">
        <f>SUM(Q16:Q17)</f>
        <v>2</v>
      </c>
      <c r="R19" s="12"/>
      <c r="S19" s="32"/>
      <c r="T19" s="35">
        <f>SUM(T16:T17)</f>
        <v>390</v>
      </c>
      <c r="U19" s="668">
        <f>T19/$T$69</f>
        <v>5.4348151004042578E-3</v>
      </c>
      <c r="V19" s="3"/>
      <c r="W19" s="21"/>
      <c r="X19" s="12">
        <f>SUM(X16:X18)</f>
        <v>3</v>
      </c>
      <c r="Y19" s="12"/>
      <c r="Z19" s="32"/>
      <c r="AA19" s="35">
        <f>SUM(AA16:AA18)</f>
        <v>842.5</v>
      </c>
      <c r="AB19" s="668">
        <f>AA19/$AA$69</f>
        <v>2.432624280612744E-2</v>
      </c>
      <c r="AC19" s="3"/>
      <c r="AD19" s="21"/>
      <c r="AE19" s="12">
        <f>SUM(AE16:AE17)</f>
        <v>2</v>
      </c>
      <c r="AF19" s="12"/>
      <c r="AG19" s="32"/>
      <c r="AH19" s="35">
        <f>SUM(AH16:AH17)</f>
        <v>442.5</v>
      </c>
      <c r="AI19" s="668">
        <f>AH19/$AH$69</f>
        <v>8.0339050624153099E-3</v>
      </c>
      <c r="AJ19" s="3"/>
      <c r="AK19" s="21"/>
      <c r="AL19" s="12">
        <f>SUM(AL16:AL17)</f>
        <v>2</v>
      </c>
      <c r="AM19" s="12"/>
      <c r="AN19" s="32"/>
      <c r="AO19" s="35">
        <f>SUM(AO16:AO17)</f>
        <v>442.5</v>
      </c>
      <c r="AP19" s="668">
        <f>AO19/$AO$69</f>
        <v>6.9795433923447283E-3</v>
      </c>
      <c r="AQ19" s="3"/>
      <c r="AR19" s="21"/>
      <c r="AS19" s="12">
        <f>SUM(AS16:AS18)</f>
        <v>3</v>
      </c>
      <c r="AT19" s="12"/>
      <c r="AU19" s="32"/>
      <c r="AV19" s="35">
        <f>SUM(AV16:AV18)</f>
        <v>842.5</v>
      </c>
      <c r="AW19" s="668">
        <f>AV19/$AV$69</f>
        <v>1.1797653780103081E-2</v>
      </c>
      <c r="AX19" s="3"/>
      <c r="AY19" s="21"/>
      <c r="AZ19" s="12">
        <f>SUM(AZ16:AZ17)</f>
        <v>2</v>
      </c>
      <c r="BA19" s="12"/>
      <c r="BB19" s="32"/>
      <c r="BC19" s="35">
        <f>SUM(BC16:BC17)</f>
        <v>442.5</v>
      </c>
      <c r="BD19" s="668">
        <f>BC19/$BC$69</f>
        <v>6.2478247360514792E-3</v>
      </c>
      <c r="BE19" s="3"/>
      <c r="BF19" s="21"/>
      <c r="BG19" s="12">
        <f>SUM(BG16:BG17)</f>
        <v>2</v>
      </c>
      <c r="BH19" s="12"/>
      <c r="BI19" s="32"/>
      <c r="BJ19" s="35">
        <f>SUM(BJ16:BJ17)</f>
        <v>442.5</v>
      </c>
      <c r="BK19" s="668">
        <f>BJ19/$BJ$69</f>
        <v>6.2596808385980383E-3</v>
      </c>
      <c r="BL19" s="3"/>
      <c r="BM19" s="21"/>
      <c r="BN19" s="12">
        <f>SUM(BN16:BN17)</f>
        <v>2</v>
      </c>
      <c r="BO19" s="12"/>
      <c r="BP19" s="32"/>
      <c r="BQ19" s="35">
        <f>SUM(BQ16:BQ18)</f>
        <v>842.5</v>
      </c>
      <c r="BR19" s="668">
        <f>BQ19/$BQ$69</f>
        <v>7.1012399125442863E-3</v>
      </c>
      <c r="BS19" s="3"/>
      <c r="BT19" s="21"/>
      <c r="BU19" s="12">
        <f>SUM(BU16:BU17)</f>
        <v>2</v>
      </c>
      <c r="BV19" s="12"/>
      <c r="BW19" s="32"/>
      <c r="BX19" s="35">
        <f>SUM(BX16:BX17)</f>
        <v>442.5</v>
      </c>
      <c r="BY19" s="668">
        <f>BX19/$BX$69</f>
        <v>6.5386472154727489E-3</v>
      </c>
      <c r="BZ19" s="3"/>
      <c r="CA19" s="21"/>
      <c r="CB19" s="12">
        <f>SUM(CB16:CB17)</f>
        <v>2</v>
      </c>
      <c r="CC19" s="12"/>
      <c r="CD19" s="32"/>
      <c r="CE19" s="35">
        <f>SUM(CE16:CE17)</f>
        <v>442.5</v>
      </c>
      <c r="CF19" s="668">
        <f>CE19/$CE$69</f>
        <v>6.5491075721453218E-3</v>
      </c>
      <c r="CG19" s="3"/>
      <c r="CH19" s="21"/>
      <c r="CI19" s="12">
        <f>SUM(CI16:CI17)</f>
        <v>2</v>
      </c>
      <c r="CJ19" s="12"/>
      <c r="CK19" s="32"/>
      <c r="CL19" s="35">
        <f>SUM(CL16:CL18)</f>
        <v>842.5</v>
      </c>
      <c r="CM19" s="668">
        <f>CL19/$CL$69</f>
        <v>1.2415743546386207E-2</v>
      </c>
      <c r="CN19" s="3"/>
      <c r="CO19" s="21"/>
      <c r="CP19" s="12">
        <f>SUM(CP16:CP17)</f>
        <v>2</v>
      </c>
      <c r="CQ19" s="12"/>
      <c r="CR19" s="32"/>
      <c r="CS19" s="35">
        <f>SUM(CS16:CS17)</f>
        <v>442.5</v>
      </c>
      <c r="CT19" s="668">
        <f>CS19/$CS$69</f>
        <v>6.5700633822628317E-3</v>
      </c>
      <c r="CU19" s="3"/>
      <c r="CV19" s="21"/>
      <c r="CW19" s="12">
        <f>SUM(CW16:CW17)</f>
        <v>2</v>
      </c>
      <c r="CX19" s="12"/>
      <c r="CY19" s="32"/>
      <c r="CZ19" s="35">
        <f>SUM(CZ16:CZ17)</f>
        <v>442.5</v>
      </c>
      <c r="DA19" s="668">
        <f>CZ19/$CZ$69</f>
        <v>6.9072484569182397E-3</v>
      </c>
      <c r="DB19" s="3"/>
      <c r="DC19" s="21"/>
      <c r="DD19" s="12">
        <f>SUM(DD16:DD17)</f>
        <v>2</v>
      </c>
      <c r="DE19" s="12"/>
      <c r="DF19" s="32"/>
      <c r="DG19" s="35">
        <f>SUM(DG16:DG17)</f>
        <v>442.5</v>
      </c>
      <c r="DH19" s="668">
        <f>DG19/$DG$69</f>
        <v>6.6242377305371046E-3</v>
      </c>
    </row>
    <row r="20" spans="1:112" x14ac:dyDescent="0.3">
      <c r="B20"/>
      <c r="E20" s="33"/>
      <c r="G20" s="44"/>
      <c r="H20" s="18"/>
      <c r="I20"/>
      <c r="J20" s="12"/>
      <c r="K20" s="12"/>
      <c r="L20" s="33"/>
      <c r="M20" s="33"/>
      <c r="N20" s="44"/>
      <c r="O20" s="149"/>
      <c r="Q20" s="12"/>
      <c r="R20" s="12"/>
      <c r="S20" s="33"/>
      <c r="T20" s="33"/>
      <c r="U20" s="44"/>
      <c r="V20" s="149"/>
      <c r="X20" s="12"/>
      <c r="Y20" s="12"/>
      <c r="Z20" s="33"/>
      <c r="AA20" s="33"/>
      <c r="AB20" s="44"/>
      <c r="AC20" s="149"/>
      <c r="AE20" s="12"/>
      <c r="AF20" s="12"/>
      <c r="AG20" s="33"/>
      <c r="AH20" s="33"/>
      <c r="AI20" s="44"/>
      <c r="AJ20" s="149"/>
      <c r="AL20" s="12"/>
      <c r="AM20" s="12"/>
      <c r="AN20" s="33"/>
      <c r="AO20" s="33"/>
      <c r="AP20" s="44"/>
      <c r="AQ20" s="149"/>
      <c r="AS20" s="12"/>
      <c r="AT20" s="12"/>
      <c r="AU20" s="33"/>
      <c r="AV20" s="33"/>
      <c r="AW20" s="44"/>
      <c r="AX20" s="149"/>
      <c r="AZ20" s="12"/>
      <c r="BA20" s="12"/>
      <c r="BB20" s="33"/>
      <c r="BC20" s="33"/>
      <c r="BD20" s="44"/>
      <c r="BE20" s="149"/>
      <c r="BG20" s="12"/>
      <c r="BH20" s="12"/>
      <c r="BI20" s="33"/>
      <c r="BJ20" s="33"/>
      <c r="BK20" s="44"/>
      <c r="BL20" s="149"/>
      <c r="BN20" s="12"/>
      <c r="BO20" s="12"/>
      <c r="BP20" s="33"/>
      <c r="BQ20" s="33"/>
      <c r="BR20" s="44"/>
      <c r="BS20" s="149"/>
      <c r="BU20" s="12"/>
      <c r="BV20" s="12"/>
      <c r="BW20" s="33"/>
      <c r="BX20" s="33"/>
      <c r="BY20" s="44"/>
      <c r="BZ20" s="149"/>
      <c r="CB20" s="12"/>
      <c r="CC20" s="12"/>
      <c r="CD20" s="33"/>
      <c r="CE20" s="33"/>
      <c r="CF20" s="44"/>
      <c r="CG20" s="149"/>
      <c r="CI20" s="12"/>
      <c r="CJ20" s="12"/>
      <c r="CK20" s="33"/>
      <c r="CL20" s="33"/>
      <c r="CM20" s="44"/>
      <c r="CN20" s="149"/>
      <c r="CP20" s="12"/>
      <c r="CQ20" s="12"/>
      <c r="CR20" s="33"/>
      <c r="CS20" s="33"/>
      <c r="CT20" s="44"/>
      <c r="CU20" s="149"/>
      <c r="CW20" s="12"/>
      <c r="CX20" s="12"/>
      <c r="CY20" s="33"/>
      <c r="CZ20" s="33"/>
      <c r="DA20" s="44"/>
      <c r="DB20" s="149"/>
      <c r="DD20" s="12"/>
      <c r="DE20" s="12"/>
      <c r="DF20" s="33"/>
      <c r="DG20" s="33"/>
      <c r="DH20" s="44"/>
    </row>
    <row r="21" spans="1:112" x14ac:dyDescent="0.3">
      <c r="A21" s="18" t="str">
        <f>'Standard Vorgaben'!$A$112</f>
        <v>Fungzide</v>
      </c>
      <c r="B21"/>
      <c r="E21" s="33"/>
      <c r="F21" s="33">
        <f>'Standard Vorgaben'!B112</f>
        <v>350</v>
      </c>
      <c r="G21" s="44"/>
      <c r="H21" s="18" t="str">
        <f>'Standard Vorgaben'!$A$112</f>
        <v>Fungzide</v>
      </c>
      <c r="I21"/>
      <c r="J21" s="12"/>
      <c r="K21" s="12"/>
      <c r="L21" s="33"/>
      <c r="M21" s="33">
        <f>'Standard Vorgaben'!C112</f>
        <v>400</v>
      </c>
      <c r="N21" s="44"/>
      <c r="O21" s="18" t="str">
        <f>'Standard Vorgaben'!$A$112</f>
        <v>Fungzide</v>
      </c>
      <c r="Q21" s="12"/>
      <c r="R21" s="12"/>
      <c r="S21" s="33"/>
      <c r="T21" s="33">
        <f>'Standard Vorgaben'!$D$112</f>
        <v>900</v>
      </c>
      <c r="U21" s="44"/>
      <c r="V21" s="18" t="str">
        <f>'Standard Vorgaben'!$A$112</f>
        <v>Fungzide</v>
      </c>
      <c r="X21" s="12"/>
      <c r="Y21" s="12"/>
      <c r="Z21" s="33"/>
      <c r="AA21" s="33">
        <f>'Standard Vorgaben'!$D$112</f>
        <v>900</v>
      </c>
      <c r="AB21" s="44"/>
      <c r="AC21" s="18" t="str">
        <f>'Standard Vorgaben'!$A$112</f>
        <v>Fungzide</v>
      </c>
      <c r="AE21" s="12"/>
      <c r="AF21" s="12"/>
      <c r="AG21" s="33"/>
      <c r="AH21" s="33">
        <f>'Standard Vorgaben'!$D$112</f>
        <v>900</v>
      </c>
      <c r="AI21" s="44"/>
      <c r="AJ21" s="18" t="str">
        <f>'Standard Vorgaben'!$A$112</f>
        <v>Fungzide</v>
      </c>
      <c r="AL21" s="12"/>
      <c r="AM21" s="12"/>
      <c r="AN21" s="33"/>
      <c r="AO21" s="33">
        <f>'Standard Vorgaben'!$D$112</f>
        <v>900</v>
      </c>
      <c r="AP21" s="44"/>
      <c r="AQ21" s="18" t="str">
        <f>'Standard Vorgaben'!$A$112</f>
        <v>Fungzide</v>
      </c>
      <c r="AS21" s="12"/>
      <c r="AT21" s="12"/>
      <c r="AU21" s="33"/>
      <c r="AV21" s="33">
        <f>'Standard Vorgaben'!$D$112</f>
        <v>900</v>
      </c>
      <c r="AW21" s="44"/>
      <c r="AX21" s="18" t="str">
        <f>'Standard Vorgaben'!$A$112</f>
        <v>Fungzide</v>
      </c>
      <c r="AZ21" s="12"/>
      <c r="BA21" s="12"/>
      <c r="BB21" s="33"/>
      <c r="BC21" s="33">
        <f>'Standard Vorgaben'!$D$112</f>
        <v>900</v>
      </c>
      <c r="BD21" s="44"/>
      <c r="BE21" s="18" t="str">
        <f>'Standard Vorgaben'!$A$112</f>
        <v>Fungzide</v>
      </c>
      <c r="BG21" s="12"/>
      <c r="BH21" s="12"/>
      <c r="BI21" s="33"/>
      <c r="BJ21" s="33">
        <f>'Standard Vorgaben'!$D$112</f>
        <v>900</v>
      </c>
      <c r="BK21" s="44"/>
      <c r="BL21" s="18" t="str">
        <f>'Standard Vorgaben'!$A$112</f>
        <v>Fungzide</v>
      </c>
      <c r="BN21" s="12"/>
      <c r="BO21" s="12"/>
      <c r="BP21" s="33"/>
      <c r="BQ21" s="33">
        <f>'Standard Vorgaben'!$D$112</f>
        <v>900</v>
      </c>
      <c r="BR21" s="44"/>
      <c r="BS21" s="18" t="str">
        <f>'Standard Vorgaben'!$A$112</f>
        <v>Fungzide</v>
      </c>
      <c r="BU21" s="12"/>
      <c r="BV21" s="12"/>
      <c r="BW21" s="33"/>
      <c r="BX21" s="33">
        <f>'Standard Vorgaben'!$D$112</f>
        <v>900</v>
      </c>
      <c r="BY21" s="44"/>
      <c r="BZ21" s="18" t="str">
        <f>'Standard Vorgaben'!$A$112</f>
        <v>Fungzide</v>
      </c>
      <c r="CB21" s="12"/>
      <c r="CC21" s="12"/>
      <c r="CD21" s="33"/>
      <c r="CE21" s="33">
        <f>'Standard Vorgaben'!$D$112</f>
        <v>900</v>
      </c>
      <c r="CF21" s="44"/>
      <c r="CG21" s="18" t="str">
        <f>'Standard Vorgaben'!$A$112</f>
        <v>Fungzide</v>
      </c>
      <c r="CI21" s="12"/>
      <c r="CJ21" s="12"/>
      <c r="CK21" s="33"/>
      <c r="CL21" s="33">
        <f>'Standard Vorgaben'!$D$112</f>
        <v>900</v>
      </c>
      <c r="CM21" s="44"/>
      <c r="CN21" s="18" t="str">
        <f>'Standard Vorgaben'!$A$112</f>
        <v>Fungzide</v>
      </c>
      <c r="CP21" s="12"/>
      <c r="CQ21" s="12"/>
      <c r="CR21" s="33"/>
      <c r="CS21" s="33">
        <f>'Standard Vorgaben'!$D$112</f>
        <v>900</v>
      </c>
      <c r="CT21" s="44"/>
      <c r="CU21" s="18" t="str">
        <f>'Standard Vorgaben'!$A$112</f>
        <v>Fungzide</v>
      </c>
      <c r="CW21" s="12"/>
      <c r="CX21" s="12"/>
      <c r="CY21" s="33"/>
      <c r="CZ21" s="33">
        <f>'Standard Vorgaben'!$D$112</f>
        <v>900</v>
      </c>
      <c r="DA21" s="44"/>
      <c r="DB21" s="18" t="str">
        <f>'Standard Vorgaben'!$A$112</f>
        <v>Fungzide</v>
      </c>
      <c r="DD21" s="12"/>
      <c r="DE21" s="12"/>
      <c r="DF21" s="33"/>
      <c r="DG21" s="33">
        <f>'Standard Vorgaben'!$D$112</f>
        <v>900</v>
      </c>
      <c r="DH21" s="44"/>
    </row>
    <row r="22" spans="1:112" x14ac:dyDescent="0.3">
      <c r="A22" s="18" t="str">
        <f>'Standard Vorgaben'!$A$113</f>
        <v>Insektizide</v>
      </c>
      <c r="B22"/>
      <c r="E22" s="33"/>
      <c r="F22" s="33">
        <f>'Standard Vorgaben'!B113</f>
        <v>360</v>
      </c>
      <c r="G22" s="44"/>
      <c r="H22" s="18" t="str">
        <f>'Standard Vorgaben'!$A$113</f>
        <v>Insektizide</v>
      </c>
      <c r="I22"/>
      <c r="J22" s="12"/>
      <c r="K22" s="12"/>
      <c r="L22" s="33"/>
      <c r="M22" s="33">
        <f>'Standard Vorgaben'!C113</f>
        <v>360</v>
      </c>
      <c r="N22" s="44"/>
      <c r="O22" s="18" t="str">
        <f>'Standard Vorgaben'!$A$113</f>
        <v>Insektizide</v>
      </c>
      <c r="Q22" s="12"/>
      <c r="R22" s="12"/>
      <c r="S22" s="33"/>
      <c r="T22" s="33">
        <f>'Standard Vorgaben'!$D$113</f>
        <v>900</v>
      </c>
      <c r="U22" s="44"/>
      <c r="V22" s="18" t="str">
        <f>'Standard Vorgaben'!$A$113</f>
        <v>Insektizide</v>
      </c>
      <c r="X22" s="12"/>
      <c r="Y22" s="12"/>
      <c r="Z22" s="33"/>
      <c r="AA22" s="33">
        <f>'Standard Vorgaben'!$D$113</f>
        <v>900</v>
      </c>
      <c r="AB22" s="44"/>
      <c r="AC22" s="18" t="str">
        <f>'Standard Vorgaben'!$A$113</f>
        <v>Insektizide</v>
      </c>
      <c r="AE22" s="12"/>
      <c r="AF22" s="12"/>
      <c r="AG22" s="33"/>
      <c r="AH22" s="33">
        <f>'Standard Vorgaben'!$D$113</f>
        <v>900</v>
      </c>
      <c r="AI22" s="44"/>
      <c r="AJ22" s="18" t="str">
        <f>'Standard Vorgaben'!$A$113</f>
        <v>Insektizide</v>
      </c>
      <c r="AL22" s="12"/>
      <c r="AM22" s="12"/>
      <c r="AN22" s="33"/>
      <c r="AO22" s="33">
        <f>'Standard Vorgaben'!$D$113</f>
        <v>900</v>
      </c>
      <c r="AP22" s="44"/>
      <c r="AQ22" s="18" t="str">
        <f>'Standard Vorgaben'!$A$113</f>
        <v>Insektizide</v>
      </c>
      <c r="AS22" s="12"/>
      <c r="AT22" s="12"/>
      <c r="AU22" s="33"/>
      <c r="AV22" s="33">
        <f>'Standard Vorgaben'!$D$113</f>
        <v>900</v>
      </c>
      <c r="AW22" s="44"/>
      <c r="AX22" s="18" t="str">
        <f>'Standard Vorgaben'!$A$113</f>
        <v>Insektizide</v>
      </c>
      <c r="AZ22" s="12"/>
      <c r="BA22" s="12"/>
      <c r="BB22" s="33"/>
      <c r="BC22" s="33">
        <f>'Standard Vorgaben'!$D$113</f>
        <v>900</v>
      </c>
      <c r="BD22" s="44"/>
      <c r="BE22" s="18" t="str">
        <f>'Standard Vorgaben'!$A$113</f>
        <v>Insektizide</v>
      </c>
      <c r="BG22" s="12"/>
      <c r="BH22" s="12"/>
      <c r="BI22" s="33"/>
      <c r="BJ22" s="33">
        <f>'Standard Vorgaben'!$D$113</f>
        <v>900</v>
      </c>
      <c r="BK22" s="44"/>
      <c r="BL22" s="18" t="str">
        <f>'Standard Vorgaben'!$A$113</f>
        <v>Insektizide</v>
      </c>
      <c r="BN22" s="12"/>
      <c r="BO22" s="12"/>
      <c r="BP22" s="33"/>
      <c r="BQ22" s="33">
        <f>'Standard Vorgaben'!$D$113</f>
        <v>900</v>
      </c>
      <c r="BR22" s="44"/>
      <c r="BS22" s="18" t="str">
        <f>'Standard Vorgaben'!$A$113</f>
        <v>Insektizide</v>
      </c>
      <c r="BU22" s="12"/>
      <c r="BV22" s="12"/>
      <c r="BW22" s="33"/>
      <c r="BX22" s="33">
        <f>'Standard Vorgaben'!$D$113</f>
        <v>900</v>
      </c>
      <c r="BY22" s="44"/>
      <c r="BZ22" s="18" t="str">
        <f>'Standard Vorgaben'!$A$113</f>
        <v>Insektizide</v>
      </c>
      <c r="CB22" s="12"/>
      <c r="CC22" s="12"/>
      <c r="CD22" s="33"/>
      <c r="CE22" s="33">
        <f>'Standard Vorgaben'!$D$113</f>
        <v>900</v>
      </c>
      <c r="CF22" s="44"/>
      <c r="CG22" s="18" t="str">
        <f>'Standard Vorgaben'!$A$113</f>
        <v>Insektizide</v>
      </c>
      <c r="CI22" s="12"/>
      <c r="CJ22" s="12"/>
      <c r="CK22" s="33"/>
      <c r="CL22" s="33">
        <f>'Standard Vorgaben'!$D$113</f>
        <v>900</v>
      </c>
      <c r="CM22" s="44"/>
      <c r="CN22" s="18" t="str">
        <f>'Standard Vorgaben'!$A$113</f>
        <v>Insektizide</v>
      </c>
      <c r="CP22" s="12"/>
      <c r="CQ22" s="12"/>
      <c r="CR22" s="33"/>
      <c r="CS22" s="33">
        <f>'Standard Vorgaben'!$D$113</f>
        <v>900</v>
      </c>
      <c r="CT22" s="44"/>
      <c r="CU22" s="18" t="str">
        <f>'Standard Vorgaben'!$A$113</f>
        <v>Insektizide</v>
      </c>
      <c r="CW22" s="12"/>
      <c r="CX22" s="12"/>
      <c r="CY22" s="33"/>
      <c r="CZ22" s="33">
        <f>'Standard Vorgaben'!$D$113</f>
        <v>900</v>
      </c>
      <c r="DA22" s="44"/>
      <c r="DB22" s="18" t="str">
        <f>'Standard Vorgaben'!$A$113</f>
        <v>Insektizide</v>
      </c>
      <c r="DD22" s="12"/>
      <c r="DE22" s="12"/>
      <c r="DF22" s="33"/>
      <c r="DG22" s="33">
        <f>'Standard Vorgaben'!$D$113</f>
        <v>900</v>
      </c>
      <c r="DH22" s="44"/>
    </row>
    <row r="23" spans="1:112" x14ac:dyDescent="0.3">
      <c r="A23" s="18" t="str">
        <f>'Standard Vorgaben'!$A$114</f>
        <v>Herbizide</v>
      </c>
      <c r="B23"/>
      <c r="E23" s="33"/>
      <c r="F23" s="33">
        <f>'Standard Vorgaben'!B114</f>
        <v>0</v>
      </c>
      <c r="G23" s="44"/>
      <c r="H23" s="18" t="str">
        <f>'Standard Vorgaben'!$A$114</f>
        <v>Herbizide</v>
      </c>
      <c r="I23"/>
      <c r="J23" s="12"/>
      <c r="K23" s="12"/>
      <c r="L23" s="33"/>
      <c r="M23" s="33">
        <f>'Standard Vorgaben'!C114</f>
        <v>0</v>
      </c>
      <c r="N23" s="44"/>
      <c r="O23" s="18" t="str">
        <f>'Standard Vorgaben'!$A$114</f>
        <v>Herbizide</v>
      </c>
      <c r="Q23" s="12"/>
      <c r="R23" s="12"/>
      <c r="S23" s="33"/>
      <c r="T23" s="33">
        <f>'Standard Vorgaben'!$D$114</f>
        <v>500</v>
      </c>
      <c r="U23" s="44"/>
      <c r="V23" s="18" t="str">
        <f>'Standard Vorgaben'!$A$114</f>
        <v>Herbizide</v>
      </c>
      <c r="X23" s="12"/>
      <c r="Y23" s="12"/>
      <c r="Z23" s="33"/>
      <c r="AA23" s="33">
        <f>'Standard Vorgaben'!$D$114</f>
        <v>500</v>
      </c>
      <c r="AB23" s="44"/>
      <c r="AC23" s="18" t="str">
        <f>'Standard Vorgaben'!$A$114</f>
        <v>Herbizide</v>
      </c>
      <c r="AE23" s="12"/>
      <c r="AF23" s="12"/>
      <c r="AG23" s="33"/>
      <c r="AH23" s="33">
        <f>'Standard Vorgaben'!$D$114</f>
        <v>500</v>
      </c>
      <c r="AI23" s="44"/>
      <c r="AJ23" s="18" t="str">
        <f>'Standard Vorgaben'!$A$114</f>
        <v>Herbizide</v>
      </c>
      <c r="AL23" s="12"/>
      <c r="AM23" s="12"/>
      <c r="AN23" s="33"/>
      <c r="AO23" s="33">
        <f>'Standard Vorgaben'!$D$114</f>
        <v>500</v>
      </c>
      <c r="AP23" s="44"/>
      <c r="AQ23" s="18" t="str">
        <f>'Standard Vorgaben'!$A$114</f>
        <v>Herbizide</v>
      </c>
      <c r="AS23" s="12"/>
      <c r="AT23" s="12"/>
      <c r="AU23" s="33"/>
      <c r="AV23" s="33">
        <f>'Standard Vorgaben'!$D$114</f>
        <v>500</v>
      </c>
      <c r="AW23" s="44"/>
      <c r="AX23" s="18" t="str">
        <f>'Standard Vorgaben'!$A$114</f>
        <v>Herbizide</v>
      </c>
      <c r="AZ23" s="12"/>
      <c r="BA23" s="12"/>
      <c r="BB23" s="33"/>
      <c r="BC23" s="33">
        <f>'Standard Vorgaben'!$D$114</f>
        <v>500</v>
      </c>
      <c r="BD23" s="44"/>
      <c r="BE23" s="18" t="str">
        <f>'Standard Vorgaben'!$A$114</f>
        <v>Herbizide</v>
      </c>
      <c r="BG23" s="12"/>
      <c r="BH23" s="12"/>
      <c r="BI23" s="33"/>
      <c r="BJ23" s="33">
        <f>'Standard Vorgaben'!$D$114</f>
        <v>500</v>
      </c>
      <c r="BK23" s="44"/>
      <c r="BL23" s="18" t="str">
        <f>'Standard Vorgaben'!$A$114</f>
        <v>Herbizide</v>
      </c>
      <c r="BN23" s="12"/>
      <c r="BO23" s="12"/>
      <c r="BP23" s="33"/>
      <c r="BQ23" s="33">
        <f>'Standard Vorgaben'!$D$114</f>
        <v>500</v>
      </c>
      <c r="BR23" s="44"/>
      <c r="BS23" s="18" t="str">
        <f>'Standard Vorgaben'!$A$114</f>
        <v>Herbizide</v>
      </c>
      <c r="BU23" s="12"/>
      <c r="BV23" s="12"/>
      <c r="BW23" s="33"/>
      <c r="BX23" s="33">
        <f>'Standard Vorgaben'!$D$114</f>
        <v>500</v>
      </c>
      <c r="BY23" s="44"/>
      <c r="BZ23" s="18" t="str">
        <f>'Standard Vorgaben'!$A$114</f>
        <v>Herbizide</v>
      </c>
      <c r="CB23" s="12"/>
      <c r="CC23" s="12"/>
      <c r="CD23" s="33"/>
      <c r="CE23" s="33">
        <f>'Standard Vorgaben'!$D$114</f>
        <v>500</v>
      </c>
      <c r="CF23" s="44"/>
      <c r="CG23" s="18" t="str">
        <f>'Standard Vorgaben'!$A$114</f>
        <v>Herbizide</v>
      </c>
      <c r="CI23" s="12"/>
      <c r="CJ23" s="12"/>
      <c r="CK23" s="33"/>
      <c r="CL23" s="33">
        <f>'Standard Vorgaben'!$D$114</f>
        <v>500</v>
      </c>
      <c r="CM23" s="44"/>
      <c r="CN23" s="18" t="str">
        <f>'Standard Vorgaben'!$A$114</f>
        <v>Herbizide</v>
      </c>
      <c r="CP23" s="12"/>
      <c r="CQ23" s="12"/>
      <c r="CR23" s="33"/>
      <c r="CS23" s="33">
        <f>'Standard Vorgaben'!$D$114</f>
        <v>500</v>
      </c>
      <c r="CT23" s="44"/>
      <c r="CU23" s="18" t="str">
        <f>'Standard Vorgaben'!$A$114</f>
        <v>Herbizide</v>
      </c>
      <c r="CW23" s="12"/>
      <c r="CX23" s="12"/>
      <c r="CY23" s="33"/>
      <c r="CZ23" s="33">
        <f>'Standard Vorgaben'!$D$114</f>
        <v>500</v>
      </c>
      <c r="DA23" s="44"/>
      <c r="DB23" s="18" t="str">
        <f>'Standard Vorgaben'!$A$114</f>
        <v>Herbizide</v>
      </c>
      <c r="DD23" s="12"/>
      <c r="DE23" s="12"/>
      <c r="DF23" s="33"/>
      <c r="DG23" s="33">
        <f>'Standard Vorgaben'!$D$114</f>
        <v>500</v>
      </c>
      <c r="DH23" s="44"/>
    </row>
    <row r="24" spans="1:112" x14ac:dyDescent="0.3">
      <c r="A24" s="18" t="str">
        <f>'Standard Vorgaben'!$A$115</f>
        <v>Behangsregulierung</v>
      </c>
      <c r="D24" s="182"/>
      <c r="E24" s="33"/>
      <c r="F24" s="33">
        <f>'Standard Vorgaben'!B115</f>
        <v>0</v>
      </c>
      <c r="G24" s="44"/>
      <c r="H24" s="18" t="str">
        <f>'Standard Vorgaben'!$A$115</f>
        <v>Behangsregulierung</v>
      </c>
      <c r="I24" s="21"/>
      <c r="J24" s="12"/>
      <c r="K24" s="182"/>
      <c r="L24" s="33"/>
      <c r="M24" s="33">
        <f>'Standard Vorgaben'!C115</f>
        <v>0</v>
      </c>
      <c r="N24" s="44"/>
      <c r="O24" s="18" t="str">
        <f>'Standard Vorgaben'!$A$115</f>
        <v>Behangsregulierung</v>
      </c>
      <c r="P24" s="21"/>
      <c r="Q24" s="12"/>
      <c r="R24" s="182"/>
      <c r="S24" s="33"/>
      <c r="T24" s="33">
        <f>'Standard Vorgaben'!$D$115</f>
        <v>100</v>
      </c>
      <c r="U24" s="44"/>
      <c r="V24" s="18" t="str">
        <f>'Standard Vorgaben'!$A$115</f>
        <v>Behangsregulierung</v>
      </c>
      <c r="W24" s="21"/>
      <c r="X24" s="12"/>
      <c r="Y24" s="182"/>
      <c r="Z24" s="33"/>
      <c r="AA24" s="33">
        <f>'Standard Vorgaben'!$D$115</f>
        <v>100</v>
      </c>
      <c r="AB24" s="44"/>
      <c r="AC24" s="18" t="str">
        <f>'Standard Vorgaben'!$A$115</f>
        <v>Behangsregulierung</v>
      </c>
      <c r="AD24" s="21"/>
      <c r="AE24" s="12"/>
      <c r="AF24" s="182"/>
      <c r="AG24" s="33"/>
      <c r="AH24" s="33">
        <f>'Standard Vorgaben'!$D$115</f>
        <v>100</v>
      </c>
      <c r="AI24" s="44"/>
      <c r="AJ24" s="18" t="str">
        <f>'Standard Vorgaben'!$A$115</f>
        <v>Behangsregulierung</v>
      </c>
      <c r="AK24" s="21"/>
      <c r="AL24" s="12"/>
      <c r="AM24" s="182"/>
      <c r="AN24" s="33"/>
      <c r="AO24" s="33">
        <f>'Standard Vorgaben'!$D$115</f>
        <v>100</v>
      </c>
      <c r="AP24" s="44"/>
      <c r="AQ24" s="18" t="str">
        <f>'Standard Vorgaben'!$A$115</f>
        <v>Behangsregulierung</v>
      </c>
      <c r="AR24" s="21"/>
      <c r="AS24" s="12"/>
      <c r="AT24" s="182"/>
      <c r="AU24" s="33"/>
      <c r="AV24" s="33">
        <f>'Standard Vorgaben'!$D$115</f>
        <v>100</v>
      </c>
      <c r="AW24" s="44"/>
      <c r="AX24" s="18" t="str">
        <f>'Standard Vorgaben'!$A$115</f>
        <v>Behangsregulierung</v>
      </c>
      <c r="AY24" s="21"/>
      <c r="AZ24" s="12"/>
      <c r="BA24" s="182"/>
      <c r="BB24" s="33"/>
      <c r="BC24" s="33">
        <f>'Standard Vorgaben'!$D$115</f>
        <v>100</v>
      </c>
      <c r="BD24" s="44"/>
      <c r="BE24" s="18" t="str">
        <f>'Standard Vorgaben'!$A$115</f>
        <v>Behangsregulierung</v>
      </c>
      <c r="BF24" s="21"/>
      <c r="BG24" s="12"/>
      <c r="BH24" s="182"/>
      <c r="BI24" s="33"/>
      <c r="BJ24" s="33">
        <f>'Standard Vorgaben'!$D$115</f>
        <v>100</v>
      </c>
      <c r="BK24" s="44"/>
      <c r="BL24" s="18" t="str">
        <f>'Standard Vorgaben'!$A$115</f>
        <v>Behangsregulierung</v>
      </c>
      <c r="BM24" s="21"/>
      <c r="BN24" s="12"/>
      <c r="BO24" s="182"/>
      <c r="BP24" s="33"/>
      <c r="BQ24" s="33">
        <f>'Standard Vorgaben'!$D$115</f>
        <v>100</v>
      </c>
      <c r="BR24" s="44"/>
      <c r="BS24" s="18" t="str">
        <f>'Standard Vorgaben'!$A$115</f>
        <v>Behangsregulierung</v>
      </c>
      <c r="BT24" s="21"/>
      <c r="BU24" s="12"/>
      <c r="BV24" s="182"/>
      <c r="BW24" s="33"/>
      <c r="BX24" s="33">
        <f>'Standard Vorgaben'!$D$115</f>
        <v>100</v>
      </c>
      <c r="BY24" s="44"/>
      <c r="BZ24" s="18" t="str">
        <f>'Standard Vorgaben'!$A$115</f>
        <v>Behangsregulierung</v>
      </c>
      <c r="CA24" s="21"/>
      <c r="CB24" s="12"/>
      <c r="CC24" s="182"/>
      <c r="CD24" s="33"/>
      <c r="CE24" s="33">
        <f>'Standard Vorgaben'!$D$115</f>
        <v>100</v>
      </c>
      <c r="CF24" s="44"/>
      <c r="CG24" s="18" t="str">
        <f>'Standard Vorgaben'!$A$115</f>
        <v>Behangsregulierung</v>
      </c>
      <c r="CH24" s="21"/>
      <c r="CI24" s="12"/>
      <c r="CJ24" s="182"/>
      <c r="CK24" s="33"/>
      <c r="CL24" s="33">
        <f>'Standard Vorgaben'!$D$115</f>
        <v>100</v>
      </c>
      <c r="CM24" s="44"/>
      <c r="CN24" s="18" t="str">
        <f>'Standard Vorgaben'!$A$115</f>
        <v>Behangsregulierung</v>
      </c>
      <c r="CO24" s="21"/>
      <c r="CP24" s="12"/>
      <c r="CQ24" s="182"/>
      <c r="CR24" s="33"/>
      <c r="CS24" s="33">
        <f>'Standard Vorgaben'!$D$115</f>
        <v>100</v>
      </c>
      <c r="CT24" s="44"/>
      <c r="CU24" s="18" t="str">
        <f>'Standard Vorgaben'!$A$115</f>
        <v>Behangsregulierung</v>
      </c>
      <c r="CV24" s="21"/>
      <c r="CW24" s="12"/>
      <c r="CX24" s="182"/>
      <c r="CY24" s="33"/>
      <c r="CZ24" s="33">
        <f>'Standard Vorgaben'!$D$115</f>
        <v>100</v>
      </c>
      <c r="DA24" s="44"/>
      <c r="DB24" s="18" t="str">
        <f>'Standard Vorgaben'!$A$115</f>
        <v>Behangsregulierung</v>
      </c>
      <c r="DC24" s="21"/>
      <c r="DD24" s="12"/>
      <c r="DE24" s="182"/>
      <c r="DF24" s="33"/>
      <c r="DG24" s="33">
        <f>'Standard Vorgaben'!$D$115</f>
        <v>100</v>
      </c>
      <c r="DH24" s="44"/>
    </row>
    <row r="25" spans="1:112" ht="13.5" thickBot="1" x14ac:dyDescent="0.35">
      <c r="A25" s="18" t="str">
        <f>'Standard Vorgaben'!$A$116</f>
        <v>Blattdüngung</v>
      </c>
      <c r="B25"/>
      <c r="D25" s="673"/>
      <c r="E25" s="49"/>
      <c r="F25" s="666">
        <f>'Standard Vorgaben'!B116</f>
        <v>15</v>
      </c>
      <c r="G25" s="44"/>
      <c r="H25" s="18" t="str">
        <f>'Standard Vorgaben'!$A$116</f>
        <v>Blattdüngung</v>
      </c>
      <c r="I25"/>
      <c r="J25" s="12"/>
      <c r="K25" s="673"/>
      <c r="L25" s="49"/>
      <c r="M25" s="666">
        <f>'Standard Vorgaben'!C116</f>
        <v>15</v>
      </c>
      <c r="N25" s="44"/>
      <c r="O25" s="18" t="str">
        <f>'Standard Vorgaben'!$A$116</f>
        <v>Blattdüngung</v>
      </c>
      <c r="Q25" s="12"/>
      <c r="R25" s="673"/>
      <c r="S25" s="49"/>
      <c r="T25" s="666">
        <f>'Standard Vorgaben'!$D$116</f>
        <v>100</v>
      </c>
      <c r="U25" s="44"/>
      <c r="V25" s="18" t="str">
        <f>'Standard Vorgaben'!$A$116</f>
        <v>Blattdüngung</v>
      </c>
      <c r="X25" s="12"/>
      <c r="Y25" s="673"/>
      <c r="Z25" s="49"/>
      <c r="AA25" s="666">
        <f>'Standard Vorgaben'!$D$116</f>
        <v>100</v>
      </c>
      <c r="AB25" s="44"/>
      <c r="AC25" s="18" t="str">
        <f>'Standard Vorgaben'!$A$116</f>
        <v>Blattdüngung</v>
      </c>
      <c r="AE25" s="12"/>
      <c r="AF25" s="673"/>
      <c r="AG25" s="49"/>
      <c r="AH25" s="666">
        <f>'Standard Vorgaben'!$D$116</f>
        <v>100</v>
      </c>
      <c r="AI25" s="44"/>
      <c r="AJ25" s="18" t="str">
        <f>'Standard Vorgaben'!$A$116</f>
        <v>Blattdüngung</v>
      </c>
      <c r="AL25" s="12"/>
      <c r="AM25" s="673"/>
      <c r="AN25" s="49"/>
      <c r="AO25" s="666">
        <f>'Standard Vorgaben'!$D$116</f>
        <v>100</v>
      </c>
      <c r="AP25" s="44"/>
      <c r="AQ25" s="18" t="str">
        <f>'Standard Vorgaben'!$A$116</f>
        <v>Blattdüngung</v>
      </c>
      <c r="AS25" s="12"/>
      <c r="AT25" s="673"/>
      <c r="AU25" s="49"/>
      <c r="AV25" s="666">
        <f>'Standard Vorgaben'!$D$116</f>
        <v>100</v>
      </c>
      <c r="AW25" s="44"/>
      <c r="AX25" s="18" t="str">
        <f>'Standard Vorgaben'!$A$116</f>
        <v>Blattdüngung</v>
      </c>
      <c r="AZ25" s="12"/>
      <c r="BA25" s="673"/>
      <c r="BB25" s="49"/>
      <c r="BC25" s="666">
        <f>'Standard Vorgaben'!$D$116</f>
        <v>100</v>
      </c>
      <c r="BD25" s="44"/>
      <c r="BE25" s="18" t="str">
        <f>'Standard Vorgaben'!$A$116</f>
        <v>Blattdüngung</v>
      </c>
      <c r="BG25" s="12"/>
      <c r="BH25" s="673"/>
      <c r="BI25" s="49"/>
      <c r="BJ25" s="666">
        <f>'Standard Vorgaben'!$D$116</f>
        <v>100</v>
      </c>
      <c r="BK25" s="44"/>
      <c r="BL25" s="18" t="str">
        <f>'Standard Vorgaben'!$A$116</f>
        <v>Blattdüngung</v>
      </c>
      <c r="BN25" s="12"/>
      <c r="BO25" s="673"/>
      <c r="BP25" s="49"/>
      <c r="BQ25" s="666">
        <f>'Standard Vorgaben'!$D$116</f>
        <v>100</v>
      </c>
      <c r="BR25" s="44"/>
      <c r="BS25" s="18" t="str">
        <f>'Standard Vorgaben'!$A$116</f>
        <v>Blattdüngung</v>
      </c>
      <c r="BU25" s="12"/>
      <c r="BV25" s="673"/>
      <c r="BW25" s="49"/>
      <c r="BX25" s="666">
        <f>'Standard Vorgaben'!$D$116</f>
        <v>100</v>
      </c>
      <c r="BY25" s="44"/>
      <c r="BZ25" s="18" t="str">
        <f>'Standard Vorgaben'!$A$116</f>
        <v>Blattdüngung</v>
      </c>
      <c r="CB25" s="12"/>
      <c r="CC25" s="673"/>
      <c r="CD25" s="49"/>
      <c r="CE25" s="666">
        <f>'Standard Vorgaben'!$D$116</f>
        <v>100</v>
      </c>
      <c r="CF25" s="44"/>
      <c r="CG25" s="18" t="str">
        <f>'Standard Vorgaben'!$A$116</f>
        <v>Blattdüngung</v>
      </c>
      <c r="CI25" s="12"/>
      <c r="CJ25" s="673"/>
      <c r="CK25" s="49"/>
      <c r="CL25" s="666">
        <f>'Standard Vorgaben'!$D$116</f>
        <v>100</v>
      </c>
      <c r="CM25" s="44"/>
      <c r="CN25" s="18" t="str">
        <f>'Standard Vorgaben'!$A$116</f>
        <v>Blattdüngung</v>
      </c>
      <c r="CP25" s="12"/>
      <c r="CQ25" s="673"/>
      <c r="CR25" s="49"/>
      <c r="CS25" s="666">
        <f>'Standard Vorgaben'!$D$116</f>
        <v>100</v>
      </c>
      <c r="CT25" s="44"/>
      <c r="CU25" s="18" t="str">
        <f>'Standard Vorgaben'!$A$116</f>
        <v>Blattdüngung</v>
      </c>
      <c r="CW25" s="12"/>
      <c r="CX25" s="673"/>
      <c r="CY25" s="49"/>
      <c r="CZ25" s="666">
        <f>'Standard Vorgaben'!$D$116</f>
        <v>100</v>
      </c>
      <c r="DA25" s="44"/>
      <c r="DB25" s="18" t="str">
        <f>'Standard Vorgaben'!$A$116</f>
        <v>Blattdüngung</v>
      </c>
      <c r="DD25" s="12"/>
      <c r="DE25" s="673"/>
      <c r="DF25" s="49"/>
      <c r="DG25" s="666">
        <f>'Standard Vorgaben'!$D$116</f>
        <v>100</v>
      </c>
      <c r="DH25" s="44"/>
    </row>
    <row r="26" spans="1:112" ht="16.5" customHeight="1" x14ac:dyDescent="0.3">
      <c r="A26" s="237"/>
      <c r="B26" s="239"/>
      <c r="F26" s="33">
        <f>SUM(F21:F25)</f>
        <v>725</v>
      </c>
      <c r="G26" s="668"/>
      <c r="H26" s="237"/>
      <c r="I26" s="239"/>
      <c r="J26" s="12"/>
      <c r="K26" s="12"/>
      <c r="L26" s="32"/>
      <c r="M26" s="33">
        <f>SUM(M21:M25)</f>
        <v>775</v>
      </c>
      <c r="N26" s="668"/>
      <c r="O26" s="237"/>
      <c r="P26" s="239"/>
      <c r="Q26" s="12"/>
      <c r="R26" s="12"/>
      <c r="S26" s="32"/>
      <c r="T26" s="33">
        <f>SUM(T21:T25)</f>
        <v>2500</v>
      </c>
      <c r="U26" s="668"/>
      <c r="V26" s="237"/>
      <c r="W26" s="239"/>
      <c r="X26" s="12"/>
      <c r="Y26" s="12"/>
      <c r="Z26" s="32"/>
      <c r="AA26" s="33">
        <f>SUM(AA21:AA25)</f>
        <v>2500</v>
      </c>
      <c r="AB26" s="668"/>
      <c r="AC26" s="237"/>
      <c r="AD26" s="239"/>
      <c r="AE26" s="12"/>
      <c r="AF26" s="12"/>
      <c r="AG26" s="32"/>
      <c r="AH26" s="33">
        <f>SUM(AH21:AH25)</f>
        <v>2500</v>
      </c>
      <c r="AI26" s="668"/>
      <c r="AJ26" s="237"/>
      <c r="AK26" s="239"/>
      <c r="AL26" s="12"/>
      <c r="AM26" s="12"/>
      <c r="AN26" s="32"/>
      <c r="AO26" s="33">
        <f>SUM(AO21:AO25)</f>
        <v>2500</v>
      </c>
      <c r="AP26" s="668"/>
      <c r="AQ26" s="237"/>
      <c r="AR26" s="239"/>
      <c r="AS26" s="12"/>
      <c r="AT26" s="12"/>
      <c r="AU26" s="32"/>
      <c r="AV26" s="33">
        <f>SUM(AV21:AV25)</f>
        <v>2500</v>
      </c>
      <c r="AW26" s="668"/>
      <c r="AX26" s="237"/>
      <c r="AY26" s="239"/>
      <c r="AZ26" s="12"/>
      <c r="BA26" s="12"/>
      <c r="BB26" s="32"/>
      <c r="BC26" s="33">
        <f>SUM(BC21:BC25)</f>
        <v>2500</v>
      </c>
      <c r="BD26" s="668"/>
      <c r="BE26" s="237"/>
      <c r="BF26" s="239"/>
      <c r="BG26" s="12"/>
      <c r="BH26" s="12"/>
      <c r="BI26" s="32"/>
      <c r="BJ26" s="33">
        <f>SUM(BJ21:BJ25)</f>
        <v>2500</v>
      </c>
      <c r="BK26" s="668"/>
      <c r="BL26" s="237"/>
      <c r="BM26" s="239"/>
      <c r="BN26" s="12"/>
      <c r="BO26" s="12"/>
      <c r="BP26" s="32"/>
      <c r="BQ26" s="33">
        <f>SUM(BQ21:BQ25)</f>
        <v>2500</v>
      </c>
      <c r="BR26" s="668"/>
      <c r="BS26" s="237"/>
      <c r="BT26" s="239"/>
      <c r="BU26" s="12"/>
      <c r="BV26" s="12"/>
      <c r="BW26" s="32"/>
      <c r="BX26" s="33">
        <f>SUM(BX21:BX25)</f>
        <v>2500</v>
      </c>
      <c r="BY26" s="668"/>
      <c r="BZ26" s="237"/>
      <c r="CA26" s="239"/>
      <c r="CB26" s="12"/>
      <c r="CC26" s="12"/>
      <c r="CD26" s="32"/>
      <c r="CE26" s="33">
        <f>SUM(CE21:CE25)</f>
        <v>2500</v>
      </c>
      <c r="CF26" s="668"/>
      <c r="CG26" s="237"/>
      <c r="CH26" s="239"/>
      <c r="CI26" s="12"/>
      <c r="CJ26" s="12"/>
      <c r="CK26" s="32"/>
      <c r="CL26" s="33">
        <f>SUM(CL21:CL25)</f>
        <v>2500</v>
      </c>
      <c r="CM26" s="668"/>
      <c r="CN26" s="237"/>
      <c r="CO26" s="239"/>
      <c r="CP26" s="12"/>
      <c r="CQ26" s="12"/>
      <c r="CR26" s="32"/>
      <c r="CS26" s="33">
        <f>SUM(CS21:CS25)</f>
        <v>2500</v>
      </c>
      <c r="CT26" s="668"/>
      <c r="CU26" s="237"/>
      <c r="CV26" s="239"/>
      <c r="CW26" s="12"/>
      <c r="CX26" s="12"/>
      <c r="CY26" s="32"/>
      <c r="CZ26" s="33">
        <f>SUM(CZ21:CZ25)</f>
        <v>2500</v>
      </c>
      <c r="DA26" s="668"/>
      <c r="DB26" s="237"/>
      <c r="DC26" s="239"/>
      <c r="DD26" s="12"/>
      <c r="DE26" s="12"/>
      <c r="DF26" s="32"/>
      <c r="DG26" s="33">
        <f>SUM(DG21:DG25)</f>
        <v>2500</v>
      </c>
      <c r="DH26" s="668"/>
    </row>
    <row r="27" spans="1:112" ht="3.25" customHeight="1" x14ac:dyDescent="0.3">
      <c r="F27" s="33">
        <f>'Standard Vorgaben'!B118</f>
        <v>4</v>
      </c>
      <c r="G27" s="44">
        <f>F27/$F$69</f>
        <v>3.5765457625617245E-4</v>
      </c>
      <c r="J27" s="12"/>
      <c r="K27" s="12"/>
      <c r="L27" s="32"/>
      <c r="M27" s="33"/>
      <c r="N27" s="44">
        <f>M27/$M$69</f>
        <v>0</v>
      </c>
      <c r="R27" s="48"/>
      <c r="S27" s="1"/>
      <c r="T27" s="1"/>
      <c r="U27" s="44"/>
      <c r="AB27" s="44"/>
      <c r="AI27" s="44"/>
      <c r="AP27" s="44"/>
      <c r="AW27" s="44"/>
      <c r="BD27" s="44"/>
      <c r="BK27" s="44"/>
      <c r="BN27" s="1"/>
      <c r="BO27" s="1"/>
      <c r="BP27" s="1"/>
      <c r="BQ27" s="1"/>
      <c r="BR27" s="44"/>
      <c r="BY27" s="44"/>
      <c r="CF27" s="44"/>
      <c r="CM27" s="44"/>
      <c r="CT27" s="44"/>
      <c r="DA27" s="44"/>
      <c r="DH27" s="44"/>
    </row>
    <row r="28" spans="1:112" ht="12" customHeight="1" x14ac:dyDescent="0.3">
      <c r="G28" s="44"/>
      <c r="N28" s="44">
        <f>M28/$M$69</f>
        <v>0</v>
      </c>
      <c r="O28" s="94" t="s">
        <v>245</v>
      </c>
      <c r="R28" s="48"/>
      <c r="S28" s="1"/>
      <c r="T28" s="801">
        <f>'Standard Erstellung'!$F$112</f>
        <v>44745.5</v>
      </c>
      <c r="U28" s="277">
        <f t="shared" ref="U28:U39" si="0">T28/$T$69</f>
        <v>0.623547484808048</v>
      </c>
      <c r="Y28" s="1"/>
      <c r="Z28" s="1"/>
      <c r="AA28" s="1"/>
      <c r="AB28" s="44"/>
      <c r="AG28" s="1"/>
      <c r="AH28" s="1"/>
      <c r="AI28" s="44"/>
      <c r="AL28" s="1"/>
      <c r="AM28" s="1"/>
      <c r="AN28" s="1"/>
      <c r="AO28" s="1"/>
      <c r="AP28" s="44"/>
      <c r="AT28" s="1"/>
      <c r="AU28" s="1"/>
      <c r="AV28" s="1"/>
      <c r="AW28" s="44"/>
      <c r="BD28" s="44"/>
      <c r="BG28" s="1"/>
      <c r="BH28" s="1"/>
      <c r="BI28" s="1"/>
      <c r="BJ28" s="1"/>
      <c r="BK28" s="44"/>
      <c r="BL28" s="94" t="s">
        <v>245</v>
      </c>
      <c r="BN28" s="1"/>
      <c r="BO28" s="48"/>
      <c r="BP28" s="1"/>
      <c r="BQ28" s="801">
        <f>'Standard Erstellung'!$F$112</f>
        <v>44745.5</v>
      </c>
      <c r="BR28" s="277">
        <f t="shared" ref="BR28:BR39" si="1">BQ28/$BQ$69</f>
        <v>0.37714959110593516</v>
      </c>
      <c r="BV28" s="1"/>
      <c r="BW28" s="1"/>
      <c r="BX28" s="1"/>
      <c r="BY28" s="44"/>
      <c r="CF28" s="44"/>
      <c r="CM28" s="44"/>
      <c r="CQ28" s="1"/>
      <c r="CR28" s="1"/>
      <c r="CS28" s="1"/>
      <c r="CT28" s="44"/>
      <c r="CW28" s="1"/>
      <c r="CX28" s="1"/>
      <c r="CY28" s="1"/>
      <c r="CZ28" s="1"/>
      <c r="DA28" s="44"/>
      <c r="DE28" s="1"/>
      <c r="DF28" s="1"/>
      <c r="DG28" s="1"/>
      <c r="DH28" s="44"/>
    </row>
    <row r="29" spans="1:112" ht="18" customHeight="1" x14ac:dyDescent="0.3">
      <c r="A29" s="107" t="s">
        <v>186</v>
      </c>
      <c r="B29" s="112"/>
      <c r="C29" s="108"/>
      <c r="D29" s="112"/>
      <c r="E29" s="252"/>
      <c r="F29" s="82">
        <f>'Standard Vorgaben'!E155</f>
        <v>0</v>
      </c>
      <c r="G29" s="668">
        <f>F29/$F$69</f>
        <v>0</v>
      </c>
      <c r="H29" s="107" t="s">
        <v>186</v>
      </c>
      <c r="I29" s="112"/>
      <c r="J29" s="108"/>
      <c r="K29" s="112"/>
      <c r="L29" s="252"/>
      <c r="M29" s="82">
        <f>'Standard Vorgaben'!E156</f>
        <v>0</v>
      </c>
      <c r="N29" s="44">
        <f>M29/$M$69</f>
        <v>0</v>
      </c>
      <c r="O29" s="107" t="s">
        <v>186</v>
      </c>
      <c r="P29" s="112"/>
      <c r="Q29" s="108"/>
      <c r="R29" s="112"/>
      <c r="S29" s="252"/>
      <c r="T29" s="82">
        <f>'Standard Vorgaben'!$E$154</f>
        <v>400</v>
      </c>
      <c r="U29" s="668">
        <f t="shared" si="0"/>
        <v>5.5741693337479567E-3</v>
      </c>
      <c r="V29" s="107" t="s">
        <v>186</v>
      </c>
      <c r="W29" s="112"/>
      <c r="X29" s="108"/>
      <c r="Y29" s="112"/>
      <c r="Z29" s="252"/>
      <c r="AA29" s="82">
        <f>'Standard Vorgaben'!$E$154</f>
        <v>400</v>
      </c>
      <c r="AB29" s="668">
        <f>AA29/$AA$69</f>
        <v>1.1549551480653978E-2</v>
      </c>
      <c r="AC29" s="107" t="s">
        <v>186</v>
      </c>
      <c r="AD29" s="112"/>
      <c r="AE29" s="108"/>
      <c r="AF29" s="112"/>
      <c r="AG29" s="252"/>
      <c r="AH29" s="82">
        <f>'Standard Vorgaben'!$E$154</f>
        <v>400</v>
      </c>
      <c r="AI29" s="668">
        <f>AH29/$AH$69</f>
        <v>7.2622870620703368E-3</v>
      </c>
      <c r="AJ29" s="107" t="s">
        <v>186</v>
      </c>
      <c r="AK29" s="112"/>
      <c r="AL29" s="108"/>
      <c r="AM29" s="112"/>
      <c r="AN29" s="252"/>
      <c r="AO29" s="82">
        <f>'Standard Vorgaben'!$E$154</f>
        <v>400</v>
      </c>
      <c r="AP29" s="668">
        <f>AO29/$AO$69</f>
        <v>6.3091917670912798E-3</v>
      </c>
      <c r="AQ29" s="107" t="s">
        <v>186</v>
      </c>
      <c r="AR29" s="112"/>
      <c r="AS29" s="108"/>
      <c r="AT29" s="112"/>
      <c r="AU29" s="252"/>
      <c r="AV29" s="82">
        <f>'Standard Vorgaben'!$E$154</f>
        <v>400</v>
      </c>
      <c r="AW29" s="668">
        <f>AV29/$AV$69</f>
        <v>5.601259954945083E-3</v>
      </c>
      <c r="AX29" s="107" t="s">
        <v>186</v>
      </c>
      <c r="AY29" s="112"/>
      <c r="AZ29" s="108"/>
      <c r="BA29" s="112"/>
      <c r="BB29" s="252"/>
      <c r="BC29" s="82">
        <f>'Standard Vorgaben'!$E$154</f>
        <v>400</v>
      </c>
      <c r="BD29" s="668">
        <f>BC29/$BC$69</f>
        <v>5.6477511738318451E-3</v>
      </c>
      <c r="BE29" s="107" t="s">
        <v>186</v>
      </c>
      <c r="BF29" s="112"/>
      <c r="BG29" s="108"/>
      <c r="BH29" s="112"/>
      <c r="BI29" s="252"/>
      <c r="BJ29" s="82">
        <f>'Standard Vorgaben'!$E$154</f>
        <v>400</v>
      </c>
      <c r="BK29" s="668">
        <f>BJ29/$BJ$69</f>
        <v>5.6584685546648937E-3</v>
      </c>
      <c r="BL29" s="107" t="s">
        <v>186</v>
      </c>
      <c r="BM29" s="112"/>
      <c r="BN29" s="108"/>
      <c r="BO29" s="112"/>
      <c r="BP29" s="252"/>
      <c r="BQ29" s="82">
        <f>'Standard Vorgaben'!$E$154</f>
        <v>400</v>
      </c>
      <c r="BR29" s="668">
        <f t="shared" si="1"/>
        <v>3.3715085638192457E-3</v>
      </c>
      <c r="BS29" s="107" t="s">
        <v>186</v>
      </c>
      <c r="BT29" s="112"/>
      <c r="BU29" s="108"/>
      <c r="BV29" s="112"/>
      <c r="BW29" s="252"/>
      <c r="BX29" s="82">
        <f>'Standard Vorgaben'!$E$154</f>
        <v>400</v>
      </c>
      <c r="BY29" s="668">
        <f>BX29/$BX$69</f>
        <v>5.9106415507098296E-3</v>
      </c>
      <c r="BZ29" s="107" t="s">
        <v>186</v>
      </c>
      <c r="CA29" s="112"/>
      <c r="CB29" s="108"/>
      <c r="CC29" s="112"/>
      <c r="CD29" s="252"/>
      <c r="CE29" s="82">
        <f>'Standard Vorgaben'!$E$154</f>
        <v>400</v>
      </c>
      <c r="CF29" s="668">
        <f>CE29/$CE$69</f>
        <v>5.920097240357353E-3</v>
      </c>
      <c r="CG29" s="107" t="s">
        <v>186</v>
      </c>
      <c r="CH29" s="112"/>
      <c r="CI29" s="108"/>
      <c r="CJ29" s="112"/>
      <c r="CK29" s="252"/>
      <c r="CL29" s="82">
        <f>'Standard Vorgaben'!$E$154</f>
        <v>400</v>
      </c>
      <c r="CM29" s="668">
        <f>CL29/$CL$69</f>
        <v>5.8947150368599197E-3</v>
      </c>
      <c r="CN29" s="107" t="s">
        <v>186</v>
      </c>
      <c r="CO29" s="112"/>
      <c r="CP29" s="108"/>
      <c r="CQ29" s="112"/>
      <c r="CR29" s="252"/>
      <c r="CS29" s="82">
        <f>'Standard Vorgaben'!$E$154</f>
        <v>400</v>
      </c>
      <c r="CT29" s="668">
        <f>CS29/$CS$69</f>
        <v>5.9390403455483222E-3</v>
      </c>
      <c r="CU29" s="107" t="s">
        <v>186</v>
      </c>
      <c r="CV29" s="112"/>
      <c r="CW29" s="108"/>
      <c r="CX29" s="112"/>
      <c r="CY29" s="252"/>
      <c r="CZ29" s="82">
        <f>'Standard Vorgaben'!$E$154</f>
        <v>400</v>
      </c>
      <c r="DA29" s="668">
        <f>CZ29/$CZ$69</f>
        <v>6.2438404130334369E-3</v>
      </c>
      <c r="DB29" s="107" t="s">
        <v>186</v>
      </c>
      <c r="DC29" s="112"/>
      <c r="DD29" s="108"/>
      <c r="DE29" s="112"/>
      <c r="DF29" s="252"/>
      <c r="DG29" s="82">
        <f>'Standard Vorgaben'!$E$154</f>
        <v>400</v>
      </c>
      <c r="DH29" s="668">
        <f>DG29/$DG$69</f>
        <v>5.9880115078301517E-3</v>
      </c>
    </row>
    <row r="30" spans="1:112" s="1" customFormat="1" ht="18" customHeight="1" x14ac:dyDescent="0.3">
      <c r="A30" s="107"/>
      <c r="B30" s="112"/>
      <c r="C30" s="108"/>
      <c r="D30" s="112"/>
      <c r="E30" s="252"/>
      <c r="F30" s="82"/>
      <c r="G30" s="410"/>
      <c r="H30" s="107"/>
      <c r="I30" s="112"/>
      <c r="J30" s="108"/>
      <c r="K30" s="112"/>
      <c r="L30" s="252"/>
      <c r="M30" s="82"/>
      <c r="N30" s="410"/>
      <c r="O30" s="107" t="s">
        <v>456</v>
      </c>
      <c r="P30" s="112"/>
      <c r="Q30" s="108"/>
      <c r="R30" s="112"/>
      <c r="S30" s="252"/>
      <c r="T30" s="82">
        <f>'Standard Erstellung'!F117</f>
        <v>3660.8319999999994</v>
      </c>
      <c r="U30" s="829">
        <f t="shared" si="0"/>
        <v>5.1015243676007987E-2</v>
      </c>
      <c r="V30" s="107"/>
      <c r="W30" s="112"/>
      <c r="X30" s="108"/>
      <c r="Y30" s="112"/>
      <c r="Z30" s="252"/>
      <c r="AA30" s="82"/>
      <c r="AB30" s="829"/>
      <c r="AC30" s="107"/>
      <c r="AD30" s="112"/>
      <c r="AE30" s="108"/>
      <c r="AF30" s="112"/>
      <c r="AG30" s="252"/>
      <c r="AH30" s="82"/>
      <c r="AI30" s="829"/>
      <c r="AJ30" s="107"/>
      <c r="AK30" s="112"/>
      <c r="AL30" s="108"/>
      <c r="AM30" s="112"/>
      <c r="AN30" s="252"/>
      <c r="AO30" s="82"/>
      <c r="AP30" s="829"/>
      <c r="AQ30" s="107"/>
      <c r="AR30" s="112"/>
      <c r="AS30" s="108"/>
      <c r="AT30" s="112"/>
      <c r="AU30" s="252"/>
      <c r="AV30" s="82"/>
      <c r="AW30" s="829"/>
      <c r="AX30" s="107"/>
      <c r="AY30" s="112"/>
      <c r="AZ30" s="108"/>
      <c r="BA30" s="112"/>
      <c r="BB30" s="252"/>
      <c r="BC30" s="82"/>
      <c r="BD30" s="829"/>
      <c r="BE30" s="107"/>
      <c r="BF30" s="112"/>
      <c r="BG30" s="108"/>
      <c r="BH30" s="112"/>
      <c r="BI30" s="252"/>
      <c r="BJ30" s="82"/>
      <c r="BK30" s="829"/>
      <c r="BL30" s="107" t="s">
        <v>456</v>
      </c>
      <c r="BM30" s="112"/>
      <c r="BN30" s="108"/>
      <c r="BO30" s="112"/>
      <c r="BP30" s="252"/>
      <c r="BQ30" s="82">
        <f>'Standard Erstellung'!$F$117</f>
        <v>3660.8319999999994</v>
      </c>
      <c r="BR30" s="829">
        <f t="shared" si="1"/>
        <v>3.0856316096758839E-2</v>
      </c>
      <c r="BS30" s="107"/>
      <c r="BT30" s="112"/>
      <c r="BU30" s="108"/>
      <c r="BV30" s="112"/>
      <c r="BW30" s="252"/>
      <c r="BX30" s="82"/>
      <c r="BY30" s="829"/>
      <c r="BZ30" s="107"/>
      <c r="CA30" s="112"/>
      <c r="CB30" s="108"/>
      <c r="CC30" s="112"/>
      <c r="CD30" s="252"/>
      <c r="CE30" s="82"/>
      <c r="CF30" s="829"/>
      <c r="CG30" s="107"/>
      <c r="CH30" s="112"/>
      <c r="CI30" s="108"/>
      <c r="CJ30" s="112"/>
      <c r="CK30" s="252"/>
      <c r="CL30" s="82"/>
      <c r="CM30" s="829"/>
      <c r="CN30" s="107"/>
      <c r="CO30" s="112"/>
      <c r="CP30" s="108"/>
      <c r="CQ30" s="112"/>
      <c r="CR30" s="252"/>
      <c r="CS30" s="82"/>
      <c r="CT30" s="829"/>
      <c r="CU30" s="107"/>
      <c r="CV30" s="112"/>
      <c r="CW30" s="108"/>
      <c r="CX30" s="112"/>
      <c r="CY30" s="252"/>
      <c r="CZ30" s="82"/>
      <c r="DA30" s="829"/>
      <c r="DB30" s="107"/>
      <c r="DC30" s="112"/>
      <c r="DD30" s="108"/>
      <c r="DE30" s="112"/>
      <c r="DF30" s="252"/>
      <c r="DG30" s="82"/>
      <c r="DH30" s="829"/>
    </row>
    <row r="31" spans="1:112" ht="18" customHeight="1" x14ac:dyDescent="0.3">
      <c r="A31" s="64" t="s">
        <v>552</v>
      </c>
      <c r="B31" s="1" t="str">
        <f>'Standard Vorgaben'!$F$33</f>
        <v>Tafelkirschen</v>
      </c>
      <c r="C31" s="4" t="s">
        <v>71</v>
      </c>
      <c r="D31" s="47"/>
      <c r="E31" s="63"/>
      <c r="F31" s="63">
        <f>'Standard Vorgaben'!$G$33</f>
        <v>700</v>
      </c>
      <c r="G31" s="44">
        <f t="shared" ref="G31:G39" si="2">F31/$F$69</f>
        <v>6.2589550844830172E-2</v>
      </c>
      <c r="H31" s="64" t="str">
        <f>$A$31</f>
        <v>Abzüge und Branchenbeiträge</v>
      </c>
      <c r="I31" s="1" t="str">
        <f>'Standard Vorgaben'!$F$33</f>
        <v>Tafelkirschen</v>
      </c>
      <c r="J31" s="4" t="s">
        <v>71</v>
      </c>
      <c r="K31" s="47"/>
      <c r="L31" s="63"/>
      <c r="M31" s="63">
        <f>'Standard Vorgaben'!$G$33</f>
        <v>700</v>
      </c>
      <c r="N31" s="44">
        <f t="shared" ref="N31:N39" si="3">M31/$M$69</f>
        <v>6.1092306556729987E-2</v>
      </c>
      <c r="O31" s="64" t="str">
        <f>$A$31</f>
        <v>Abzüge und Branchenbeiträge</v>
      </c>
      <c r="P31" s="1" t="str">
        <f>'Standard Vorgaben'!$F$33</f>
        <v>Tafelkirschen</v>
      </c>
      <c r="Q31" s="4" t="s">
        <v>71</v>
      </c>
      <c r="R31" s="47"/>
      <c r="S31" s="63"/>
      <c r="T31" s="63">
        <f>'Standard Vorgaben'!$G$33</f>
        <v>700</v>
      </c>
      <c r="U31" s="44">
        <f t="shared" si="0"/>
        <v>9.7547963340589242E-3</v>
      </c>
      <c r="V31" s="64" t="str">
        <f>$A$31</f>
        <v>Abzüge und Branchenbeiträge</v>
      </c>
      <c r="W31" s="1" t="str">
        <f>'Standard Vorgaben'!$F$33</f>
        <v>Tafelkirschen</v>
      </c>
      <c r="X31" s="4" t="s">
        <v>71</v>
      </c>
      <c r="Y31" s="47"/>
      <c r="Z31" s="63"/>
      <c r="AA31" s="63">
        <f>'Standard Vorgaben'!$G$33</f>
        <v>700</v>
      </c>
      <c r="AB31" s="44">
        <f t="shared" ref="AB31:AB39" si="4">AA31/$AA$69</f>
        <v>2.0211715091144462E-2</v>
      </c>
      <c r="AC31" s="64" t="str">
        <f>$A$31</f>
        <v>Abzüge und Branchenbeiträge</v>
      </c>
      <c r="AD31" s="1" t="str">
        <f>'Standard Vorgaben'!$F$33</f>
        <v>Tafelkirschen</v>
      </c>
      <c r="AE31" s="4" t="s">
        <v>71</v>
      </c>
      <c r="AF31" s="47"/>
      <c r="AG31" s="63"/>
      <c r="AH31" s="63">
        <f>'Standard Vorgaben'!$G$33</f>
        <v>700</v>
      </c>
      <c r="AI31" s="44">
        <f t="shared" ref="AI31:AI39" si="5">AH31/$AH$69</f>
        <v>1.270900235862309E-2</v>
      </c>
      <c r="AJ31" s="64" t="str">
        <f>$A$31</f>
        <v>Abzüge und Branchenbeiträge</v>
      </c>
      <c r="AK31" s="1" t="str">
        <f>'Standard Vorgaben'!$F$33</f>
        <v>Tafelkirschen</v>
      </c>
      <c r="AL31" s="4" t="s">
        <v>71</v>
      </c>
      <c r="AM31" s="47"/>
      <c r="AN31" s="63"/>
      <c r="AO31" s="63">
        <f>'Standard Vorgaben'!$G$33</f>
        <v>700</v>
      </c>
      <c r="AP31" s="44">
        <f t="shared" ref="AP31:AP39" si="6">AO31/$AO$69</f>
        <v>1.104108559240974E-2</v>
      </c>
      <c r="AQ31" s="64" t="str">
        <f>$A$31</f>
        <v>Abzüge und Branchenbeiträge</v>
      </c>
      <c r="AR31" s="1" t="str">
        <f>'Standard Vorgaben'!$F$33</f>
        <v>Tafelkirschen</v>
      </c>
      <c r="AS31" s="4" t="s">
        <v>71</v>
      </c>
      <c r="AT31" s="47"/>
      <c r="AU31" s="63"/>
      <c r="AV31" s="63">
        <f>'Standard Vorgaben'!$G$33</f>
        <v>700</v>
      </c>
      <c r="AW31" s="44">
        <f t="shared" ref="AW31:AW39" si="7">AV31/$AV$69</f>
        <v>9.8022049211538946E-3</v>
      </c>
      <c r="AX31" s="64" t="str">
        <f>$A$31</f>
        <v>Abzüge und Branchenbeiträge</v>
      </c>
      <c r="AY31" s="1" t="str">
        <f>'Standard Vorgaben'!$F$33</f>
        <v>Tafelkirschen</v>
      </c>
      <c r="AZ31" s="4" t="s">
        <v>71</v>
      </c>
      <c r="BA31" s="47"/>
      <c r="BB31" s="63"/>
      <c r="BC31" s="63">
        <f>'Standard Vorgaben'!$G$33</f>
        <v>700</v>
      </c>
      <c r="BD31" s="44">
        <f t="shared" ref="BD31:BD39" si="8">BC31/$BC$69</f>
        <v>9.8835645542057291E-3</v>
      </c>
      <c r="BE31" s="64" t="str">
        <f>$A$31</f>
        <v>Abzüge und Branchenbeiträge</v>
      </c>
      <c r="BF31" s="1" t="str">
        <f>'Standard Vorgaben'!$F$33</f>
        <v>Tafelkirschen</v>
      </c>
      <c r="BG31" s="4" t="s">
        <v>71</v>
      </c>
      <c r="BH31" s="47"/>
      <c r="BI31" s="63"/>
      <c r="BJ31" s="63">
        <f>'Standard Vorgaben'!$G$33</f>
        <v>700</v>
      </c>
      <c r="BK31" s="44">
        <f t="shared" ref="BK31:BK39" si="9">BJ31/$BJ$69</f>
        <v>9.9023199706635631E-3</v>
      </c>
      <c r="BL31" s="64" t="str">
        <f>$A$31</f>
        <v>Abzüge und Branchenbeiträge</v>
      </c>
      <c r="BM31" s="1" t="str">
        <f>'Standard Vorgaben'!$F$33</f>
        <v>Tafelkirschen</v>
      </c>
      <c r="BN31" s="4" t="s">
        <v>71</v>
      </c>
      <c r="BO31" s="47"/>
      <c r="BP31" s="63"/>
      <c r="BQ31" s="63">
        <f>'Standard Vorgaben'!$G$33</f>
        <v>700</v>
      </c>
      <c r="BR31" s="44">
        <f t="shared" si="1"/>
        <v>5.9001399866836796E-3</v>
      </c>
      <c r="BS31" s="64" t="str">
        <f>$A$31</f>
        <v>Abzüge und Branchenbeiträge</v>
      </c>
      <c r="BT31" s="1" t="str">
        <f>'Standard Vorgaben'!$F$33</f>
        <v>Tafelkirschen</v>
      </c>
      <c r="BU31" s="4" t="s">
        <v>71</v>
      </c>
      <c r="BV31" s="47"/>
      <c r="BW31" s="63"/>
      <c r="BX31" s="63">
        <f>'Standard Vorgaben'!$G$33</f>
        <v>700</v>
      </c>
      <c r="BY31" s="44">
        <f t="shared" ref="BY31:BY39" si="10">BX31/$BX$69</f>
        <v>1.0343622713742201E-2</v>
      </c>
      <c r="BZ31" s="64" t="str">
        <f>$A$31</f>
        <v>Abzüge und Branchenbeiträge</v>
      </c>
      <c r="CA31" s="1" t="str">
        <f>'Standard Vorgaben'!$F$33</f>
        <v>Tafelkirschen</v>
      </c>
      <c r="CB31" s="4" t="s">
        <v>71</v>
      </c>
      <c r="CC31" s="47"/>
      <c r="CD31" s="63"/>
      <c r="CE31" s="63">
        <f>'Standard Vorgaben'!$G$33</f>
        <v>700</v>
      </c>
      <c r="CF31" s="44">
        <f t="shared" ref="CF31:CF39" si="11">CE31/$CE$69</f>
        <v>1.0360170170625366E-2</v>
      </c>
      <c r="CG31" s="64" t="str">
        <f>$A$31</f>
        <v>Abzüge und Branchenbeiträge</v>
      </c>
      <c r="CH31" s="1" t="str">
        <f>'Standard Vorgaben'!$F$33</f>
        <v>Tafelkirschen</v>
      </c>
      <c r="CI31" s="4" t="s">
        <v>71</v>
      </c>
      <c r="CJ31" s="47"/>
      <c r="CK31" s="63"/>
      <c r="CL31" s="63">
        <f>'Standard Vorgaben'!$G$33</f>
        <v>700</v>
      </c>
      <c r="CM31" s="44">
        <f t="shared" ref="CM31:CM39" si="12">CL31/$CL$69</f>
        <v>1.0315751314504859E-2</v>
      </c>
      <c r="CN31" s="64" t="str">
        <f>$A$31</f>
        <v>Abzüge und Branchenbeiträge</v>
      </c>
      <c r="CO31" s="1" t="str">
        <f>'Standard Vorgaben'!$F$33</f>
        <v>Tafelkirschen</v>
      </c>
      <c r="CP31" s="4" t="s">
        <v>71</v>
      </c>
      <c r="CQ31" s="47"/>
      <c r="CR31" s="63"/>
      <c r="CS31" s="63">
        <f>'Standard Vorgaben'!$G$33</f>
        <v>700</v>
      </c>
      <c r="CT31" s="44">
        <f t="shared" ref="CT31:CT39" si="13">CS31/$CS$69</f>
        <v>1.0393320604709565E-2</v>
      </c>
      <c r="CU31" s="64" t="str">
        <f>$A$31</f>
        <v>Abzüge und Branchenbeiträge</v>
      </c>
      <c r="CV31" s="1" t="str">
        <f>'Standard Vorgaben'!$F$33</f>
        <v>Tafelkirschen</v>
      </c>
      <c r="CW31" s="4" t="s">
        <v>71</v>
      </c>
      <c r="CX31" s="47"/>
      <c r="CY31" s="63"/>
      <c r="CZ31" s="63">
        <f>'Standard Vorgaben'!$G$33</f>
        <v>700</v>
      </c>
      <c r="DA31" s="44">
        <f t="shared" ref="DA31:DA39" si="14">CZ31/$CZ$69</f>
        <v>1.0926720722808514E-2</v>
      </c>
      <c r="DB31" s="64" t="str">
        <f>$A$31</f>
        <v>Abzüge und Branchenbeiträge</v>
      </c>
      <c r="DC31" s="1" t="str">
        <f>'Standard Vorgaben'!$F$33</f>
        <v>Tafelkirschen</v>
      </c>
      <c r="DD31" s="4" t="s">
        <v>71</v>
      </c>
      <c r="DE31" s="47"/>
      <c r="DF31" s="63"/>
      <c r="DG31" s="63">
        <f>'Standard Vorgaben'!$G$33</f>
        <v>700</v>
      </c>
      <c r="DH31" s="44">
        <f t="shared" ref="DH31:DH39" si="15">DG31/$DG$69</f>
        <v>1.0479020138702765E-2</v>
      </c>
    </row>
    <row r="32" spans="1:112" ht="18" customHeight="1" x14ac:dyDescent="0.3">
      <c r="B32" s="4" t="str">
        <f>'Standard Vorgaben'!$F$34</f>
        <v>Brennkirschen</v>
      </c>
      <c r="C32" s="4" t="s">
        <v>71</v>
      </c>
      <c r="D32" s="47"/>
      <c r="E32" s="63">
        <f>'Standard Vorgaben'!$G$34</f>
        <v>2.57</v>
      </c>
      <c r="F32" s="120">
        <f>E32*D11/100</f>
        <v>0</v>
      </c>
      <c r="G32" s="44">
        <f t="shared" si="2"/>
        <v>0</v>
      </c>
      <c r="H32" s="18"/>
      <c r="I32" s="4" t="str">
        <f>'Standard Vorgaben'!$F$34</f>
        <v>Brennkirschen</v>
      </c>
      <c r="J32" s="4" t="s">
        <v>71</v>
      </c>
      <c r="K32" s="47"/>
      <c r="L32" s="63">
        <f>'Standard Vorgaben'!$G$34</f>
        <v>2.57</v>
      </c>
      <c r="M32" s="120">
        <f>L32*K11/100</f>
        <v>0</v>
      </c>
      <c r="N32" s="44">
        <f t="shared" si="3"/>
        <v>0</v>
      </c>
      <c r="O32" s="18"/>
      <c r="P32" s="4" t="str">
        <f>'Standard Vorgaben'!$F$34</f>
        <v>Brennkirschen</v>
      </c>
      <c r="Q32" s="4" t="s">
        <v>71</v>
      </c>
      <c r="R32" s="47"/>
      <c r="S32" s="63">
        <f>'Standard Vorgaben'!$G$34</f>
        <v>2.57</v>
      </c>
      <c r="T32" s="120">
        <f>S32*R10/100</f>
        <v>0</v>
      </c>
      <c r="U32" s="44">
        <f t="shared" si="0"/>
        <v>0</v>
      </c>
      <c r="V32" s="18"/>
      <c r="W32" s="4" t="str">
        <f>'Standard Vorgaben'!$F$34</f>
        <v>Brennkirschen</v>
      </c>
      <c r="X32" s="4" t="s">
        <v>71</v>
      </c>
      <c r="Y32" s="47"/>
      <c r="Z32" s="63">
        <f>'Standard Vorgaben'!$G$34</f>
        <v>2.57</v>
      </c>
      <c r="AA32" s="120">
        <f>Z32*Y11/100</f>
        <v>7.4058319039451108</v>
      </c>
      <c r="AB32" s="44">
        <f t="shared" si="4"/>
        <v>2.138350920792093E-4</v>
      </c>
      <c r="AC32" s="18"/>
      <c r="AD32" s="4" t="str">
        <f>'Standard Vorgaben'!$F$34</f>
        <v>Brennkirschen</v>
      </c>
      <c r="AE32" s="4" t="s">
        <v>71</v>
      </c>
      <c r="AF32" s="47"/>
      <c r="AG32" s="63">
        <f>'Standard Vorgaben'!$G$34</f>
        <v>2.57</v>
      </c>
      <c r="AH32" s="120">
        <f>AG32*AF11/100</f>
        <v>16.626092624356769</v>
      </c>
      <c r="AI32" s="44">
        <f t="shared" si="5"/>
        <v>3.0185864339662304E-4</v>
      </c>
      <c r="AJ32" s="18"/>
      <c r="AK32" s="4" t="str">
        <f>'Standard Vorgaben'!$F$34</f>
        <v>Brennkirschen</v>
      </c>
      <c r="AL32" s="4" t="s">
        <v>71</v>
      </c>
      <c r="AM32" s="47"/>
      <c r="AN32" s="63">
        <f>'Standard Vorgaben'!$G$34</f>
        <v>2.57</v>
      </c>
      <c r="AO32" s="120">
        <f>AN32*AM11/100</f>
        <v>21.476912521440823</v>
      </c>
      <c r="AP32" s="44">
        <f t="shared" si="6"/>
        <v>3.3875489915703515E-4</v>
      </c>
      <c r="AQ32" s="18"/>
      <c r="AR32" s="4" t="str">
        <f>'Standard Vorgaben'!$F$34</f>
        <v>Brennkirschen</v>
      </c>
      <c r="AS32" s="4" t="s">
        <v>71</v>
      </c>
      <c r="AT32" s="47"/>
      <c r="AU32" s="63">
        <f>'Standard Vorgaben'!$G$34</f>
        <v>2.57</v>
      </c>
      <c r="AV32" s="120">
        <f>AU32*AT11/100</f>
        <v>25.920411663807887</v>
      </c>
      <c r="AW32" s="44">
        <f t="shared" si="7"/>
        <v>3.6296740967044639E-4</v>
      </c>
      <c r="AX32" s="18"/>
      <c r="AY32" s="4" t="str">
        <f>'Standard Vorgaben'!$F$34</f>
        <v>Brennkirschen</v>
      </c>
      <c r="AZ32" s="4" t="s">
        <v>71</v>
      </c>
      <c r="BA32" s="47"/>
      <c r="BB32" s="63">
        <f>'Standard Vorgaben'!$G$34</f>
        <v>2.57</v>
      </c>
      <c r="BC32" s="120">
        <f>BB32*BA11/100</f>
        <v>25.920411663807887</v>
      </c>
      <c r="BD32" s="44">
        <f t="shared" si="8"/>
        <v>3.6598008850118914E-4</v>
      </c>
      <c r="BE32" s="18"/>
      <c r="BF32" s="4" t="str">
        <f>'Standard Vorgaben'!$F$34</f>
        <v>Brennkirschen</v>
      </c>
      <c r="BG32" s="4" t="s">
        <v>71</v>
      </c>
      <c r="BH32" s="47"/>
      <c r="BI32" s="63">
        <f>'Standard Vorgaben'!$G$34</f>
        <v>2.57</v>
      </c>
      <c r="BJ32" s="120">
        <f>BI32*BH11/100</f>
        <v>25.920411663807887</v>
      </c>
      <c r="BK32" s="44">
        <f t="shared" si="9"/>
        <v>3.6667458580906515E-4</v>
      </c>
      <c r="BL32" s="18"/>
      <c r="BM32" s="4" t="str">
        <f>'Standard Vorgaben'!$F$34</f>
        <v>Brennkirschen</v>
      </c>
      <c r="BN32" s="4" t="s">
        <v>71</v>
      </c>
      <c r="BO32" s="47"/>
      <c r="BP32" s="63">
        <f>'Standard Vorgaben'!$G$34</f>
        <v>2.57</v>
      </c>
      <c r="BQ32" s="120">
        <f>BP32*BO11/100</f>
        <v>25.920411663807887</v>
      </c>
      <c r="BR32" s="44">
        <f t="shared" si="1"/>
        <v>2.1847722475562138E-4</v>
      </c>
      <c r="BS32" s="18"/>
      <c r="BT32" s="4" t="str">
        <f>'Standard Vorgaben'!$F$34</f>
        <v>Brennkirschen</v>
      </c>
      <c r="BU32" s="4" t="s">
        <v>71</v>
      </c>
      <c r="BV32" s="47"/>
      <c r="BW32" s="63">
        <f>'Standard Vorgaben'!$G$34</f>
        <v>2.57</v>
      </c>
      <c r="BX32" s="120">
        <f>BW32*BV11/100</f>
        <v>24.068953687821608</v>
      </c>
      <c r="BY32" s="44">
        <f t="shared" si="10"/>
        <v>3.5565739437337245E-4</v>
      </c>
      <c r="BZ32" s="18"/>
      <c r="CA32" s="4" t="str">
        <f>'Standard Vorgaben'!$F$34</f>
        <v>Brennkirschen</v>
      </c>
      <c r="CB32" s="4" t="s">
        <v>71</v>
      </c>
      <c r="CC32" s="47"/>
      <c r="CD32" s="63">
        <f>'Standard Vorgaben'!$G$34</f>
        <v>2.57</v>
      </c>
      <c r="CE32" s="120">
        <f>CD32*CC11/100</f>
        <v>24.068953687821608</v>
      </c>
      <c r="CF32" s="44">
        <f t="shared" si="11"/>
        <v>3.562263657639041E-4</v>
      </c>
      <c r="CG32" s="18"/>
      <c r="CH32" s="4" t="str">
        <f>'Standard Vorgaben'!$F$34</f>
        <v>Brennkirschen</v>
      </c>
      <c r="CI32" s="4" t="s">
        <v>71</v>
      </c>
      <c r="CJ32" s="47"/>
      <c r="CK32" s="63">
        <f>'Standard Vorgaben'!$G$34</f>
        <v>2.57</v>
      </c>
      <c r="CL32" s="120">
        <f>CK32*CJ11/100</f>
        <v>24.068953687821608</v>
      </c>
      <c r="CM32" s="44">
        <f t="shared" si="12"/>
        <v>3.5469905806271765E-4</v>
      </c>
      <c r="CN32" s="18"/>
      <c r="CO32" s="4" t="str">
        <f>'Standard Vorgaben'!$F$34</f>
        <v>Brennkirschen</v>
      </c>
      <c r="CP32" s="4" t="s">
        <v>71</v>
      </c>
      <c r="CQ32" s="47"/>
      <c r="CR32" s="63">
        <f>'Standard Vorgaben'!$G$34</f>
        <v>2.57</v>
      </c>
      <c r="CS32" s="120">
        <f>CR32*CQ11/100</f>
        <v>24.068953687821608</v>
      </c>
      <c r="CT32" s="44">
        <f t="shared" si="13"/>
        <v>3.5736621756776656E-4</v>
      </c>
      <c r="CU32" s="18"/>
      <c r="CV32" s="4" t="str">
        <f>'Standard Vorgaben'!$F$34</f>
        <v>Brennkirschen</v>
      </c>
      <c r="CW32" s="4" t="s">
        <v>71</v>
      </c>
      <c r="CX32" s="47"/>
      <c r="CY32" s="63">
        <f>'Standard Vorgaben'!$G$34</f>
        <v>2.57</v>
      </c>
      <c r="CZ32" s="120">
        <f>CY32*CX11/100</f>
        <v>22.217495711835337</v>
      </c>
      <c r="DA32" s="44">
        <f t="shared" si="14"/>
        <v>3.468062440048864E-4</v>
      </c>
      <c r="DB32" s="18"/>
      <c r="DC32" s="4" t="str">
        <f>'Standard Vorgaben'!$F$34</f>
        <v>Brennkirschen</v>
      </c>
      <c r="DD32" s="4" t="s">
        <v>71</v>
      </c>
      <c r="DE32" s="47"/>
      <c r="DF32" s="63">
        <f>'Standard Vorgaben'!$G$34</f>
        <v>2.57</v>
      </c>
      <c r="DG32" s="120">
        <f>DF32*DE11/100</f>
        <v>20.366037735849055</v>
      </c>
      <c r="DH32" s="44">
        <f t="shared" si="15"/>
        <v>3.0488017082791816E-4</v>
      </c>
    </row>
    <row r="33" spans="1:112" ht="18" customHeight="1" thickBot="1" x14ac:dyDescent="0.3">
      <c r="A33" s="135"/>
      <c r="B33" s="1" t="str">
        <f>'Standard Vorgaben'!$F$35</f>
        <v>Abzüge</v>
      </c>
      <c r="C33" s="4" t="s">
        <v>553</v>
      </c>
      <c r="D33" s="47"/>
      <c r="E33" s="63">
        <f>'Standard Vorgaben'!$G$35</f>
        <v>0.65</v>
      </c>
      <c r="F33" s="663">
        <f>D12*E33</f>
        <v>0</v>
      </c>
      <c r="G33" s="44">
        <f t="shared" si="2"/>
        <v>0</v>
      </c>
      <c r="H33" s="135"/>
      <c r="I33" s="1" t="str">
        <f>'Standard Vorgaben'!$F$35</f>
        <v>Abzüge</v>
      </c>
      <c r="J33" s="4" t="s">
        <v>553</v>
      </c>
      <c r="K33" s="47"/>
      <c r="L33" s="63">
        <f>'Standard Vorgaben'!$G$35</f>
        <v>0.65</v>
      </c>
      <c r="M33" s="663">
        <f>K12*L33</f>
        <v>0</v>
      </c>
      <c r="N33" s="44">
        <f t="shared" si="3"/>
        <v>0</v>
      </c>
      <c r="O33" s="160"/>
      <c r="P33" s="1" t="str">
        <f>'Standard Vorgaben'!$F$35</f>
        <v>Abzüge</v>
      </c>
      <c r="Q33" s="4" t="s">
        <v>553</v>
      </c>
      <c r="R33" s="47"/>
      <c r="S33" s="63">
        <f>'Standard Vorgaben'!$G$35</f>
        <v>0.65</v>
      </c>
      <c r="T33" s="663">
        <f>R12*S33</f>
        <v>668.95368782161233</v>
      </c>
      <c r="U33" s="44">
        <f t="shared" si="0"/>
        <v>9.322152830882089E-3</v>
      </c>
      <c r="V33" s="135"/>
      <c r="W33" s="1" t="str">
        <f>'Standard Vorgaben'!$F$35</f>
        <v>Abzüge</v>
      </c>
      <c r="X33" s="4" t="s">
        <v>553</v>
      </c>
      <c r="Y33" s="47"/>
      <c r="Z33" s="63">
        <f>'Standard Vorgaben'!$G$35</f>
        <v>0.65</v>
      </c>
      <c r="AA33" s="663">
        <f>Y12*Z33</f>
        <v>2675.8147512864493</v>
      </c>
      <c r="AB33" s="44">
        <f t="shared" si="4"/>
        <v>7.7261150556690417E-2</v>
      </c>
      <c r="AC33" s="135"/>
      <c r="AD33" s="1" t="str">
        <f>'Standard Vorgaben'!$F$35</f>
        <v>Abzüge</v>
      </c>
      <c r="AE33" s="4" t="s">
        <v>553</v>
      </c>
      <c r="AF33" s="47"/>
      <c r="AG33" s="63">
        <f>'Standard Vorgaben'!$G$35</f>
        <v>0.65</v>
      </c>
      <c r="AH33" s="663">
        <f>AF12*AG33</f>
        <v>6007.2041166380777</v>
      </c>
      <c r="AI33" s="44">
        <f t="shared" si="5"/>
        <v>0.10906510183869095</v>
      </c>
      <c r="AJ33" s="135"/>
      <c r="AK33" s="1" t="str">
        <f>'Standard Vorgaben'!$F$35</f>
        <v>Abzüge</v>
      </c>
      <c r="AL33" s="4" t="s">
        <v>553</v>
      </c>
      <c r="AM33" s="47"/>
      <c r="AN33" s="63">
        <f>'Standard Vorgaben'!$G$35</f>
        <v>0.65</v>
      </c>
      <c r="AO33" s="663">
        <f>AM12*AN33</f>
        <v>7759.8627787307032</v>
      </c>
      <c r="AP33" s="44">
        <f t="shared" si="6"/>
        <v>0.12239615589331453</v>
      </c>
      <c r="AQ33" s="135"/>
      <c r="AR33" s="1" t="str">
        <f>'Standard Vorgaben'!$F$35</f>
        <v>Abzüge</v>
      </c>
      <c r="AS33" s="4" t="s">
        <v>553</v>
      </c>
      <c r="AT33" s="47"/>
      <c r="AU33" s="63">
        <f>'Standard Vorgaben'!$G$35</f>
        <v>0.65</v>
      </c>
      <c r="AV33" s="663">
        <f>AT12*AU33</f>
        <v>9365.3516295025711</v>
      </c>
      <c r="AW33" s="44">
        <f t="shared" si="7"/>
        <v>0.13114442261578108</v>
      </c>
      <c r="AX33" s="135"/>
      <c r="AY33" s="1" t="str">
        <f>'Standard Vorgaben'!$F$35</f>
        <v>Abzüge</v>
      </c>
      <c r="AZ33" s="4" t="s">
        <v>553</v>
      </c>
      <c r="BA33" s="47"/>
      <c r="BB33" s="63">
        <f>'Standard Vorgaben'!$G$35</f>
        <v>0.65</v>
      </c>
      <c r="BC33" s="663">
        <f>BA12*BB33</f>
        <v>9365.3516295025711</v>
      </c>
      <c r="BD33" s="44">
        <f t="shared" si="8"/>
        <v>0.13223293914717782</v>
      </c>
      <c r="BE33" s="135"/>
      <c r="BF33" s="1" t="str">
        <f>'Standard Vorgaben'!$F$35</f>
        <v>Abzüge</v>
      </c>
      <c r="BG33" s="4" t="s">
        <v>553</v>
      </c>
      <c r="BH33" s="47"/>
      <c r="BI33" s="63">
        <f>'Standard Vorgaben'!$G$35</f>
        <v>0.65</v>
      </c>
      <c r="BJ33" s="663">
        <f>BH12*BI33</f>
        <v>9365.3516295025711</v>
      </c>
      <c r="BK33" s="44">
        <f t="shared" si="9"/>
        <v>0.1324838692472998</v>
      </c>
      <c r="BL33" s="135"/>
      <c r="BM33" s="1" t="str">
        <f>'Standard Vorgaben'!$F$35</f>
        <v>Abzüge</v>
      </c>
      <c r="BN33" s="4" t="s">
        <v>553</v>
      </c>
      <c r="BO33" s="47"/>
      <c r="BP33" s="63">
        <f>'Standard Vorgaben'!$G$35</f>
        <v>0.65</v>
      </c>
      <c r="BQ33" s="663">
        <f>BO12*BP33</f>
        <v>9365.3516295025711</v>
      </c>
      <c r="BR33" s="44">
        <f t="shared" si="1"/>
        <v>7.8938408055116108E-2</v>
      </c>
      <c r="BS33" s="135"/>
      <c r="BT33" s="1" t="str">
        <f>'Standard Vorgaben'!$F$35</f>
        <v>Abzüge</v>
      </c>
      <c r="BU33" s="4" t="s">
        <v>553</v>
      </c>
      <c r="BV33" s="47"/>
      <c r="BW33" s="63">
        <f>'Standard Vorgaben'!$G$35</f>
        <v>0.65</v>
      </c>
      <c r="BX33" s="663">
        <f>BV12*BW33</f>
        <v>8696.3979416809598</v>
      </c>
      <c r="BY33" s="44">
        <f t="shared" si="10"/>
        <v>0.1285032275390173</v>
      </c>
      <c r="BZ33" s="135"/>
      <c r="CA33" s="1" t="str">
        <f>'Standard Vorgaben'!$F$35</f>
        <v>Abzüge</v>
      </c>
      <c r="CB33" s="4" t="s">
        <v>553</v>
      </c>
      <c r="CC33" s="47"/>
      <c r="CD33" s="63">
        <f>'Standard Vorgaben'!$G$35</f>
        <v>0.65</v>
      </c>
      <c r="CE33" s="663">
        <f>CC12*CD33</f>
        <v>8696.3979416809598</v>
      </c>
      <c r="CF33" s="44">
        <f t="shared" si="11"/>
        <v>0.12870880363898704</v>
      </c>
      <c r="CG33" s="135"/>
      <c r="CH33" s="1" t="str">
        <f>'Standard Vorgaben'!$F$35</f>
        <v>Abzüge</v>
      </c>
      <c r="CI33" s="4" t="s">
        <v>553</v>
      </c>
      <c r="CJ33" s="47"/>
      <c r="CK33" s="63">
        <f>'Standard Vorgaben'!$G$35</f>
        <v>0.65</v>
      </c>
      <c r="CL33" s="663">
        <f>CJ12*CK33</f>
        <v>8696.3979416809598</v>
      </c>
      <c r="CM33" s="44">
        <f t="shared" si="12"/>
        <v>0.12815696928336104</v>
      </c>
      <c r="CN33" s="135"/>
      <c r="CO33" s="1" t="str">
        <f>'Standard Vorgaben'!$F$35</f>
        <v>Abzüge</v>
      </c>
      <c r="CP33" s="4" t="s">
        <v>553</v>
      </c>
      <c r="CQ33" s="47"/>
      <c r="CR33" s="63">
        <f>'Standard Vorgaben'!$G$35</f>
        <v>0.65</v>
      </c>
      <c r="CS33" s="663">
        <f>CQ12*CR33</f>
        <v>8696.3979416809598</v>
      </c>
      <c r="CT33" s="44">
        <f t="shared" si="13"/>
        <v>0.12912064559146652</v>
      </c>
      <c r="CU33" s="135"/>
      <c r="CV33" s="1" t="str">
        <f>'Standard Vorgaben'!$F$35</f>
        <v>Abzüge</v>
      </c>
      <c r="CW33" s="4" t="s">
        <v>553</v>
      </c>
      <c r="CX33" s="47"/>
      <c r="CY33" s="63">
        <f>'Standard Vorgaben'!$G$35</f>
        <v>0.65</v>
      </c>
      <c r="CZ33" s="663">
        <f>CX12*CY33</f>
        <v>8027.4442538593485</v>
      </c>
      <c r="DA33" s="44">
        <f t="shared" si="14"/>
        <v>0.12530520211405011</v>
      </c>
      <c r="DB33" s="135"/>
      <c r="DC33" s="1" t="str">
        <f>'Standard Vorgaben'!$F$35</f>
        <v>Abzüge</v>
      </c>
      <c r="DD33" s="4" t="s">
        <v>553</v>
      </c>
      <c r="DE33" s="47"/>
      <c r="DF33" s="63">
        <f>'Standard Vorgaben'!$G$35</f>
        <v>0.65</v>
      </c>
      <c r="DG33" s="663">
        <f>DE12*DF33</f>
        <v>7358.4905660377353</v>
      </c>
      <c r="DH33" s="44">
        <f t="shared" si="15"/>
        <v>0.11015681547423391</v>
      </c>
    </row>
    <row r="34" spans="1:112" ht="12.25" customHeight="1" x14ac:dyDescent="0.3">
      <c r="A34" s="150"/>
      <c r="B34" s="1"/>
      <c r="C34" s="1"/>
      <c r="D34" s="1"/>
      <c r="E34" s="63"/>
      <c r="F34" s="82">
        <f>SUM(F31:F33)</f>
        <v>700</v>
      </c>
      <c r="G34" s="668">
        <f>F34/$F$69</f>
        <v>6.2589550844830172E-2</v>
      </c>
      <c r="H34" s="150"/>
      <c r="I34"/>
      <c r="J34" s="1"/>
      <c r="K34" s="1"/>
      <c r="L34" s="63"/>
      <c r="M34" s="82">
        <f>SUM(M31:M33)</f>
        <v>700</v>
      </c>
      <c r="N34" s="668">
        <f t="shared" si="3"/>
        <v>6.1092306556729987E-2</v>
      </c>
      <c r="O34" s="765"/>
      <c r="P34" s="1"/>
      <c r="Q34" s="1"/>
      <c r="R34" s="1"/>
      <c r="S34" s="63"/>
      <c r="T34" s="82">
        <f>SUM(T31:T33)</f>
        <v>1368.9536878216122</v>
      </c>
      <c r="U34" s="668">
        <f t="shared" si="0"/>
        <v>1.9076949164941012E-2</v>
      </c>
      <c r="V34" s="150"/>
      <c r="X34" s="1"/>
      <c r="Y34" s="1"/>
      <c r="Z34" s="63"/>
      <c r="AA34" s="82">
        <f>SUM(AA31:AA33)</f>
        <v>3383.2205831903943</v>
      </c>
      <c r="AB34" s="668">
        <f t="shared" si="4"/>
        <v>9.768670073991409E-2</v>
      </c>
      <c r="AC34" s="150"/>
      <c r="AE34" s="1"/>
      <c r="AF34" s="1"/>
      <c r="AG34" s="63"/>
      <c r="AH34" s="82">
        <f>SUM(AH31:AH33)</f>
        <v>6723.8302092624344</v>
      </c>
      <c r="AI34" s="668">
        <f t="shared" si="5"/>
        <v>0.12207596284071066</v>
      </c>
      <c r="AJ34" s="150"/>
      <c r="AL34" s="1"/>
      <c r="AM34" s="1"/>
      <c r="AN34" s="63"/>
      <c r="AO34" s="82">
        <f>SUM(AO31:AO33)</f>
        <v>8481.3396912521439</v>
      </c>
      <c r="AP34" s="668">
        <f t="shared" si="6"/>
        <v>0.1337759963848813</v>
      </c>
      <c r="AQ34" s="150"/>
      <c r="AS34" s="1"/>
      <c r="AT34" s="1"/>
      <c r="AU34" s="63"/>
      <c r="AV34" s="82">
        <f>SUM(AV31:AV33)</f>
        <v>10091.272041166379</v>
      </c>
      <c r="AW34" s="668">
        <f t="shared" si="7"/>
        <v>0.14130959494660542</v>
      </c>
      <c r="AX34" s="150"/>
      <c r="AZ34" s="1"/>
      <c r="BA34" s="1"/>
      <c r="BB34" s="63"/>
      <c r="BC34" s="82">
        <f>SUM(BC31:BC33)</f>
        <v>10091.272041166379</v>
      </c>
      <c r="BD34" s="668">
        <f t="shared" si="8"/>
        <v>0.14248248378988476</v>
      </c>
      <c r="BE34" s="150"/>
      <c r="BF34" s="1"/>
      <c r="BG34" s="1"/>
      <c r="BH34" s="1"/>
      <c r="BI34" s="63"/>
      <c r="BJ34" s="82">
        <f>SUM(BJ31:BJ33)</f>
        <v>10091.272041166379</v>
      </c>
      <c r="BK34" s="668">
        <f t="shared" si="9"/>
        <v>0.14275286380377245</v>
      </c>
      <c r="BL34" s="150"/>
      <c r="BM34" s="1"/>
      <c r="BN34" s="1"/>
      <c r="BO34" s="1"/>
      <c r="BP34" s="63"/>
      <c r="BQ34" s="82">
        <f>SUM(BQ31:BQ33)</f>
        <v>10091.272041166379</v>
      </c>
      <c r="BR34" s="668">
        <f t="shared" si="1"/>
        <v>8.5057025266555425E-2</v>
      </c>
      <c r="BS34" s="150"/>
      <c r="BU34" s="1"/>
      <c r="BV34" s="1"/>
      <c r="BW34" s="63"/>
      <c r="BX34" s="82">
        <f>SUM(BX31:BX33)</f>
        <v>9420.4668953687815</v>
      </c>
      <c r="BY34" s="668">
        <f t="shared" si="10"/>
        <v>0.13920250764713288</v>
      </c>
      <c r="BZ34" s="150"/>
      <c r="CB34" s="1"/>
      <c r="CC34" s="1"/>
      <c r="CD34" s="63"/>
      <c r="CE34" s="82">
        <f>SUM(CE31:CE33)</f>
        <v>9420.4668953687815</v>
      </c>
      <c r="CF34" s="668">
        <f t="shared" si="11"/>
        <v>0.1394252001753763</v>
      </c>
      <c r="CG34" s="150"/>
      <c r="CI34" s="1"/>
      <c r="CJ34" s="1"/>
      <c r="CK34" s="63"/>
      <c r="CL34" s="82">
        <f>SUM(CL31:CL33)</f>
        <v>9420.4668953687815</v>
      </c>
      <c r="CM34" s="668">
        <f t="shared" si="12"/>
        <v>0.1388274196559286</v>
      </c>
      <c r="CN34" s="150"/>
      <c r="CP34" s="1"/>
      <c r="CQ34" s="1"/>
      <c r="CR34" s="63"/>
      <c r="CS34" s="82">
        <f>SUM(CS31:CS33)</f>
        <v>9420.4668953687815</v>
      </c>
      <c r="CT34" s="668">
        <f t="shared" si="13"/>
        <v>0.13987133241374386</v>
      </c>
      <c r="CU34" s="150"/>
      <c r="CV34" s="1"/>
      <c r="CW34" s="1"/>
      <c r="CX34" s="1"/>
      <c r="CY34" s="63"/>
      <c r="CZ34" s="82">
        <f>SUM(CZ31:CZ33)</f>
        <v>8749.6617495711835</v>
      </c>
      <c r="DA34" s="668">
        <f t="shared" si="14"/>
        <v>0.13657872908086349</v>
      </c>
      <c r="DB34" s="150"/>
      <c r="DD34" s="1"/>
      <c r="DE34" s="1"/>
      <c r="DF34" s="63"/>
      <c r="DG34" s="82">
        <f>SUM(DG31:DG33)</f>
        <v>8078.8566037735845</v>
      </c>
      <c r="DH34" s="668">
        <f t="shared" si="15"/>
        <v>0.1209407157837646</v>
      </c>
    </row>
    <row r="35" spans="1:112" ht="14.25" customHeight="1" x14ac:dyDescent="0.3">
      <c r="A35" s="18" t="s">
        <v>231</v>
      </c>
      <c r="B35" s="442">
        <f>'Standard Vorgaben'!$C$151</f>
        <v>498.75</v>
      </c>
      <c r="C35" s="443">
        <f>'Standard Vorgaben'!$D$151</f>
        <v>1.5</v>
      </c>
      <c r="D35" s="108" t="s">
        <v>230</v>
      </c>
      <c r="E35" s="63">
        <f>'Standard Vorgaben'!$E$152</f>
        <v>50</v>
      </c>
      <c r="F35" s="121">
        <f>(B35*C35)+E35</f>
        <v>798.125</v>
      </c>
      <c r="G35" s="668">
        <f t="shared" si="2"/>
        <v>7.136326466861441E-2</v>
      </c>
      <c r="H35" s="18" t="s">
        <v>231</v>
      </c>
      <c r="I35" s="442">
        <f>'Standard Vorgaben'!$C$151</f>
        <v>498.75</v>
      </c>
      <c r="J35" s="443">
        <f>'Standard Vorgaben'!$D$151</f>
        <v>1.5</v>
      </c>
      <c r="K35" s="108" t="s">
        <v>230</v>
      </c>
      <c r="L35" s="63">
        <f>'Standard Vorgaben'!$E$152</f>
        <v>50</v>
      </c>
      <c r="M35" s="121">
        <f>(I35*J35)+L35</f>
        <v>798.125</v>
      </c>
      <c r="N35" s="668">
        <f t="shared" si="3"/>
        <v>6.9656138815128749E-2</v>
      </c>
      <c r="O35" s="3" t="s">
        <v>231</v>
      </c>
      <c r="P35" s="442">
        <f>'Standard Vorgaben'!$C$151</f>
        <v>498.75</v>
      </c>
      <c r="Q35" s="443">
        <f>'Standard Vorgaben'!$D$151</f>
        <v>1.5</v>
      </c>
      <c r="R35" s="108" t="s">
        <v>230</v>
      </c>
      <c r="S35" s="63">
        <f>'Standard Vorgaben'!$E$152</f>
        <v>50</v>
      </c>
      <c r="T35" s="121">
        <f>(P35*Q35)+S35</f>
        <v>798.125</v>
      </c>
      <c r="U35" s="668">
        <f t="shared" si="0"/>
        <v>1.1122209748743969E-2</v>
      </c>
      <c r="V35" s="18" t="s">
        <v>231</v>
      </c>
      <c r="W35" s="442">
        <f>'Standard Vorgaben'!$C$151</f>
        <v>498.75</v>
      </c>
      <c r="X35" s="443">
        <f>'Standard Vorgaben'!$D$151</f>
        <v>1.5</v>
      </c>
      <c r="Y35" s="108" t="s">
        <v>230</v>
      </c>
      <c r="Z35" s="63">
        <f>'Standard Vorgaben'!$E$152</f>
        <v>50</v>
      </c>
      <c r="AA35" s="121">
        <f>(W35*X35)+Z35</f>
        <v>798.125</v>
      </c>
      <c r="AB35" s="668">
        <f t="shared" si="4"/>
        <v>2.3044964438742391E-2</v>
      </c>
      <c r="AC35" s="18" t="s">
        <v>231</v>
      </c>
      <c r="AD35" s="442">
        <f>'Standard Vorgaben'!$C$151</f>
        <v>498.75</v>
      </c>
      <c r="AE35" s="443">
        <f>'Standard Vorgaben'!$D$151</f>
        <v>1.5</v>
      </c>
      <c r="AF35" s="108" t="s">
        <v>230</v>
      </c>
      <c r="AG35" s="63">
        <f>'Standard Vorgaben'!$E$152</f>
        <v>50</v>
      </c>
      <c r="AH35" s="121">
        <f>(AD35*AE35)+AG35</f>
        <v>798.125</v>
      </c>
      <c r="AI35" s="668">
        <f t="shared" si="5"/>
        <v>1.449053215353722E-2</v>
      </c>
      <c r="AJ35" s="18" t="s">
        <v>231</v>
      </c>
      <c r="AK35" s="442">
        <f>'Standard Vorgaben'!$C$151</f>
        <v>498.75</v>
      </c>
      <c r="AL35" s="443">
        <f>'Standard Vorgaben'!$D$151</f>
        <v>1.5</v>
      </c>
      <c r="AM35" s="108" t="s">
        <v>230</v>
      </c>
      <c r="AN35" s="63">
        <f>'Standard Vorgaben'!$E$152</f>
        <v>50</v>
      </c>
      <c r="AO35" s="121">
        <f>(AK35*AL35)+AN35</f>
        <v>798.125</v>
      </c>
      <c r="AP35" s="668">
        <f t="shared" si="6"/>
        <v>1.2588809197774319E-2</v>
      </c>
      <c r="AQ35" s="18" t="s">
        <v>231</v>
      </c>
      <c r="AR35" s="442">
        <f>'Standard Vorgaben'!$C$151</f>
        <v>498.75</v>
      </c>
      <c r="AS35" s="443">
        <f>'Standard Vorgaben'!$D$151</f>
        <v>1.5</v>
      </c>
      <c r="AT35" s="108" t="s">
        <v>230</v>
      </c>
      <c r="AU35" s="63">
        <f>'Standard Vorgaben'!$E$152</f>
        <v>50</v>
      </c>
      <c r="AV35" s="121">
        <f>(AR35*AS35)+AU35</f>
        <v>798.125</v>
      </c>
      <c r="AW35" s="668">
        <f t="shared" si="7"/>
        <v>1.117626400385136E-2</v>
      </c>
      <c r="AX35" s="18" t="s">
        <v>231</v>
      </c>
      <c r="AY35" s="442">
        <f>'Standard Vorgaben'!$C$151</f>
        <v>498.75</v>
      </c>
      <c r="AZ35" s="443">
        <f>'Standard Vorgaben'!$D$151</f>
        <v>1.5</v>
      </c>
      <c r="BA35" s="108" t="s">
        <v>230</v>
      </c>
      <c r="BB35" s="63">
        <f>'Standard Vorgaben'!$E$152</f>
        <v>50</v>
      </c>
      <c r="BC35" s="121">
        <f>(AY35*AZ35)+BB35</f>
        <v>798.125</v>
      </c>
      <c r="BD35" s="668">
        <f t="shared" si="8"/>
        <v>1.1269028514036354E-2</v>
      </c>
      <c r="BE35" s="18" t="s">
        <v>231</v>
      </c>
      <c r="BF35" s="442">
        <f>'Standard Vorgaben'!$C$151</f>
        <v>498.75</v>
      </c>
      <c r="BG35" s="443">
        <f>'Standard Vorgaben'!$D$151</f>
        <v>1.5</v>
      </c>
      <c r="BH35" s="108" t="s">
        <v>230</v>
      </c>
      <c r="BI35" s="63">
        <f>'Standard Vorgaben'!$E$152</f>
        <v>50</v>
      </c>
      <c r="BJ35" s="121">
        <f>(BF35*BG35)+BI35</f>
        <v>798.125</v>
      </c>
      <c r="BK35" s="668">
        <f t="shared" si="9"/>
        <v>1.1290413037979796E-2</v>
      </c>
      <c r="BL35" s="18" t="s">
        <v>231</v>
      </c>
      <c r="BM35" s="442">
        <f>'Standard Vorgaben'!$C$151</f>
        <v>498.75</v>
      </c>
      <c r="BN35" s="443">
        <f>'Standard Vorgaben'!$D$151</f>
        <v>1.5</v>
      </c>
      <c r="BO35" s="108" t="s">
        <v>230</v>
      </c>
      <c r="BP35" s="63">
        <f>'Standard Vorgaben'!$E$152</f>
        <v>50</v>
      </c>
      <c r="BQ35" s="121">
        <f>(BM35*BN35)+BP35</f>
        <v>798.125</v>
      </c>
      <c r="BR35" s="668">
        <f t="shared" si="1"/>
        <v>6.727213181245589E-3</v>
      </c>
      <c r="BS35" s="18" t="s">
        <v>231</v>
      </c>
      <c r="BT35" s="442">
        <f>'Standard Vorgaben'!$C$151</f>
        <v>498.75</v>
      </c>
      <c r="BU35" s="443">
        <f>'Standard Vorgaben'!$D$151</f>
        <v>1.5</v>
      </c>
      <c r="BV35" s="108" t="s">
        <v>230</v>
      </c>
      <c r="BW35" s="63">
        <f>'Standard Vorgaben'!$E$152</f>
        <v>50</v>
      </c>
      <c r="BX35" s="121">
        <f>(BT35*BU35)+BW35</f>
        <v>798.125</v>
      </c>
      <c r="BY35" s="668">
        <f t="shared" si="10"/>
        <v>1.1793576969150706E-2</v>
      </c>
      <c r="BZ35" s="18" t="s">
        <v>231</v>
      </c>
      <c r="CA35" s="442">
        <f>'Standard Vorgaben'!$C$151</f>
        <v>498.75</v>
      </c>
      <c r="CB35" s="443">
        <f>'Standard Vorgaben'!$D$151</f>
        <v>1.5</v>
      </c>
      <c r="CC35" s="108" t="s">
        <v>230</v>
      </c>
      <c r="CD35" s="63">
        <f>'Standard Vorgaben'!$E$152</f>
        <v>50</v>
      </c>
      <c r="CE35" s="121">
        <f>(CA35*CB35)+CD35</f>
        <v>798.125</v>
      </c>
      <c r="CF35" s="668">
        <f t="shared" si="11"/>
        <v>1.181244402490053E-2</v>
      </c>
      <c r="CG35" s="18" t="s">
        <v>231</v>
      </c>
      <c r="CH35" s="442">
        <f>'Standard Vorgaben'!$C$151</f>
        <v>498.75</v>
      </c>
      <c r="CI35" s="443">
        <f>'Standard Vorgaben'!$D$151</f>
        <v>1.5</v>
      </c>
      <c r="CJ35" s="108" t="s">
        <v>230</v>
      </c>
      <c r="CK35" s="63">
        <f>'Standard Vorgaben'!$E$152</f>
        <v>50</v>
      </c>
      <c r="CL35" s="121">
        <f>(CH35*CI35)+CK35</f>
        <v>798.125</v>
      </c>
      <c r="CM35" s="668">
        <f t="shared" si="12"/>
        <v>1.1761798596984559E-2</v>
      </c>
      <c r="CN35" s="18" t="s">
        <v>231</v>
      </c>
      <c r="CO35" s="442">
        <f>'Standard Vorgaben'!$C$151</f>
        <v>498.75</v>
      </c>
      <c r="CP35" s="443">
        <f>'Standard Vorgaben'!$D$151</f>
        <v>1.5</v>
      </c>
      <c r="CQ35" s="108" t="s">
        <v>230</v>
      </c>
      <c r="CR35" s="63">
        <f>'Standard Vorgaben'!$E$152</f>
        <v>50</v>
      </c>
      <c r="CS35" s="121">
        <f>(CO35*CP35)+CR35</f>
        <v>798.125</v>
      </c>
      <c r="CT35" s="668">
        <f t="shared" si="13"/>
        <v>1.1850241439476886E-2</v>
      </c>
      <c r="CU35" s="18" t="s">
        <v>231</v>
      </c>
      <c r="CV35" s="442">
        <f>'Standard Vorgaben'!$C$151</f>
        <v>498.75</v>
      </c>
      <c r="CW35" s="443">
        <f>'Standard Vorgaben'!$D$151</f>
        <v>1.5</v>
      </c>
      <c r="CX35" s="108" t="s">
        <v>230</v>
      </c>
      <c r="CY35" s="63">
        <f>'Standard Vorgaben'!$E$152</f>
        <v>50</v>
      </c>
      <c r="CZ35" s="121">
        <f>(CV35*CW35)+CY35</f>
        <v>798.125</v>
      </c>
      <c r="DA35" s="668">
        <f t="shared" si="14"/>
        <v>1.245841282413078E-2</v>
      </c>
      <c r="DB35" s="18" t="s">
        <v>231</v>
      </c>
      <c r="DC35" s="442">
        <f>'Standard Vorgaben'!$C$151</f>
        <v>498.75</v>
      </c>
      <c r="DD35" s="443">
        <f>'Standard Vorgaben'!$D$151</f>
        <v>1.5</v>
      </c>
      <c r="DE35" s="108" t="s">
        <v>230</v>
      </c>
      <c r="DF35" s="63">
        <f>'Standard Vorgaben'!$E$152</f>
        <v>50</v>
      </c>
      <c r="DG35" s="121">
        <f>(DC35*DD35)+DF35</f>
        <v>798.125</v>
      </c>
      <c r="DH35" s="668">
        <f t="shared" si="15"/>
        <v>1.1947954211717349E-2</v>
      </c>
    </row>
    <row r="36" spans="1:112" ht="15" customHeight="1" x14ac:dyDescent="0.3">
      <c r="A36" s="79" t="s">
        <v>179</v>
      </c>
      <c r="B36" s="80"/>
      <c r="C36" s="234"/>
      <c r="D36" s="80"/>
      <c r="E36" s="233"/>
      <c r="F36" s="1312">
        <f>600</f>
        <v>600</v>
      </c>
      <c r="G36" s="668">
        <f t="shared" si="2"/>
        <v>5.3648186438425866E-2</v>
      </c>
      <c r="H36" s="79" t="s">
        <v>179</v>
      </c>
      <c r="I36" s="80"/>
      <c r="J36" s="234"/>
      <c r="K36" s="80"/>
      <c r="L36" s="233"/>
      <c r="M36" s="1312">
        <f>600</f>
        <v>600</v>
      </c>
      <c r="N36" s="668">
        <f t="shared" si="3"/>
        <v>5.2364834191482849E-2</v>
      </c>
      <c r="O36" s="79" t="s">
        <v>179</v>
      </c>
      <c r="P36" s="80"/>
      <c r="Q36" s="234"/>
      <c r="R36" s="80"/>
      <c r="S36" s="233"/>
      <c r="T36" s="1312">
        <f>600</f>
        <v>600</v>
      </c>
      <c r="U36" s="668">
        <f t="shared" si="0"/>
        <v>8.3612540006219351E-3</v>
      </c>
      <c r="V36" s="79" t="s">
        <v>179</v>
      </c>
      <c r="W36" s="80"/>
      <c r="X36" s="234"/>
      <c r="Y36" s="80"/>
      <c r="Z36" s="233"/>
      <c r="AA36" s="1312">
        <f>600</f>
        <v>600</v>
      </c>
      <c r="AB36" s="668">
        <f t="shared" si="4"/>
        <v>1.7324327220980967E-2</v>
      </c>
      <c r="AC36" s="79" t="s">
        <v>179</v>
      </c>
      <c r="AD36" s="80"/>
      <c r="AE36" s="234"/>
      <c r="AF36" s="80"/>
      <c r="AG36" s="233"/>
      <c r="AH36" s="1312">
        <f>600</f>
        <v>600</v>
      </c>
      <c r="AI36" s="668">
        <f t="shared" si="5"/>
        <v>1.0893430593105507E-2</v>
      </c>
      <c r="AJ36" s="79" t="s">
        <v>179</v>
      </c>
      <c r="AK36" s="80"/>
      <c r="AL36" s="234"/>
      <c r="AM36" s="80"/>
      <c r="AN36" s="233"/>
      <c r="AO36" s="1312">
        <f>600</f>
        <v>600</v>
      </c>
      <c r="AP36" s="668">
        <f t="shared" si="6"/>
        <v>9.4637876506369189E-3</v>
      </c>
      <c r="AQ36" s="79" t="s">
        <v>179</v>
      </c>
      <c r="AR36" s="80"/>
      <c r="AS36" s="234"/>
      <c r="AT36" s="80"/>
      <c r="AU36" s="233"/>
      <c r="AV36" s="1312">
        <f>600</f>
        <v>600</v>
      </c>
      <c r="AW36" s="668">
        <f t="shared" si="7"/>
        <v>8.4018899324176249E-3</v>
      </c>
      <c r="AX36" s="79" t="s">
        <v>179</v>
      </c>
      <c r="AY36" s="80"/>
      <c r="AZ36" s="234"/>
      <c r="BA36" s="80"/>
      <c r="BB36" s="233"/>
      <c r="BC36" s="1312">
        <f>600</f>
        <v>600</v>
      </c>
      <c r="BD36" s="668">
        <f t="shared" si="8"/>
        <v>8.4716267607477681E-3</v>
      </c>
      <c r="BE36" s="79" t="s">
        <v>179</v>
      </c>
      <c r="BF36" s="80"/>
      <c r="BG36" s="234"/>
      <c r="BH36" s="80"/>
      <c r="BI36" s="233"/>
      <c r="BJ36" s="1312">
        <f>600</f>
        <v>600</v>
      </c>
      <c r="BK36" s="668">
        <f t="shared" si="9"/>
        <v>8.4877028319973406E-3</v>
      </c>
      <c r="BL36" s="79" t="s">
        <v>179</v>
      </c>
      <c r="BM36" s="80"/>
      <c r="BN36" s="234"/>
      <c r="BO36" s="80"/>
      <c r="BP36" s="233"/>
      <c r="BQ36" s="1312">
        <f>600</f>
        <v>600</v>
      </c>
      <c r="BR36" s="668">
        <f t="shared" si="1"/>
        <v>5.0572628457288687E-3</v>
      </c>
      <c r="BS36" s="79" t="s">
        <v>179</v>
      </c>
      <c r="BT36" s="80"/>
      <c r="BU36" s="234"/>
      <c r="BV36" s="80"/>
      <c r="BW36" s="233"/>
      <c r="BX36" s="1312">
        <f>600</f>
        <v>600</v>
      </c>
      <c r="BY36" s="668">
        <f t="shared" si="10"/>
        <v>8.8659623260647445E-3</v>
      </c>
      <c r="BZ36" s="79" t="s">
        <v>179</v>
      </c>
      <c r="CA36" s="80"/>
      <c r="CB36" s="234"/>
      <c r="CC36" s="80"/>
      <c r="CD36" s="233"/>
      <c r="CE36" s="1312">
        <f>600</f>
        <v>600</v>
      </c>
      <c r="CF36" s="668">
        <f t="shared" si="11"/>
        <v>8.8801458605360286E-3</v>
      </c>
      <c r="CG36" s="79" t="s">
        <v>179</v>
      </c>
      <c r="CH36" s="80"/>
      <c r="CI36" s="234"/>
      <c r="CJ36" s="80"/>
      <c r="CK36" s="233"/>
      <c r="CL36" s="1312">
        <f>600</f>
        <v>600</v>
      </c>
      <c r="CM36" s="668">
        <f t="shared" si="12"/>
        <v>8.8420725552898795E-3</v>
      </c>
      <c r="CN36" s="79" t="s">
        <v>179</v>
      </c>
      <c r="CO36" s="80"/>
      <c r="CP36" s="234"/>
      <c r="CQ36" s="80"/>
      <c r="CR36" s="233"/>
      <c r="CS36" s="1312">
        <f>600</f>
        <v>600</v>
      </c>
      <c r="CT36" s="668">
        <f t="shared" si="13"/>
        <v>8.9085605183224833E-3</v>
      </c>
      <c r="CU36" s="79" t="s">
        <v>179</v>
      </c>
      <c r="CV36" s="80"/>
      <c r="CW36" s="234"/>
      <c r="CX36" s="80"/>
      <c r="CY36" s="233"/>
      <c r="CZ36" s="1312">
        <f>600</f>
        <v>600</v>
      </c>
      <c r="DA36" s="668">
        <f t="shared" si="14"/>
        <v>9.365760619550155E-3</v>
      </c>
      <c r="DB36" s="79" t="s">
        <v>179</v>
      </c>
      <c r="DC36" s="80"/>
      <c r="DD36" s="234"/>
      <c r="DE36" s="80"/>
      <c r="DF36" s="233"/>
      <c r="DG36" s="1317">
        <f>600</f>
        <v>600</v>
      </c>
      <c r="DH36" s="668">
        <f t="shared" si="15"/>
        <v>8.9820172617452263E-3</v>
      </c>
    </row>
    <row r="37" spans="1:112" ht="15" customHeight="1" thickBot="1" x14ac:dyDescent="0.35">
      <c r="A37" s="79" t="str">
        <f>'Standard Vorgaben'!$A$160</f>
        <v>Frostbekämpfung - Forstversicherung</v>
      </c>
      <c r="B37" s="80"/>
      <c r="C37" s="234"/>
      <c r="D37" s="80"/>
      <c r="E37" s="233"/>
      <c r="F37" s="1312">
        <v>0</v>
      </c>
      <c r="G37" s="668">
        <f t="shared" si="2"/>
        <v>0</v>
      </c>
      <c r="H37" s="79" t="str">
        <f>'Standard Vorgaben'!$A$160</f>
        <v>Frostbekämpfung - Forstversicherung</v>
      </c>
      <c r="I37" s="80"/>
      <c r="J37" s="234"/>
      <c r="K37" s="80"/>
      <c r="L37" s="233"/>
      <c r="M37" s="1312">
        <v>0</v>
      </c>
      <c r="N37" s="668">
        <f t="shared" ref="N37" si="16">M37/$F$69</f>
        <v>0</v>
      </c>
      <c r="O37" s="79" t="str">
        <f>'Standard Vorgaben'!$A$160</f>
        <v>Frostbekämpfung - Forstversicherung</v>
      </c>
      <c r="P37" s="80"/>
      <c r="Q37" s="234"/>
      <c r="R37" s="80"/>
      <c r="S37" s="233"/>
      <c r="T37" s="1312">
        <v>0</v>
      </c>
      <c r="U37" s="668">
        <f t="shared" ref="U37" si="17">T37/$F$69</f>
        <v>0</v>
      </c>
      <c r="V37" s="79" t="str">
        <f>'Standard Vorgaben'!$A$160</f>
        <v>Frostbekämpfung - Forstversicherung</v>
      </c>
      <c r="W37" s="80"/>
      <c r="X37" s="234"/>
      <c r="Y37" s="80"/>
      <c r="Z37" s="233"/>
      <c r="AA37" s="1312">
        <v>0</v>
      </c>
      <c r="AB37" s="668">
        <f t="shared" ref="AB37" si="18">AA37/$F$69</f>
        <v>0</v>
      </c>
      <c r="AC37" s="79" t="str">
        <f>'Standard Vorgaben'!$A$160</f>
        <v>Frostbekämpfung - Forstversicherung</v>
      </c>
      <c r="AD37" s="80"/>
      <c r="AE37" s="234"/>
      <c r="AF37" s="80"/>
      <c r="AG37" s="233"/>
      <c r="AH37" s="1312">
        <f>'Standard Vorgaben'!$B$160</f>
        <v>5000</v>
      </c>
      <c r="AI37" s="668">
        <f t="shared" ref="AI37" si="19">AH37/$F$69</f>
        <v>0.44706822032021554</v>
      </c>
      <c r="AJ37" s="79" t="str">
        <f>'Standard Vorgaben'!$A$160</f>
        <v>Frostbekämpfung - Forstversicherung</v>
      </c>
      <c r="AK37" s="80"/>
      <c r="AL37" s="234"/>
      <c r="AM37" s="80"/>
      <c r="AN37" s="233"/>
      <c r="AO37" s="1312">
        <f>'Standard Vorgaben'!$B$160</f>
        <v>5000</v>
      </c>
      <c r="AP37" s="668">
        <f t="shared" ref="AP37" si="20">AO37/$F$69</f>
        <v>0.44706822032021554</v>
      </c>
      <c r="AQ37" s="79" t="str">
        <f>'Standard Vorgaben'!$A$160</f>
        <v>Frostbekämpfung - Forstversicherung</v>
      </c>
      <c r="AR37" s="80"/>
      <c r="AS37" s="234"/>
      <c r="AT37" s="80"/>
      <c r="AU37" s="233"/>
      <c r="AV37" s="1312">
        <f>'Standard Vorgaben'!$B$160</f>
        <v>5000</v>
      </c>
      <c r="AW37" s="668">
        <f t="shared" ref="AW37" si="21">AV37/$F$69</f>
        <v>0.44706822032021554</v>
      </c>
      <c r="AX37" s="79" t="str">
        <f>'Standard Vorgaben'!$A$160</f>
        <v>Frostbekämpfung - Forstversicherung</v>
      </c>
      <c r="AY37" s="80"/>
      <c r="AZ37" s="234"/>
      <c r="BA37" s="80"/>
      <c r="BB37" s="233"/>
      <c r="BC37" s="1312">
        <f>'Standard Vorgaben'!$B$160</f>
        <v>5000</v>
      </c>
      <c r="BD37" s="668">
        <f t="shared" ref="BD37" si="22">BC37/$F$69</f>
        <v>0.44706822032021554</v>
      </c>
      <c r="BE37" s="79" t="str">
        <f>'Standard Vorgaben'!$A$160</f>
        <v>Frostbekämpfung - Forstversicherung</v>
      </c>
      <c r="BF37" s="80"/>
      <c r="BG37" s="234"/>
      <c r="BH37" s="80"/>
      <c r="BI37" s="233"/>
      <c r="BJ37" s="1312">
        <f>'Standard Vorgaben'!$B$160</f>
        <v>5000</v>
      </c>
      <c r="BK37" s="668">
        <f t="shared" ref="BK37" si="23">BJ37/$F$69</f>
        <v>0.44706822032021554</v>
      </c>
      <c r="BL37" s="79" t="str">
        <f>'Standard Vorgaben'!$A$160</f>
        <v>Frostbekämpfung - Forstversicherung</v>
      </c>
      <c r="BM37" s="80"/>
      <c r="BN37" s="234"/>
      <c r="BO37" s="80"/>
      <c r="BP37" s="233"/>
      <c r="BQ37" s="1312">
        <f>'Standard Vorgaben'!$B$160</f>
        <v>5000</v>
      </c>
      <c r="BR37" s="668">
        <f t="shared" ref="BR37" si="24">BQ37/$F$69</f>
        <v>0.44706822032021554</v>
      </c>
      <c r="BS37" s="79" t="str">
        <f>'Standard Vorgaben'!$A$160</f>
        <v>Frostbekämpfung - Forstversicherung</v>
      </c>
      <c r="BT37" s="80"/>
      <c r="BU37" s="234"/>
      <c r="BV37" s="80"/>
      <c r="BW37" s="233"/>
      <c r="BX37" s="1312">
        <f>'Standard Vorgaben'!$B$160</f>
        <v>5000</v>
      </c>
      <c r="BY37" s="668">
        <f t="shared" ref="BY37" si="25">BX37/$F$69</f>
        <v>0.44706822032021554</v>
      </c>
      <c r="BZ37" s="79" t="str">
        <f>'Standard Vorgaben'!$A$160</f>
        <v>Frostbekämpfung - Forstversicherung</v>
      </c>
      <c r="CA37" s="80"/>
      <c r="CB37" s="234"/>
      <c r="CC37" s="80"/>
      <c r="CD37" s="233"/>
      <c r="CE37" s="1312">
        <f>'Standard Vorgaben'!$B$160</f>
        <v>5000</v>
      </c>
      <c r="CF37" s="668">
        <f t="shared" ref="CF37" si="26">CE37/$F$69</f>
        <v>0.44706822032021554</v>
      </c>
      <c r="CG37" s="79" t="str">
        <f>'Standard Vorgaben'!$A$160</f>
        <v>Frostbekämpfung - Forstversicherung</v>
      </c>
      <c r="CH37" s="80"/>
      <c r="CI37" s="234"/>
      <c r="CJ37" s="80"/>
      <c r="CK37" s="233"/>
      <c r="CL37" s="1312">
        <f>'Standard Vorgaben'!$B$160</f>
        <v>5000</v>
      </c>
      <c r="CM37" s="668">
        <f t="shared" ref="CM37" si="27">CL37/$F$69</f>
        <v>0.44706822032021554</v>
      </c>
      <c r="CN37" s="79" t="str">
        <f>'Standard Vorgaben'!$A$160</f>
        <v>Frostbekämpfung - Forstversicherung</v>
      </c>
      <c r="CO37" s="80"/>
      <c r="CP37" s="234"/>
      <c r="CQ37" s="80"/>
      <c r="CR37" s="233"/>
      <c r="CS37" s="1312">
        <f>'Standard Vorgaben'!$B$160</f>
        <v>5000</v>
      </c>
      <c r="CT37" s="668">
        <f t="shared" ref="CT37" si="28">CS37/$F$69</f>
        <v>0.44706822032021554</v>
      </c>
      <c r="CU37" s="79" t="str">
        <f>'Standard Vorgaben'!$A$160</f>
        <v>Frostbekämpfung - Forstversicherung</v>
      </c>
      <c r="CV37" s="80"/>
      <c r="CW37" s="234"/>
      <c r="CX37" s="80"/>
      <c r="CY37" s="233"/>
      <c r="CZ37" s="1312">
        <f>'Standard Vorgaben'!$B$160</f>
        <v>5000</v>
      </c>
      <c r="DA37" s="668">
        <f t="shared" ref="DA37" si="29">CZ37/$F$69</f>
        <v>0.44706822032021554</v>
      </c>
      <c r="DB37" s="79" t="str">
        <f>'Standard Vorgaben'!$A$160</f>
        <v>Frostbekämpfung - Forstversicherung</v>
      </c>
      <c r="DC37" s="80"/>
      <c r="DD37" s="234"/>
      <c r="DE37" s="80"/>
      <c r="DF37" s="233"/>
      <c r="DG37" s="1317">
        <f>'Standard Vorgaben'!$B$160</f>
        <v>5000</v>
      </c>
      <c r="DH37" s="668">
        <f t="shared" ref="DH37" si="30">DG37/$F$69</f>
        <v>0.44706822032021554</v>
      </c>
    </row>
    <row r="38" spans="1:112" ht="14.25" customHeight="1" thickBot="1" x14ac:dyDescent="0.35">
      <c r="A38" s="604" t="s">
        <v>357</v>
      </c>
      <c r="B38" s="605"/>
      <c r="C38" s="610"/>
      <c r="D38" s="610"/>
      <c r="E38" s="611"/>
      <c r="F38" s="1316">
        <f>F36+F35+F34+F29+F26+F19+F37</f>
        <v>2823.125</v>
      </c>
      <c r="G38" s="669">
        <f>F38/$F$69</f>
        <v>0.25242589389830172</v>
      </c>
      <c r="H38" s="604" t="s">
        <v>357</v>
      </c>
      <c r="I38" s="605"/>
      <c r="J38" s="610"/>
      <c r="K38" s="610"/>
      <c r="L38" s="611"/>
      <c r="M38" s="1316">
        <f>M36+M35+M34+M29+M26+M19+M37</f>
        <v>2963.125</v>
      </c>
      <c r="N38" s="669">
        <f>M38/$F$69</f>
        <v>0.26494380406726775</v>
      </c>
      <c r="O38" s="604" t="s">
        <v>357</v>
      </c>
      <c r="P38" s="605"/>
      <c r="Q38" s="610"/>
      <c r="R38" s="610"/>
      <c r="S38" s="611"/>
      <c r="T38" s="1316">
        <f>T36+T35+T28+T34+T29+T26+T19+T37</f>
        <v>50802.578687821609</v>
      </c>
      <c r="U38" s="669">
        <f>T38/$F$69</f>
        <v>4.542443688328424</v>
      </c>
      <c r="V38" s="604" t="s">
        <v>357</v>
      </c>
      <c r="W38" s="605"/>
      <c r="X38" s="610"/>
      <c r="Y38" s="610"/>
      <c r="Z38" s="611"/>
      <c r="AA38" s="1316">
        <f>AA36+AA35+AA28+AA34+AA29+AA26+AA19+AA37</f>
        <v>8523.8455831903939</v>
      </c>
      <c r="AB38" s="669">
        <f>AA38/$F$69</f>
        <v>0.76214809503225189</v>
      </c>
      <c r="AC38" s="604" t="s">
        <v>357</v>
      </c>
      <c r="AD38" s="605"/>
      <c r="AE38" s="610"/>
      <c r="AF38" s="610"/>
      <c r="AG38" s="611"/>
      <c r="AH38" s="1316">
        <f>AH36+AH35+AH28+AH34+AH29+AH26+AH19+AH37</f>
        <v>16464.455209262436</v>
      </c>
      <c r="AI38" s="669">
        <f>AH38/$F$69</f>
        <v>1.4721469377893719</v>
      </c>
      <c r="AJ38" s="604" t="s">
        <v>357</v>
      </c>
      <c r="AK38" s="605"/>
      <c r="AL38" s="610"/>
      <c r="AM38" s="610"/>
      <c r="AN38" s="611"/>
      <c r="AO38" s="1316">
        <f>AO36+AO35+AO28+AO34+AO29+AO26+AO19+AO37</f>
        <v>18221.964691252142</v>
      </c>
      <c r="AP38" s="669">
        <f>AO38/$F$69</f>
        <v>1.6292922650511803</v>
      </c>
      <c r="AQ38" s="604" t="s">
        <v>357</v>
      </c>
      <c r="AR38" s="605"/>
      <c r="AS38" s="610"/>
      <c r="AT38" s="610"/>
      <c r="AU38" s="611"/>
      <c r="AV38" s="1316">
        <f>AV36+AV35+AV28+AV34+AV29+AV26+AV19+AV37</f>
        <v>20231.897041166379</v>
      </c>
      <c r="AW38" s="669">
        <f>AV38/$F$69</f>
        <v>1.8090076407792177</v>
      </c>
      <c r="AX38" s="604" t="s">
        <v>357</v>
      </c>
      <c r="AY38" s="605"/>
      <c r="AZ38" s="610"/>
      <c r="BA38" s="610"/>
      <c r="BB38" s="611"/>
      <c r="BC38" s="1316">
        <f>BC36+BC35+BC28+BC34+BC29+BC26+BC19+BC37</f>
        <v>19831.897041166379</v>
      </c>
      <c r="BD38" s="669">
        <f>BC38/$F$69</f>
        <v>1.7732421831536005</v>
      </c>
      <c r="BE38" s="604" t="s">
        <v>357</v>
      </c>
      <c r="BF38" s="605"/>
      <c r="BG38" s="610"/>
      <c r="BH38" s="610"/>
      <c r="BI38" s="611"/>
      <c r="BJ38" s="1316">
        <f>BJ36+BJ35+BJ28+BJ34+BJ29+BJ26+BJ19+BJ37</f>
        <v>19831.897041166379</v>
      </c>
      <c r="BK38" s="669">
        <f>BJ38/$F$69</f>
        <v>1.7732421831536005</v>
      </c>
      <c r="BL38" s="604" t="s">
        <v>357</v>
      </c>
      <c r="BM38" s="605"/>
      <c r="BN38" s="610"/>
      <c r="BO38" s="610"/>
      <c r="BP38" s="611"/>
      <c r="BQ38" s="1316">
        <f>BQ36+BQ35+BQ28+BQ34+BQ29+BQ26+BQ19+BQ37</f>
        <v>64977.397041166376</v>
      </c>
      <c r="BR38" s="669">
        <f>BQ38/$F$69</f>
        <v>5.8098658512468582</v>
      </c>
      <c r="BS38" s="604" t="s">
        <v>357</v>
      </c>
      <c r="BT38" s="605"/>
      <c r="BU38" s="610"/>
      <c r="BV38" s="610"/>
      <c r="BW38" s="611"/>
      <c r="BX38" s="1316">
        <f>BX36+BX35+BX28+BX34+BX29+BX26+BX19+BX37</f>
        <v>19161.09189536878</v>
      </c>
      <c r="BY38" s="669">
        <f>BX38/$F$69</f>
        <v>1.7132630506109252</v>
      </c>
      <c r="BZ38" s="604" t="s">
        <v>357</v>
      </c>
      <c r="CA38" s="605"/>
      <c r="CB38" s="610"/>
      <c r="CC38" s="610"/>
      <c r="CD38" s="611"/>
      <c r="CE38" s="1316">
        <f>CE36+CE35+CE28+CE34+CE29+CE26+CE19+CE37</f>
        <v>19161.09189536878</v>
      </c>
      <c r="CF38" s="669">
        <f>CE38/$F$69</f>
        <v>1.7132630506109252</v>
      </c>
      <c r="CG38" s="604" t="s">
        <v>357</v>
      </c>
      <c r="CH38" s="605"/>
      <c r="CI38" s="610"/>
      <c r="CJ38" s="610"/>
      <c r="CK38" s="611"/>
      <c r="CL38" s="1316">
        <f>CL36+CL35+CL28+CL34+CL29+CL26+CL19+CL37</f>
        <v>19561.09189536878</v>
      </c>
      <c r="CM38" s="669">
        <f>CL38/$F$69</f>
        <v>1.7490285082365424</v>
      </c>
      <c r="CN38" s="604" t="s">
        <v>357</v>
      </c>
      <c r="CO38" s="605"/>
      <c r="CP38" s="610"/>
      <c r="CQ38" s="610"/>
      <c r="CR38" s="611"/>
      <c r="CS38" s="1316">
        <f>CS36+CS35+CS34+CS29+CS26+CS19+CS37</f>
        <v>19161.09189536878</v>
      </c>
      <c r="CT38" s="669">
        <f>CS38/$F$69</f>
        <v>1.7132630506109252</v>
      </c>
      <c r="CU38" s="604" t="s">
        <v>357</v>
      </c>
      <c r="CV38" s="605"/>
      <c r="CW38" s="610"/>
      <c r="CX38" s="610"/>
      <c r="CY38" s="611"/>
      <c r="CZ38" s="1316">
        <f>CZ36+CZ35+CZ28+CZ34+CZ29+CZ26+CZ19+CZ37</f>
        <v>18490.286749571183</v>
      </c>
      <c r="DA38" s="669">
        <f>CZ38/$F$69</f>
        <v>1.6532839180682504</v>
      </c>
      <c r="DB38" s="604" t="s">
        <v>357</v>
      </c>
      <c r="DC38" s="605"/>
      <c r="DD38" s="610"/>
      <c r="DE38" s="610"/>
      <c r="DF38" s="611"/>
      <c r="DG38" s="1316">
        <f>DG36+DG35+DG28+DG34+DG29+DG26+DG19+DG37</f>
        <v>17819.481603773584</v>
      </c>
      <c r="DH38" s="669">
        <f>DG38/$F$69</f>
        <v>1.5933047855255753</v>
      </c>
    </row>
    <row r="39" spans="1:112" ht="15.75" customHeight="1" x14ac:dyDescent="0.3">
      <c r="A39" s="18" t="s">
        <v>109</v>
      </c>
      <c r="B39"/>
      <c r="C39" s="112" t="s">
        <v>72</v>
      </c>
      <c r="D39" s="151">
        <v>30</v>
      </c>
      <c r="E39" s="95">
        <v>21</v>
      </c>
      <c r="F39" s="82">
        <f>D39*E39</f>
        <v>630</v>
      </c>
      <c r="G39" s="668">
        <f t="shared" si="2"/>
        <v>5.6330595760347157E-2</v>
      </c>
      <c r="H39" s="18" t="s">
        <v>109</v>
      </c>
      <c r="I39"/>
      <c r="J39" s="112" t="s">
        <v>72</v>
      </c>
      <c r="K39" s="151">
        <v>30</v>
      </c>
      <c r="L39" s="95">
        <f>$E$39</f>
        <v>21</v>
      </c>
      <c r="M39" s="82">
        <f>K39*L39*0.5</f>
        <v>315</v>
      </c>
      <c r="N39" s="668">
        <f t="shared" si="3"/>
        <v>2.7491537950528496E-2</v>
      </c>
      <c r="O39" s="18" t="s">
        <v>109</v>
      </c>
      <c r="Q39" s="112" t="s">
        <v>72</v>
      </c>
      <c r="R39" s="151">
        <v>30</v>
      </c>
      <c r="S39" s="95">
        <f>L39</f>
        <v>21</v>
      </c>
      <c r="T39" s="82">
        <f>R39*S39</f>
        <v>630</v>
      </c>
      <c r="U39" s="668">
        <f t="shared" si="0"/>
        <v>8.7793167006530309E-3</v>
      </c>
      <c r="V39" s="18" t="s">
        <v>216</v>
      </c>
      <c r="X39" s="112" t="s">
        <v>72</v>
      </c>
      <c r="Y39" s="151">
        <v>30</v>
      </c>
      <c r="Z39" s="95">
        <f>$E$39</f>
        <v>21</v>
      </c>
      <c r="AA39" s="82">
        <f>Y39*Z39</f>
        <v>630</v>
      </c>
      <c r="AB39" s="668">
        <f t="shared" si="4"/>
        <v>1.8190543582030014E-2</v>
      </c>
      <c r="AC39" s="18" t="s">
        <v>216</v>
      </c>
      <c r="AE39" s="112" t="s">
        <v>72</v>
      </c>
      <c r="AF39" s="151">
        <v>30</v>
      </c>
      <c r="AG39" s="95">
        <f>$E$39</f>
        <v>21</v>
      </c>
      <c r="AH39" s="82">
        <f>AF39*AG39</f>
        <v>630</v>
      </c>
      <c r="AI39" s="668">
        <f t="shared" si="5"/>
        <v>1.1438102122760781E-2</v>
      </c>
      <c r="AJ39" s="18" t="s">
        <v>216</v>
      </c>
      <c r="AL39" s="112" t="s">
        <v>72</v>
      </c>
      <c r="AM39" s="151">
        <v>30</v>
      </c>
      <c r="AN39" s="95">
        <f>$E$39</f>
        <v>21</v>
      </c>
      <c r="AO39" s="82">
        <f>AM39*AN39</f>
        <v>630</v>
      </c>
      <c r="AP39" s="668">
        <f t="shared" si="6"/>
        <v>9.936977033168766E-3</v>
      </c>
      <c r="AQ39" s="18" t="s">
        <v>216</v>
      </c>
      <c r="AS39" s="112" t="s">
        <v>72</v>
      </c>
      <c r="AT39" s="151">
        <v>30</v>
      </c>
      <c r="AU39" s="95">
        <f>$E$39</f>
        <v>21</v>
      </c>
      <c r="AV39" s="82">
        <f>AT39*AU39</f>
        <v>630</v>
      </c>
      <c r="AW39" s="668">
        <f t="shared" si="7"/>
        <v>8.8219844290385058E-3</v>
      </c>
      <c r="AX39" s="18" t="s">
        <v>216</v>
      </c>
      <c r="AZ39" s="112" t="s">
        <v>72</v>
      </c>
      <c r="BA39" s="151">
        <v>30</v>
      </c>
      <c r="BB39" s="95">
        <f>$E$39</f>
        <v>21</v>
      </c>
      <c r="BC39" s="82">
        <f>BA39*BB39</f>
        <v>630</v>
      </c>
      <c r="BD39" s="668">
        <f t="shared" si="8"/>
        <v>8.8952080987851571E-3</v>
      </c>
      <c r="BE39" s="18" t="s">
        <v>216</v>
      </c>
      <c r="BG39" s="112" t="s">
        <v>72</v>
      </c>
      <c r="BH39" s="151">
        <v>30</v>
      </c>
      <c r="BI39" s="95">
        <f>$E$39</f>
        <v>21</v>
      </c>
      <c r="BJ39" s="82">
        <f>BH39*BI39</f>
        <v>630</v>
      </c>
      <c r="BK39" s="668">
        <f t="shared" si="9"/>
        <v>8.9120879735972072E-3</v>
      </c>
      <c r="BL39" s="18" t="s">
        <v>216</v>
      </c>
      <c r="BN39" s="112" t="s">
        <v>72</v>
      </c>
      <c r="BO39" s="151">
        <v>30</v>
      </c>
      <c r="BP39" s="95">
        <f>$E$39</f>
        <v>21</v>
      </c>
      <c r="BQ39" s="82">
        <f>BO39*BP39</f>
        <v>630</v>
      </c>
      <c r="BR39" s="668">
        <f t="shared" si="1"/>
        <v>5.3101259880153117E-3</v>
      </c>
      <c r="BS39" s="18" t="s">
        <v>216</v>
      </c>
      <c r="BU39" s="112" t="s">
        <v>72</v>
      </c>
      <c r="BV39" s="151">
        <v>30</v>
      </c>
      <c r="BW39" s="95">
        <f>$E$39</f>
        <v>21</v>
      </c>
      <c r="BX39" s="82">
        <f>BV39*BW39</f>
        <v>630</v>
      </c>
      <c r="BY39" s="668">
        <f t="shared" si="10"/>
        <v>9.3092604423679805E-3</v>
      </c>
      <c r="BZ39" s="18" t="s">
        <v>216</v>
      </c>
      <c r="CB39" s="112" t="s">
        <v>72</v>
      </c>
      <c r="CC39" s="151">
        <v>30</v>
      </c>
      <c r="CD39" s="95">
        <f>$E$39</f>
        <v>21</v>
      </c>
      <c r="CE39" s="82">
        <f>CC39*CD39</f>
        <v>630</v>
      </c>
      <c r="CF39" s="668">
        <f t="shared" si="11"/>
        <v>9.3241531535628308E-3</v>
      </c>
      <c r="CG39" s="18" t="s">
        <v>216</v>
      </c>
      <c r="CI39" s="112" t="s">
        <v>72</v>
      </c>
      <c r="CJ39" s="151">
        <v>30</v>
      </c>
      <c r="CK39" s="95">
        <f>$E$39</f>
        <v>21</v>
      </c>
      <c r="CL39" s="82">
        <f>CJ39*CK39</f>
        <v>630</v>
      </c>
      <c r="CM39" s="668">
        <f t="shared" si="12"/>
        <v>9.2841761830543736E-3</v>
      </c>
      <c r="CN39" s="18" t="s">
        <v>216</v>
      </c>
      <c r="CP39" s="112" t="s">
        <v>72</v>
      </c>
      <c r="CQ39" s="151">
        <v>30</v>
      </c>
      <c r="CR39" s="95">
        <f>$E$39</f>
        <v>21</v>
      </c>
      <c r="CS39" s="82">
        <f>CQ39*CR39</f>
        <v>630</v>
      </c>
      <c r="CT39" s="668">
        <f t="shared" si="13"/>
        <v>9.3539885442386079E-3</v>
      </c>
      <c r="CU39" s="18" t="s">
        <v>216</v>
      </c>
      <c r="CW39" s="112" t="s">
        <v>72</v>
      </c>
      <c r="CX39" s="151">
        <v>30</v>
      </c>
      <c r="CY39" s="95">
        <f>$E$39</f>
        <v>21</v>
      </c>
      <c r="CZ39" s="82">
        <f>CX39*CY39</f>
        <v>630</v>
      </c>
      <c r="DA39" s="668">
        <f t="shared" si="14"/>
        <v>9.8340486505276627E-3</v>
      </c>
      <c r="DB39" s="18" t="s">
        <v>216</v>
      </c>
      <c r="DD39" s="112" t="s">
        <v>72</v>
      </c>
      <c r="DE39" s="151">
        <v>30</v>
      </c>
      <c r="DF39" s="95">
        <f>$E$39</f>
        <v>21</v>
      </c>
      <c r="DG39" s="82">
        <f>DE39*DF39</f>
        <v>630</v>
      </c>
      <c r="DH39" s="668">
        <f t="shared" si="15"/>
        <v>9.4311181248324886E-3</v>
      </c>
    </row>
    <row r="40" spans="1:112" ht="17.5" customHeight="1" x14ac:dyDescent="0.25">
      <c r="A40"/>
      <c r="B40"/>
      <c r="C40" s="50" t="s">
        <v>18</v>
      </c>
      <c r="D40" s="123" t="s">
        <v>27</v>
      </c>
      <c r="E40" s="10" t="s">
        <v>73</v>
      </c>
      <c r="F40" s="124" t="s">
        <v>29</v>
      </c>
      <c r="G40" s="44"/>
      <c r="H40"/>
      <c r="I40"/>
      <c r="J40" s="50" t="s">
        <v>18</v>
      </c>
      <c r="K40" s="123" t="s">
        <v>27</v>
      </c>
      <c r="L40" s="10" t="s">
        <v>73</v>
      </c>
      <c r="M40" s="124" t="s">
        <v>29</v>
      </c>
      <c r="N40" s="44"/>
      <c r="Q40" s="50" t="s">
        <v>18</v>
      </c>
      <c r="R40" s="123" t="s">
        <v>27</v>
      </c>
      <c r="S40" s="10" t="s">
        <v>73</v>
      </c>
      <c r="T40" s="124" t="s">
        <v>29</v>
      </c>
      <c r="U40" s="44"/>
      <c r="X40" s="50" t="s">
        <v>18</v>
      </c>
      <c r="Y40" s="123" t="s">
        <v>27</v>
      </c>
      <c r="Z40" s="10" t="s">
        <v>73</v>
      </c>
      <c r="AA40" s="124" t="s">
        <v>29</v>
      </c>
      <c r="AB40" s="44"/>
      <c r="AE40" s="50" t="s">
        <v>18</v>
      </c>
      <c r="AF40" s="123" t="s">
        <v>27</v>
      </c>
      <c r="AG40" s="10" t="s">
        <v>73</v>
      </c>
      <c r="AH40" s="124" t="s">
        <v>29</v>
      </c>
      <c r="AI40" s="44"/>
      <c r="AL40" s="50" t="s">
        <v>18</v>
      </c>
      <c r="AM40" s="123" t="s">
        <v>27</v>
      </c>
      <c r="AN40" s="10" t="s">
        <v>73</v>
      </c>
      <c r="AO40" s="124" t="s">
        <v>29</v>
      </c>
      <c r="AP40" s="44"/>
      <c r="AS40" s="50" t="s">
        <v>18</v>
      </c>
      <c r="AT40" s="123" t="s">
        <v>27</v>
      </c>
      <c r="AU40" s="10" t="s">
        <v>73</v>
      </c>
      <c r="AV40" s="124" t="s">
        <v>29</v>
      </c>
      <c r="AW40" s="44"/>
      <c r="AZ40" s="50" t="s">
        <v>18</v>
      </c>
      <c r="BA40" s="123" t="s">
        <v>27</v>
      </c>
      <c r="BB40" s="10" t="s">
        <v>73</v>
      </c>
      <c r="BC40" s="124" t="s">
        <v>29</v>
      </c>
      <c r="BD40" s="44"/>
      <c r="BG40" s="50" t="s">
        <v>18</v>
      </c>
      <c r="BH40" s="123" t="s">
        <v>27</v>
      </c>
      <c r="BI40" s="10" t="s">
        <v>73</v>
      </c>
      <c r="BJ40" s="124" t="s">
        <v>29</v>
      </c>
      <c r="BK40" s="44"/>
      <c r="BN40" s="50" t="s">
        <v>18</v>
      </c>
      <c r="BO40" s="123" t="s">
        <v>27</v>
      </c>
      <c r="BP40" s="10" t="s">
        <v>73</v>
      </c>
      <c r="BQ40" s="124" t="s">
        <v>29</v>
      </c>
      <c r="BR40" s="44"/>
      <c r="BU40" s="50" t="s">
        <v>18</v>
      </c>
      <c r="BV40" s="123" t="s">
        <v>27</v>
      </c>
      <c r="BW40" s="10" t="s">
        <v>73</v>
      </c>
      <c r="BX40" s="124" t="s">
        <v>29</v>
      </c>
      <c r="BY40" s="44"/>
      <c r="CB40" s="50" t="s">
        <v>18</v>
      </c>
      <c r="CC40" s="123" t="s">
        <v>27</v>
      </c>
      <c r="CD40" s="10" t="s">
        <v>73</v>
      </c>
      <c r="CE40" s="124" t="s">
        <v>29</v>
      </c>
      <c r="CF40" s="44"/>
      <c r="CI40" s="50" t="s">
        <v>18</v>
      </c>
      <c r="CJ40" s="123" t="s">
        <v>27</v>
      </c>
      <c r="CK40" s="10" t="s">
        <v>73</v>
      </c>
      <c r="CL40" s="124" t="s">
        <v>29</v>
      </c>
      <c r="CM40" s="44"/>
      <c r="CP40" s="50" t="s">
        <v>18</v>
      </c>
      <c r="CQ40" s="123" t="s">
        <v>27</v>
      </c>
      <c r="CR40" s="10" t="s">
        <v>73</v>
      </c>
      <c r="CS40" s="124" t="s">
        <v>29</v>
      </c>
      <c r="CT40" s="44"/>
      <c r="CW40" s="50" t="s">
        <v>18</v>
      </c>
      <c r="CX40" s="123" t="s">
        <v>27</v>
      </c>
      <c r="CY40" s="10" t="s">
        <v>73</v>
      </c>
      <c r="CZ40" s="124" t="s">
        <v>29</v>
      </c>
      <c r="DA40" s="44"/>
      <c r="DD40" s="50" t="s">
        <v>18</v>
      </c>
      <c r="DE40" s="123" t="s">
        <v>27</v>
      </c>
      <c r="DF40" s="10" t="s">
        <v>73</v>
      </c>
      <c r="DG40" s="124" t="s">
        <v>29</v>
      </c>
      <c r="DH40" s="44"/>
    </row>
    <row r="41" spans="1:112" x14ac:dyDescent="0.3">
      <c r="A41" s="18" t="s">
        <v>133</v>
      </c>
      <c r="B41" s="21" t="str">
        <f>'Standard Vorgaben'!$B$131</f>
        <v>Anbaugebläsepritze 500 l</v>
      </c>
      <c r="C41" s="588">
        <f>'Standard Vorgaben'!$B$118</f>
        <v>4</v>
      </c>
      <c r="D41" s="48">
        <f>'Standard Vorgaben'!$C$131</f>
        <v>1</v>
      </c>
      <c r="E41" s="63">
        <f>'Standard Vorgaben'!$D$131</f>
        <v>37</v>
      </c>
      <c r="F41" s="45">
        <f>C41*D41*E41</f>
        <v>148</v>
      </c>
      <c r="G41" s="44">
        <f t="shared" ref="G41:G52" si="31">F41/$F$69</f>
        <v>1.3233219321478381E-2</v>
      </c>
      <c r="H41" s="18" t="s">
        <v>133</v>
      </c>
      <c r="I41" s="4" t="str">
        <f>'Standard Vorgaben'!$B$131</f>
        <v>Anbaugebläsepritze 500 l</v>
      </c>
      <c r="J41" s="588">
        <f>'Standard Vorgaben'!$C$118</f>
        <v>6</v>
      </c>
      <c r="K41" s="48">
        <f>'Standard Vorgaben'!$C$131</f>
        <v>1</v>
      </c>
      <c r="L41" s="63">
        <f>'Standard Vorgaben'!$D$131</f>
        <v>37</v>
      </c>
      <c r="M41" s="45">
        <f>J41*K41*L41</f>
        <v>222</v>
      </c>
      <c r="N41" s="44">
        <f t="shared" ref="N41:N52" si="32">M41/$M$69</f>
        <v>1.9374988650848652E-2</v>
      </c>
      <c r="O41" s="3" t="s">
        <v>133</v>
      </c>
      <c r="P41" s="4" t="str">
        <f>'Standard Vorgaben'!$B$131</f>
        <v>Anbaugebläsepritze 500 l</v>
      </c>
      <c r="Q41" s="588">
        <f>'Standard Vorgaben'!$D$118</f>
        <v>16</v>
      </c>
      <c r="R41" s="48">
        <f>'Standard Vorgaben'!$C$131</f>
        <v>1</v>
      </c>
      <c r="S41" s="63">
        <f>'Standard Vorgaben'!$D$131</f>
        <v>37</v>
      </c>
      <c r="T41" s="45">
        <f>Q41*R41*S41</f>
        <v>592</v>
      </c>
      <c r="U41" s="44">
        <f t="shared" ref="U41:U52" si="33">T41/$T$69</f>
        <v>8.2497706139469749E-3</v>
      </c>
      <c r="V41" s="18" t="s">
        <v>133</v>
      </c>
      <c r="W41" s="4" t="str">
        <f>'Standard Vorgaben'!$B$131</f>
        <v>Anbaugebläsepritze 500 l</v>
      </c>
      <c r="X41" s="588">
        <f>'Standard Vorgaben'!$D$118</f>
        <v>16</v>
      </c>
      <c r="Y41" s="48">
        <f>'Standard Vorgaben'!$C$131</f>
        <v>1</v>
      </c>
      <c r="Z41" s="63">
        <f>'Standard Vorgaben'!$D$131</f>
        <v>37</v>
      </c>
      <c r="AA41" s="45">
        <f>X41*Y41*Z41</f>
        <v>592</v>
      </c>
      <c r="AB41" s="44">
        <f t="shared" ref="AB41:AB52" si="34">AA41/$AA$69</f>
        <v>1.7093336191367887E-2</v>
      </c>
      <c r="AC41" s="18" t="s">
        <v>133</v>
      </c>
      <c r="AD41" s="4" t="str">
        <f>'Standard Vorgaben'!$B$131</f>
        <v>Anbaugebläsepritze 500 l</v>
      </c>
      <c r="AE41" s="588">
        <f>'Standard Vorgaben'!$D$118</f>
        <v>16</v>
      </c>
      <c r="AF41" s="48">
        <f>'Standard Vorgaben'!$C$131</f>
        <v>1</v>
      </c>
      <c r="AG41" s="63">
        <f>'Standard Vorgaben'!$D$131</f>
        <v>37</v>
      </c>
      <c r="AH41" s="45">
        <f>AE41*AF41*AG41</f>
        <v>592</v>
      </c>
      <c r="AI41" s="44">
        <f t="shared" ref="AI41:AI52" si="35">AH41/$AH$69</f>
        <v>1.0748184851864099E-2</v>
      </c>
      <c r="AJ41" s="18" t="s">
        <v>133</v>
      </c>
      <c r="AK41" s="21" t="str">
        <f>'Standard Vorgaben'!$B$131</f>
        <v>Anbaugebläsepritze 500 l</v>
      </c>
      <c r="AL41" s="588">
        <f>'Standard Vorgaben'!$D$118</f>
        <v>16</v>
      </c>
      <c r="AM41" s="48">
        <f>'Standard Vorgaben'!$C$131</f>
        <v>1</v>
      </c>
      <c r="AN41" s="63">
        <f>'Standard Vorgaben'!$D$131</f>
        <v>37</v>
      </c>
      <c r="AO41" s="45">
        <f>AL41*AM41*AN41</f>
        <v>592</v>
      </c>
      <c r="AP41" s="44">
        <f t="shared" ref="AP41:AP52" si="36">AO41/$AO$69</f>
        <v>9.3376038152950935E-3</v>
      </c>
      <c r="AQ41" s="18" t="s">
        <v>133</v>
      </c>
      <c r="AR41" s="4" t="str">
        <f>'Standard Vorgaben'!$B$131</f>
        <v>Anbaugebläsepritze 500 l</v>
      </c>
      <c r="AS41" s="588">
        <f>'Standard Vorgaben'!$D$118</f>
        <v>16</v>
      </c>
      <c r="AT41" s="48">
        <f>'Standard Vorgaben'!$C$131</f>
        <v>1</v>
      </c>
      <c r="AU41" s="63">
        <f>'Standard Vorgaben'!$D$131</f>
        <v>37</v>
      </c>
      <c r="AV41" s="45">
        <f>AS41*AT41*AU41</f>
        <v>592</v>
      </c>
      <c r="AW41" s="44">
        <f t="shared" ref="AW41:AW52" si="37">AV41/$AV$69</f>
        <v>8.2898647333187227E-3</v>
      </c>
      <c r="AX41" s="18" t="s">
        <v>133</v>
      </c>
      <c r="AY41" s="21" t="str">
        <f>'Standard Vorgaben'!$B$131</f>
        <v>Anbaugebläsepritze 500 l</v>
      </c>
      <c r="AZ41" s="588">
        <f>'Standard Vorgaben'!$D$118</f>
        <v>16</v>
      </c>
      <c r="BA41" s="48">
        <f>'Standard Vorgaben'!$C$131</f>
        <v>1</v>
      </c>
      <c r="BB41" s="63">
        <f>'Standard Vorgaben'!$D$131</f>
        <v>37</v>
      </c>
      <c r="BC41" s="45">
        <f>AZ41*BA41*BB41</f>
        <v>592</v>
      </c>
      <c r="BD41" s="44">
        <f t="shared" ref="BD41:BD52" si="38">BC41/$BC$69</f>
        <v>8.3586717372711311E-3</v>
      </c>
      <c r="BE41" s="18" t="s">
        <v>133</v>
      </c>
      <c r="BF41" s="21" t="str">
        <f>'Standard Vorgaben'!$B$131</f>
        <v>Anbaugebläsepritze 500 l</v>
      </c>
      <c r="BG41" s="588">
        <f>'Standard Vorgaben'!$D$118</f>
        <v>16</v>
      </c>
      <c r="BH41" s="48">
        <f>'Standard Vorgaben'!$C$131</f>
        <v>1</v>
      </c>
      <c r="BI41" s="63">
        <f>'Standard Vorgaben'!$D$131</f>
        <v>37</v>
      </c>
      <c r="BJ41" s="45">
        <f>BG41*BH41*BI41</f>
        <v>592</v>
      </c>
      <c r="BK41" s="44">
        <f t="shared" ref="BK41:BK52" si="39">BJ41/$BJ$69</f>
        <v>8.3745334609040423E-3</v>
      </c>
      <c r="BL41" s="18" t="s">
        <v>133</v>
      </c>
      <c r="BM41" s="21" t="str">
        <f>'Standard Vorgaben'!$B$131</f>
        <v>Anbaugebläsepritze 500 l</v>
      </c>
      <c r="BN41" s="588">
        <f>'Standard Vorgaben'!$D$118</f>
        <v>16</v>
      </c>
      <c r="BO41" s="48">
        <f>'Standard Vorgaben'!$C$131</f>
        <v>1</v>
      </c>
      <c r="BP41" s="63">
        <f>'Standard Vorgaben'!$D$131</f>
        <v>37</v>
      </c>
      <c r="BQ41" s="45">
        <f>BN41*BO41*BP41</f>
        <v>592</v>
      </c>
      <c r="BR41" s="44">
        <f t="shared" ref="BR41:BR52" si="40">BQ41/$BQ$69</f>
        <v>4.9898326744524839E-3</v>
      </c>
      <c r="BS41" s="18" t="s">
        <v>133</v>
      </c>
      <c r="BT41" s="4" t="str">
        <f>'Standard Vorgaben'!$B$131</f>
        <v>Anbaugebläsepritze 500 l</v>
      </c>
      <c r="BU41" s="588">
        <f>'Standard Vorgaben'!$D$118</f>
        <v>16</v>
      </c>
      <c r="BV41" s="48">
        <f>'Standard Vorgaben'!$C$131</f>
        <v>1</v>
      </c>
      <c r="BW41" s="63">
        <f>'Standard Vorgaben'!$D$131</f>
        <v>37</v>
      </c>
      <c r="BX41" s="45">
        <f>BU41*BV41*BW41</f>
        <v>592</v>
      </c>
      <c r="BY41" s="44">
        <f t="shared" ref="BY41:BY52" si="41">BX41/$BX$69</f>
        <v>8.7477494950505483E-3</v>
      </c>
      <c r="BZ41" s="18" t="s">
        <v>133</v>
      </c>
      <c r="CA41" s="21" t="str">
        <f>'Standard Vorgaben'!$B$131</f>
        <v>Anbaugebläsepritze 500 l</v>
      </c>
      <c r="CB41" s="588">
        <f>'Standard Vorgaben'!$D$118</f>
        <v>16</v>
      </c>
      <c r="CC41" s="48">
        <f>'Standard Vorgaben'!$C$131</f>
        <v>1</v>
      </c>
      <c r="CD41" s="63">
        <f>'Standard Vorgaben'!$D$131</f>
        <v>37</v>
      </c>
      <c r="CE41" s="45">
        <f>CB41*CC41*CD41</f>
        <v>592</v>
      </c>
      <c r="CF41" s="44">
        <f t="shared" ref="CF41:CF52" si="42">CE41/$CE$69</f>
        <v>8.7617439157288823E-3</v>
      </c>
      <c r="CG41" s="18" t="s">
        <v>133</v>
      </c>
      <c r="CH41" s="4" t="str">
        <f>'Standard Vorgaben'!$B$131</f>
        <v>Anbaugebläsepritze 500 l</v>
      </c>
      <c r="CI41" s="588">
        <f>'Standard Vorgaben'!$D$118</f>
        <v>16</v>
      </c>
      <c r="CJ41" s="48">
        <f>'Standard Vorgaben'!$C$131</f>
        <v>1</v>
      </c>
      <c r="CK41" s="63">
        <f>'Standard Vorgaben'!$D$131</f>
        <v>37</v>
      </c>
      <c r="CL41" s="45">
        <f>CI41*CJ41*CK41</f>
        <v>592</v>
      </c>
      <c r="CM41" s="44">
        <f t="shared" ref="CM41:CM52" si="43">CL41/$CL$69</f>
        <v>8.7241782545526819E-3</v>
      </c>
      <c r="CN41" s="18" t="s">
        <v>133</v>
      </c>
      <c r="CO41" s="21" t="str">
        <f>'Standard Vorgaben'!$B$131</f>
        <v>Anbaugebläsepritze 500 l</v>
      </c>
      <c r="CP41" s="588">
        <f>'Standard Vorgaben'!$D$118</f>
        <v>16</v>
      </c>
      <c r="CQ41" s="48">
        <f>'Standard Vorgaben'!$C$131</f>
        <v>1</v>
      </c>
      <c r="CR41" s="63">
        <f>'Standard Vorgaben'!$D$131</f>
        <v>37</v>
      </c>
      <c r="CS41" s="45">
        <f>CP41*CQ41*CR41</f>
        <v>592</v>
      </c>
      <c r="CT41" s="44">
        <f t="shared" ref="CT41:CT52" si="44">CS41/$CS$69</f>
        <v>8.7897797114115175E-3</v>
      </c>
      <c r="CU41" s="18" t="s">
        <v>133</v>
      </c>
      <c r="CV41" s="21" t="str">
        <f>'Standard Vorgaben'!$B$131</f>
        <v>Anbaugebläsepritze 500 l</v>
      </c>
      <c r="CW41" s="588">
        <f>'Standard Vorgaben'!$D$118</f>
        <v>16</v>
      </c>
      <c r="CX41" s="48">
        <f>'Standard Vorgaben'!$C$131</f>
        <v>1</v>
      </c>
      <c r="CY41" s="63">
        <f>'Standard Vorgaben'!$D$131</f>
        <v>37</v>
      </c>
      <c r="CZ41" s="45">
        <f>CW41*CX41*CY41</f>
        <v>592</v>
      </c>
      <c r="DA41" s="44">
        <f t="shared" ref="DA41:DA52" si="45">CZ41/$CZ$69</f>
        <v>9.2408838112894871E-3</v>
      </c>
      <c r="DB41" s="18" t="s">
        <v>133</v>
      </c>
      <c r="DC41" s="21" t="str">
        <f>'Standard Vorgaben'!$B$131</f>
        <v>Anbaugebläsepritze 500 l</v>
      </c>
      <c r="DD41" s="588">
        <f>'Standard Vorgaben'!$D$118</f>
        <v>16</v>
      </c>
      <c r="DE41" s="48">
        <f>'Standard Vorgaben'!$C$131</f>
        <v>1</v>
      </c>
      <c r="DF41" s="63">
        <f>'Standard Vorgaben'!$D$131</f>
        <v>37</v>
      </c>
      <c r="DG41" s="45">
        <f>DD41*DE41*DF41</f>
        <v>592</v>
      </c>
      <c r="DH41" s="44">
        <f t="shared" ref="DH41:DH52" si="46">DG41/$DG$69</f>
        <v>8.8622570315886242E-3</v>
      </c>
    </row>
    <row r="42" spans="1:112" x14ac:dyDescent="0.3">
      <c r="B42" s="21" t="str">
        <f>'Standard Vorgaben'!$B$132</f>
        <v>Anbaufeldspritze, 12 m Balken, 600 l Fass</v>
      </c>
      <c r="C42" s="588">
        <f>'Standard Vorgaben'!$B$119</f>
        <v>2</v>
      </c>
      <c r="D42" s="48">
        <f>'Standard Vorgaben'!$C$132</f>
        <v>1</v>
      </c>
      <c r="E42" s="63">
        <f>'Standard Vorgaben'!$D$132</f>
        <v>69</v>
      </c>
      <c r="F42" s="45">
        <f>C42*D42*E42</f>
        <v>138</v>
      </c>
      <c r="G42" s="44">
        <f t="shared" si="31"/>
        <v>1.2339082880837949E-2</v>
      </c>
      <c r="H42" s="18"/>
      <c r="I42" s="4" t="str">
        <f>'Standard Vorgaben'!$B$132</f>
        <v>Anbaufeldspritze, 12 m Balken, 600 l Fass</v>
      </c>
      <c r="J42" s="588">
        <f>'Standard Vorgaben'!$C$119</f>
        <v>2</v>
      </c>
      <c r="K42" s="48">
        <f>'Standard Vorgaben'!$C$132</f>
        <v>1</v>
      </c>
      <c r="L42" s="63">
        <f>'Standard Vorgaben'!$D$132</f>
        <v>69</v>
      </c>
      <c r="M42" s="45">
        <f>J42*K42*L42</f>
        <v>138</v>
      </c>
      <c r="N42" s="44">
        <f t="shared" si="32"/>
        <v>1.2043911864041055E-2</v>
      </c>
      <c r="O42" s="3"/>
      <c r="P42" s="4" t="str">
        <f>'Standard Vorgaben'!$B$132</f>
        <v>Anbaufeldspritze, 12 m Balken, 600 l Fass</v>
      </c>
      <c r="Q42" s="588">
        <f>'Standard Vorgaben'!$D$119</f>
        <v>3</v>
      </c>
      <c r="R42" s="48">
        <f>'Standard Vorgaben'!$C$132</f>
        <v>1</v>
      </c>
      <c r="S42" s="63">
        <f>'Standard Vorgaben'!$D$132</f>
        <v>69</v>
      </c>
      <c r="T42" s="45">
        <f>Q42*R42*S42</f>
        <v>207</v>
      </c>
      <c r="U42" s="44">
        <f t="shared" si="33"/>
        <v>2.8846326302145674E-3</v>
      </c>
      <c r="V42" s="18"/>
      <c r="W42" s="4" t="str">
        <f>'Standard Vorgaben'!$B$132</f>
        <v>Anbaufeldspritze, 12 m Balken, 600 l Fass</v>
      </c>
      <c r="X42" s="588">
        <f>'Standard Vorgaben'!$D$119</f>
        <v>3</v>
      </c>
      <c r="Y42" s="48">
        <f>'Standard Vorgaben'!$C$132</f>
        <v>1</v>
      </c>
      <c r="Z42" s="63">
        <f>'Standard Vorgaben'!$D$132</f>
        <v>69</v>
      </c>
      <c r="AA42" s="45">
        <f>X42*Y42*Z42</f>
        <v>207</v>
      </c>
      <c r="AB42" s="44">
        <f t="shared" si="34"/>
        <v>5.9768928912384339E-3</v>
      </c>
      <c r="AC42" s="18"/>
      <c r="AD42" s="4" t="str">
        <f>'Standard Vorgaben'!$B$132</f>
        <v>Anbaufeldspritze, 12 m Balken, 600 l Fass</v>
      </c>
      <c r="AE42" s="588">
        <f>'Standard Vorgaben'!$D$119</f>
        <v>3</v>
      </c>
      <c r="AF42" s="48">
        <f>'Standard Vorgaben'!$C$132</f>
        <v>1</v>
      </c>
      <c r="AG42" s="63">
        <f>'Standard Vorgaben'!$D$132</f>
        <v>69</v>
      </c>
      <c r="AH42" s="45">
        <f>AE42*AF42*AG42</f>
        <v>207</v>
      </c>
      <c r="AI42" s="44">
        <f t="shared" si="35"/>
        <v>3.7582335546213993E-3</v>
      </c>
      <c r="AJ42" s="18"/>
      <c r="AK42" s="21" t="str">
        <f>'Standard Vorgaben'!$B$132</f>
        <v>Anbaufeldspritze, 12 m Balken, 600 l Fass</v>
      </c>
      <c r="AL42" s="588">
        <f>'Standard Vorgaben'!$D$119</f>
        <v>3</v>
      </c>
      <c r="AM42" s="48">
        <f>'Standard Vorgaben'!$C$132</f>
        <v>1</v>
      </c>
      <c r="AN42" s="63">
        <f>'Standard Vorgaben'!$D$132</f>
        <v>69</v>
      </c>
      <c r="AO42" s="45">
        <f>AL42*AM42*AN42</f>
        <v>207</v>
      </c>
      <c r="AP42" s="44">
        <f t="shared" si="36"/>
        <v>3.2650067394697372E-3</v>
      </c>
      <c r="AQ42" s="18"/>
      <c r="AR42" s="4" t="str">
        <f>'Standard Vorgaben'!$B$132</f>
        <v>Anbaufeldspritze, 12 m Balken, 600 l Fass</v>
      </c>
      <c r="AS42" s="588">
        <f>'Standard Vorgaben'!$D$119</f>
        <v>3</v>
      </c>
      <c r="AT42" s="48">
        <f>'Standard Vorgaben'!$C$132</f>
        <v>1</v>
      </c>
      <c r="AU42" s="63">
        <f>'Standard Vorgaben'!$D$132</f>
        <v>69</v>
      </c>
      <c r="AV42" s="45">
        <f>AS42*AT42*AU42</f>
        <v>207</v>
      </c>
      <c r="AW42" s="44">
        <f t="shared" si="37"/>
        <v>2.8986520266840806E-3</v>
      </c>
      <c r="AX42" s="18"/>
      <c r="AY42" s="21" t="str">
        <f>'Standard Vorgaben'!$B$132</f>
        <v>Anbaufeldspritze, 12 m Balken, 600 l Fass</v>
      </c>
      <c r="AZ42" s="588">
        <f>'Standard Vorgaben'!$D$119</f>
        <v>3</v>
      </c>
      <c r="BA42" s="48">
        <f>'Standard Vorgaben'!$C$132</f>
        <v>1</v>
      </c>
      <c r="BB42" s="63">
        <f>'Standard Vorgaben'!$D$132</f>
        <v>69</v>
      </c>
      <c r="BC42" s="45">
        <f>AZ42*BA42*BB42</f>
        <v>207</v>
      </c>
      <c r="BD42" s="44">
        <f t="shared" si="38"/>
        <v>2.9227112324579801E-3</v>
      </c>
      <c r="BE42" s="18"/>
      <c r="BF42" s="21" t="str">
        <f>'Standard Vorgaben'!$B$132</f>
        <v>Anbaufeldspritze, 12 m Balken, 600 l Fass</v>
      </c>
      <c r="BG42" s="588">
        <f>'Standard Vorgaben'!$D$119</f>
        <v>3</v>
      </c>
      <c r="BH42" s="48">
        <f>'Standard Vorgaben'!$C$132</f>
        <v>1</v>
      </c>
      <c r="BI42" s="63">
        <f>'Standard Vorgaben'!$D$132</f>
        <v>69</v>
      </c>
      <c r="BJ42" s="45">
        <f>BG42*BH42*BI42</f>
        <v>207</v>
      </c>
      <c r="BK42" s="44">
        <f t="shared" si="39"/>
        <v>2.9282574770390824E-3</v>
      </c>
      <c r="BL42" s="18"/>
      <c r="BM42" s="21" t="str">
        <f>'Standard Vorgaben'!$B$132</f>
        <v>Anbaufeldspritze, 12 m Balken, 600 l Fass</v>
      </c>
      <c r="BN42" s="588">
        <f>'Standard Vorgaben'!$D$119</f>
        <v>3</v>
      </c>
      <c r="BO42" s="48">
        <f>'Standard Vorgaben'!$C$132</f>
        <v>1</v>
      </c>
      <c r="BP42" s="63">
        <f>'Standard Vorgaben'!$D$132</f>
        <v>69</v>
      </c>
      <c r="BQ42" s="45">
        <f>BN42*BO42*BP42</f>
        <v>207</v>
      </c>
      <c r="BR42" s="44">
        <f t="shared" si="40"/>
        <v>1.7447556817764597E-3</v>
      </c>
      <c r="BS42" s="18"/>
      <c r="BT42" s="4" t="str">
        <f>'Standard Vorgaben'!$B$132</f>
        <v>Anbaufeldspritze, 12 m Balken, 600 l Fass</v>
      </c>
      <c r="BU42" s="588">
        <f>'Standard Vorgaben'!$D$119</f>
        <v>3</v>
      </c>
      <c r="BV42" s="48">
        <f>'Standard Vorgaben'!$C$132</f>
        <v>1</v>
      </c>
      <c r="BW42" s="63">
        <f>'Standard Vorgaben'!$D$132</f>
        <v>69</v>
      </c>
      <c r="BX42" s="45">
        <f>BU42*BV42*BW42</f>
        <v>207</v>
      </c>
      <c r="BY42" s="44">
        <f t="shared" si="41"/>
        <v>3.0587570024923367E-3</v>
      </c>
      <c r="BZ42" s="18"/>
      <c r="CA42" s="21" t="str">
        <f>'Standard Vorgaben'!$B$132</f>
        <v>Anbaufeldspritze, 12 m Balken, 600 l Fass</v>
      </c>
      <c r="CB42" s="588">
        <f>'Standard Vorgaben'!$D$119</f>
        <v>3</v>
      </c>
      <c r="CC42" s="48">
        <f>'Standard Vorgaben'!$C$132</f>
        <v>1</v>
      </c>
      <c r="CD42" s="63">
        <f>'Standard Vorgaben'!$D$132</f>
        <v>69</v>
      </c>
      <c r="CE42" s="45">
        <f>CB42*CC42*CD42</f>
        <v>207</v>
      </c>
      <c r="CF42" s="44">
        <f t="shared" si="42"/>
        <v>3.06365032188493E-3</v>
      </c>
      <c r="CG42" s="18"/>
      <c r="CH42" s="4" t="str">
        <f>'Standard Vorgaben'!$B$132</f>
        <v>Anbaufeldspritze, 12 m Balken, 600 l Fass</v>
      </c>
      <c r="CI42" s="588">
        <f>'Standard Vorgaben'!$D$119</f>
        <v>3</v>
      </c>
      <c r="CJ42" s="48">
        <f>'Standard Vorgaben'!$C$132</f>
        <v>1</v>
      </c>
      <c r="CK42" s="63">
        <f>'Standard Vorgaben'!$D$132</f>
        <v>69</v>
      </c>
      <c r="CL42" s="45">
        <f>CI42*CJ42*CK42</f>
        <v>207</v>
      </c>
      <c r="CM42" s="44">
        <f t="shared" si="43"/>
        <v>3.0505150315750084E-3</v>
      </c>
      <c r="CN42" s="18"/>
      <c r="CO42" s="21" t="str">
        <f>'Standard Vorgaben'!$B$132</f>
        <v>Anbaufeldspritze, 12 m Balken, 600 l Fass</v>
      </c>
      <c r="CP42" s="588">
        <f>'Standard Vorgaben'!$D$119</f>
        <v>3</v>
      </c>
      <c r="CQ42" s="48">
        <f>'Standard Vorgaben'!$C$132</f>
        <v>1</v>
      </c>
      <c r="CR42" s="63">
        <f>'Standard Vorgaben'!$D$132</f>
        <v>69</v>
      </c>
      <c r="CS42" s="45">
        <f>CP42*CQ42*CR42</f>
        <v>207</v>
      </c>
      <c r="CT42" s="44">
        <f t="shared" si="44"/>
        <v>3.0734533788212568E-3</v>
      </c>
      <c r="CU42" s="18"/>
      <c r="CV42" s="21" t="str">
        <f>'Standard Vorgaben'!$B$132</f>
        <v>Anbaufeldspritze, 12 m Balken, 600 l Fass</v>
      </c>
      <c r="CW42" s="588">
        <f>'Standard Vorgaben'!$D$119</f>
        <v>3</v>
      </c>
      <c r="CX42" s="48">
        <f>'Standard Vorgaben'!$C$132</f>
        <v>1</v>
      </c>
      <c r="CY42" s="63">
        <f>'Standard Vorgaben'!$D$132</f>
        <v>69</v>
      </c>
      <c r="CZ42" s="45">
        <f>CW42*CX42*CY42</f>
        <v>207</v>
      </c>
      <c r="DA42" s="44">
        <f t="shared" si="45"/>
        <v>3.2311874137448036E-3</v>
      </c>
      <c r="DB42" s="18"/>
      <c r="DC42" s="21" t="str">
        <f>'Standard Vorgaben'!$B$132</f>
        <v>Anbaufeldspritze, 12 m Balken, 600 l Fass</v>
      </c>
      <c r="DD42" s="588">
        <f>'Standard Vorgaben'!$D$119</f>
        <v>3</v>
      </c>
      <c r="DE42" s="48">
        <f>'Standard Vorgaben'!$C$132</f>
        <v>1</v>
      </c>
      <c r="DF42" s="63">
        <f>'Standard Vorgaben'!$D$132</f>
        <v>69</v>
      </c>
      <c r="DG42" s="45">
        <f>DD42*DE42*DF42</f>
        <v>207</v>
      </c>
      <c r="DH42" s="44">
        <f t="shared" si="46"/>
        <v>3.0987959553021032E-3</v>
      </c>
    </row>
    <row r="43" spans="1:112" x14ac:dyDescent="0.3">
      <c r="B43" s="21" t="str">
        <f>'Standard Vorgaben'!$B$133</f>
        <v>Düngerstreuer Einkasten 2.5 m</v>
      </c>
      <c r="C43" s="374">
        <f>C19</f>
        <v>0</v>
      </c>
      <c r="D43" s="48">
        <f>'Standard Vorgaben'!$C$133</f>
        <v>1</v>
      </c>
      <c r="E43" s="63">
        <f>'Standard Vorgaben'!$D$133</f>
        <v>18</v>
      </c>
      <c r="F43" s="45">
        <f>C43*D43*E43</f>
        <v>0</v>
      </c>
      <c r="G43" s="44">
        <f t="shared" si="31"/>
        <v>0</v>
      </c>
      <c r="H43" s="18"/>
      <c r="I43" s="4" t="str">
        <f>'Standard Vorgaben'!$B$133</f>
        <v>Düngerstreuer Einkasten 2.5 m</v>
      </c>
      <c r="J43" s="374">
        <f>J19</f>
        <v>1</v>
      </c>
      <c r="K43" s="48">
        <f>'Standard Vorgaben'!$C$133</f>
        <v>1</v>
      </c>
      <c r="L43" s="63">
        <f>'Standard Vorgaben'!$D$133</f>
        <v>18</v>
      </c>
      <c r="M43" s="45">
        <f>J43*K43*L43</f>
        <v>18</v>
      </c>
      <c r="N43" s="44">
        <f t="shared" si="32"/>
        <v>1.5709450257444853E-3</v>
      </c>
      <c r="O43" s="3"/>
      <c r="P43" s="4" t="str">
        <f>'Standard Vorgaben'!$B$133</f>
        <v>Düngerstreuer Einkasten 2.5 m</v>
      </c>
      <c r="Q43" s="374">
        <f>Q19</f>
        <v>2</v>
      </c>
      <c r="R43" s="48">
        <f>'Standard Vorgaben'!$C$133</f>
        <v>1</v>
      </c>
      <c r="S43" s="63">
        <f>'Standard Vorgaben'!$D$133</f>
        <v>18</v>
      </c>
      <c r="T43" s="45">
        <f>Q43*R43*S43</f>
        <v>36</v>
      </c>
      <c r="U43" s="44">
        <f t="shared" si="33"/>
        <v>5.0167524003731612E-4</v>
      </c>
      <c r="V43" s="18"/>
      <c r="W43" s="4" t="str">
        <f>'Standard Vorgaben'!$B$133</f>
        <v>Düngerstreuer Einkasten 2.5 m</v>
      </c>
      <c r="X43" s="374">
        <f>X19</f>
        <v>3</v>
      </c>
      <c r="Y43" s="48">
        <f>'Standard Vorgaben'!$C$133</f>
        <v>1</v>
      </c>
      <c r="Z43" s="63">
        <f>'Standard Vorgaben'!$D$133</f>
        <v>18</v>
      </c>
      <c r="AA43" s="45">
        <f>X43*Y43*Z43</f>
        <v>54</v>
      </c>
      <c r="AB43" s="44">
        <f t="shared" si="34"/>
        <v>1.5591894498882871E-3</v>
      </c>
      <c r="AC43" s="18"/>
      <c r="AD43" s="4" t="str">
        <f>'Standard Vorgaben'!$B$133</f>
        <v>Düngerstreuer Einkasten 2.5 m</v>
      </c>
      <c r="AE43" s="374">
        <f>AE19</f>
        <v>2</v>
      </c>
      <c r="AF43" s="48">
        <f>'Standard Vorgaben'!$C$133</f>
        <v>1</v>
      </c>
      <c r="AG43" s="63">
        <f>'Standard Vorgaben'!$D$133</f>
        <v>18</v>
      </c>
      <c r="AH43" s="45">
        <f>AE43*AF43*AG43</f>
        <v>36</v>
      </c>
      <c r="AI43" s="44">
        <f t="shared" si="35"/>
        <v>6.536058355863303E-4</v>
      </c>
      <c r="AJ43" s="18"/>
      <c r="AK43" s="21" t="str">
        <f>'Standard Vorgaben'!$B$133</f>
        <v>Düngerstreuer Einkasten 2.5 m</v>
      </c>
      <c r="AL43" s="374">
        <f>AL19</f>
        <v>2</v>
      </c>
      <c r="AM43" s="48">
        <f>'Standard Vorgaben'!$C$133</f>
        <v>1</v>
      </c>
      <c r="AN43" s="63">
        <f>'Standard Vorgaben'!$D$133</f>
        <v>18</v>
      </c>
      <c r="AO43" s="45">
        <f>AL43*AM43*AN43</f>
        <v>36</v>
      </c>
      <c r="AP43" s="44">
        <f t="shared" si="36"/>
        <v>5.6782725903821516E-4</v>
      </c>
      <c r="AQ43" s="18"/>
      <c r="AR43" s="4" t="str">
        <f>'Standard Vorgaben'!$B$133</f>
        <v>Düngerstreuer Einkasten 2.5 m</v>
      </c>
      <c r="AS43" s="374">
        <f>AS19</f>
        <v>3</v>
      </c>
      <c r="AT43" s="48">
        <f>'Standard Vorgaben'!$C$133</f>
        <v>1</v>
      </c>
      <c r="AU43" s="63">
        <f>'Standard Vorgaben'!$D$133</f>
        <v>18</v>
      </c>
      <c r="AV43" s="45">
        <f>AS43*AT43*AU43</f>
        <v>54</v>
      </c>
      <c r="AW43" s="44">
        <f t="shared" si="37"/>
        <v>7.5617009391758618E-4</v>
      </c>
      <c r="AX43" s="18"/>
      <c r="AY43" s="21" t="str">
        <f>'Standard Vorgaben'!$B$133</f>
        <v>Düngerstreuer Einkasten 2.5 m</v>
      </c>
      <c r="AZ43" s="374">
        <f>AZ19</f>
        <v>2</v>
      </c>
      <c r="BA43" s="48">
        <f>'Standard Vorgaben'!$C$133</f>
        <v>1</v>
      </c>
      <c r="BB43" s="63">
        <f>'Standard Vorgaben'!$D$133</f>
        <v>18</v>
      </c>
      <c r="BC43" s="45">
        <f>AZ43*BA43*BB43</f>
        <v>36</v>
      </c>
      <c r="BD43" s="44">
        <f t="shared" si="38"/>
        <v>5.0829760564486608E-4</v>
      </c>
      <c r="BE43" s="18"/>
      <c r="BF43" s="21" t="str">
        <f>'Standard Vorgaben'!$B$133</f>
        <v>Düngerstreuer Einkasten 2.5 m</v>
      </c>
      <c r="BG43" s="374">
        <f>BG19</f>
        <v>2</v>
      </c>
      <c r="BH43" s="48">
        <f>'Standard Vorgaben'!$C$133</f>
        <v>1</v>
      </c>
      <c r="BI43" s="63">
        <f>'Standard Vorgaben'!$D$133</f>
        <v>18</v>
      </c>
      <c r="BJ43" s="45">
        <f>BG43*BH43*BI43</f>
        <v>36</v>
      </c>
      <c r="BK43" s="44">
        <f t="shared" si="39"/>
        <v>5.0926216991984048E-4</v>
      </c>
      <c r="BL43" s="18"/>
      <c r="BM43" s="21" t="str">
        <f>'Standard Vorgaben'!$B$133</f>
        <v>Düngerstreuer Einkasten 2.5 m</v>
      </c>
      <c r="BN43" s="374">
        <f>BN19</f>
        <v>2</v>
      </c>
      <c r="BO43" s="48">
        <f>'Standard Vorgaben'!$C$133</f>
        <v>1</v>
      </c>
      <c r="BP43" s="63">
        <f>'Standard Vorgaben'!$D$133</f>
        <v>18</v>
      </c>
      <c r="BQ43" s="45">
        <f>BN43*BO43*BP43</f>
        <v>36</v>
      </c>
      <c r="BR43" s="44">
        <f t="shared" si="40"/>
        <v>3.0343577074373209E-4</v>
      </c>
      <c r="BS43" s="18"/>
      <c r="BT43" s="4" t="str">
        <f>'Standard Vorgaben'!$B$133</f>
        <v>Düngerstreuer Einkasten 2.5 m</v>
      </c>
      <c r="BU43" s="374">
        <f>BU19</f>
        <v>2</v>
      </c>
      <c r="BV43" s="48">
        <f>'Standard Vorgaben'!$C$133</f>
        <v>1</v>
      </c>
      <c r="BW43" s="63">
        <f>'Standard Vorgaben'!$D$133</f>
        <v>18</v>
      </c>
      <c r="BX43" s="45">
        <f>BU43*BV43*BW43</f>
        <v>36</v>
      </c>
      <c r="BY43" s="44">
        <f t="shared" si="41"/>
        <v>5.3195773956388464E-4</v>
      </c>
      <c r="BZ43" s="18"/>
      <c r="CA43" s="21" t="str">
        <f>'Standard Vorgaben'!$B$133</f>
        <v>Düngerstreuer Einkasten 2.5 m</v>
      </c>
      <c r="CB43" s="374">
        <f>CB19</f>
        <v>2</v>
      </c>
      <c r="CC43" s="48">
        <f>'Standard Vorgaben'!$C$133</f>
        <v>1</v>
      </c>
      <c r="CD43" s="63">
        <f>'Standard Vorgaben'!$D$133</f>
        <v>18</v>
      </c>
      <c r="CE43" s="45">
        <f>CB43*CC43*CD43</f>
        <v>36</v>
      </c>
      <c r="CF43" s="44">
        <f t="shared" si="42"/>
        <v>5.3280875163216174E-4</v>
      </c>
      <c r="CG43" s="18"/>
      <c r="CH43" s="4" t="str">
        <f>'Standard Vorgaben'!$B$133</f>
        <v>Düngerstreuer Einkasten 2.5 m</v>
      </c>
      <c r="CI43" s="374">
        <f>CI19</f>
        <v>2</v>
      </c>
      <c r="CJ43" s="48">
        <f>'Standard Vorgaben'!$C$133</f>
        <v>1</v>
      </c>
      <c r="CK43" s="63">
        <f>'Standard Vorgaben'!$D$133</f>
        <v>18</v>
      </c>
      <c r="CL43" s="45">
        <f>CI43*CJ43*CK43</f>
        <v>36</v>
      </c>
      <c r="CM43" s="44">
        <f t="shared" si="43"/>
        <v>5.305243533173928E-4</v>
      </c>
      <c r="CN43" s="18"/>
      <c r="CO43" s="21" t="str">
        <f>'Standard Vorgaben'!$B$133</f>
        <v>Düngerstreuer Einkasten 2.5 m</v>
      </c>
      <c r="CP43" s="374">
        <f>CP19</f>
        <v>2</v>
      </c>
      <c r="CQ43" s="48">
        <f>'Standard Vorgaben'!$C$133</f>
        <v>1</v>
      </c>
      <c r="CR43" s="63">
        <f>'Standard Vorgaben'!$D$133</f>
        <v>18</v>
      </c>
      <c r="CS43" s="45">
        <f>CP43*CQ43*CR43</f>
        <v>36</v>
      </c>
      <c r="CT43" s="44">
        <f t="shared" si="44"/>
        <v>5.3451363109934902E-4</v>
      </c>
      <c r="CU43" s="18"/>
      <c r="CV43" s="21" t="str">
        <f>'Standard Vorgaben'!$B$133</f>
        <v>Düngerstreuer Einkasten 2.5 m</v>
      </c>
      <c r="CW43" s="374">
        <f>CW19</f>
        <v>2</v>
      </c>
      <c r="CX43" s="48">
        <f>'Standard Vorgaben'!$C$133</f>
        <v>1</v>
      </c>
      <c r="CY43" s="63">
        <f>'Standard Vorgaben'!$D$133</f>
        <v>18</v>
      </c>
      <c r="CZ43" s="45">
        <f>CW43*CX43*CY43</f>
        <v>36</v>
      </c>
      <c r="DA43" s="44">
        <f t="shared" si="45"/>
        <v>5.6194563717300934E-4</v>
      </c>
      <c r="DB43" s="18"/>
      <c r="DC43" s="21" t="str">
        <f>'Standard Vorgaben'!$B$133</f>
        <v>Düngerstreuer Einkasten 2.5 m</v>
      </c>
      <c r="DD43" s="374">
        <f>DD19</f>
        <v>2</v>
      </c>
      <c r="DE43" s="48">
        <f>'Standard Vorgaben'!$C$133</f>
        <v>1</v>
      </c>
      <c r="DF43" s="63">
        <f>'Standard Vorgaben'!$D$133</f>
        <v>18</v>
      </c>
      <c r="DG43" s="45">
        <f>DD43*DE43*DF43</f>
        <v>36</v>
      </c>
      <c r="DH43" s="44">
        <f t="shared" si="46"/>
        <v>5.3892103570471364E-4</v>
      </c>
    </row>
    <row r="44" spans="1:112" ht="12.5" x14ac:dyDescent="0.25">
      <c r="A44" s="87"/>
      <c r="B44" s="21" t="str">
        <f>'Standard Vorgaben'!$B$134</f>
        <v>Pneuwagen 2achsig, 3t (Ernte)</v>
      </c>
      <c r="C44" s="427">
        <f>'Standard Vorgaben'!$C$134</f>
        <v>0.1</v>
      </c>
      <c r="D44" s="48">
        <f>C44*C45</f>
        <v>0</v>
      </c>
      <c r="E44" s="63">
        <f>'Standard Vorgaben'!$D$134</f>
        <v>25</v>
      </c>
      <c r="F44" s="45">
        <f>D44*E44</f>
        <v>0</v>
      </c>
      <c r="G44" s="44">
        <f t="shared" si="31"/>
        <v>0</v>
      </c>
      <c r="H44" s="87"/>
      <c r="I44" s="4" t="str">
        <f>'Standard Vorgaben'!$B$134</f>
        <v>Pneuwagen 2achsig, 3t (Ernte)</v>
      </c>
      <c r="J44" s="427">
        <f>'Standard Vorgaben'!$C$134</f>
        <v>0.1</v>
      </c>
      <c r="K44" s="48">
        <f>J44*J45</f>
        <v>0</v>
      </c>
      <c r="L44" s="63">
        <f>'Standard Vorgaben'!$D$134</f>
        <v>25</v>
      </c>
      <c r="M44" s="45">
        <f>K44*L44</f>
        <v>0</v>
      </c>
      <c r="N44" s="44">
        <f t="shared" si="32"/>
        <v>0</v>
      </c>
      <c r="O44" s="100"/>
      <c r="P44" s="4" t="str">
        <f>'Standard Vorgaben'!$B$134</f>
        <v>Pneuwagen 2achsig, 3t (Ernte)</v>
      </c>
      <c r="Q44" s="427">
        <f>'Standard Vorgaben'!$C$134</f>
        <v>0.1</v>
      </c>
      <c r="R44" s="48">
        <f>Q44*Q45</f>
        <v>8.5763293310463116</v>
      </c>
      <c r="S44" s="63">
        <f>'Standard Vorgaben'!$D$134</f>
        <v>25</v>
      </c>
      <c r="T44" s="45">
        <f>R44*S44</f>
        <v>214.4082332761578</v>
      </c>
      <c r="U44" s="44">
        <f t="shared" si="33"/>
        <v>2.9878694970775924E-3</v>
      </c>
      <c r="V44" s="87"/>
      <c r="W44" s="4" t="str">
        <f>'Standard Vorgaben'!$B$134</f>
        <v>Pneuwagen 2achsig, 3t (Ernte)</v>
      </c>
      <c r="X44" s="427">
        <f>'Standard Vorgaben'!$C$134</f>
        <v>0.1</v>
      </c>
      <c r="Y44" s="48">
        <f>X44*X45</f>
        <v>34.305317324185246</v>
      </c>
      <c r="Z44" s="63">
        <f>'Standard Vorgaben'!$D$134</f>
        <v>25</v>
      </c>
      <c r="AA44" s="45">
        <f>Y44*Z44</f>
        <v>857.63293310463121</v>
      </c>
      <c r="AB44" s="44">
        <f t="shared" si="34"/>
        <v>2.4763189280990517E-2</v>
      </c>
      <c r="AC44" s="87"/>
      <c r="AD44" s="4" t="str">
        <f>'Standard Vorgaben'!$B$134</f>
        <v>Pneuwagen 2achsig, 3t (Ernte)</v>
      </c>
      <c r="AE44" s="427">
        <f>'Standard Vorgaben'!$C$134</f>
        <v>0.1</v>
      </c>
      <c r="AF44" s="48">
        <f>AE44*AE45</f>
        <v>77.015437392795874</v>
      </c>
      <c r="AG44" s="63">
        <f>'Standard Vorgaben'!$D$134</f>
        <v>25</v>
      </c>
      <c r="AH44" s="45">
        <f>AF44*AG44</f>
        <v>1925.3859348198969</v>
      </c>
      <c r="AI44" s="44">
        <f t="shared" si="35"/>
        <v>3.4956763409836847E-2</v>
      </c>
      <c r="AJ44" s="87"/>
      <c r="AK44" s="21" t="str">
        <f>'Standard Vorgaben'!$B$134</f>
        <v>Pneuwagen 2achsig, 3t (Ernte)</v>
      </c>
      <c r="AL44" s="427">
        <f>'Standard Vorgaben'!$C$134</f>
        <v>0.1</v>
      </c>
      <c r="AM44" s="48">
        <f>AL44*AL45</f>
        <v>99.485420240137216</v>
      </c>
      <c r="AN44" s="63">
        <f>'Standard Vorgaben'!$D$134</f>
        <v>25</v>
      </c>
      <c r="AO44" s="45">
        <f>AM44*AN44</f>
        <v>2487.1355060034302</v>
      </c>
      <c r="AP44" s="44">
        <f t="shared" si="36"/>
        <v>3.9229537145293113E-2</v>
      </c>
      <c r="AQ44" s="87"/>
      <c r="AR44" s="4" t="str">
        <f>'Standard Vorgaben'!$B$134</f>
        <v>Pneuwagen 2achsig, 3t (Ernte)</v>
      </c>
      <c r="AS44" s="427">
        <f>'Standard Vorgaben'!$C$134</f>
        <v>0.1</v>
      </c>
      <c r="AT44" s="48">
        <f>AS44*AS45</f>
        <v>120.06861063464835</v>
      </c>
      <c r="AU44" s="63">
        <f>'Standard Vorgaben'!$D$134</f>
        <v>25</v>
      </c>
      <c r="AV44" s="45">
        <f>AT44*AU44</f>
        <v>3001.7152658662089</v>
      </c>
      <c r="AW44" s="44">
        <f t="shared" si="37"/>
        <v>4.2033468787109327E-2</v>
      </c>
      <c r="AX44" s="87"/>
      <c r="AY44" s="21" t="str">
        <f>'Standard Vorgaben'!$B$134</f>
        <v>Pneuwagen 2achsig, 3t (Ernte)</v>
      </c>
      <c r="AZ44" s="427">
        <f>'Standard Vorgaben'!$C$134</f>
        <v>0.1</v>
      </c>
      <c r="BA44" s="48">
        <f>AZ44*AZ45</f>
        <v>120.06861063464835</v>
      </c>
      <c r="BB44" s="63">
        <f>'Standard Vorgaben'!$D$134</f>
        <v>25</v>
      </c>
      <c r="BC44" s="45">
        <f>BA44*BB44</f>
        <v>3001.7152658662089</v>
      </c>
      <c r="BD44" s="44">
        <f t="shared" si="38"/>
        <v>4.2382352290762128E-2</v>
      </c>
      <c r="BE44" s="87"/>
      <c r="BF44" s="21" t="str">
        <f>'Standard Vorgaben'!$B$134</f>
        <v>Pneuwagen 2achsig, 3t (Ernte)</v>
      </c>
      <c r="BG44" s="427">
        <f>'Standard Vorgaben'!$C$134</f>
        <v>0.1</v>
      </c>
      <c r="BH44" s="48">
        <f>BG44*BG45</f>
        <v>120.06861063464835</v>
      </c>
      <c r="BI44" s="63">
        <f>'Standard Vorgaben'!$D$134</f>
        <v>25</v>
      </c>
      <c r="BJ44" s="45">
        <f>BH44*BI44</f>
        <v>3001.7152658662089</v>
      </c>
      <c r="BK44" s="44">
        <f t="shared" si="39"/>
        <v>4.2462778604903786E-2</v>
      </c>
      <c r="BL44" s="87"/>
      <c r="BM44" s="21" t="str">
        <f>'Standard Vorgaben'!$B$134</f>
        <v>Pneuwagen 2achsig, 3t (Ernte)</v>
      </c>
      <c r="BN44" s="427">
        <f>'Standard Vorgaben'!$C$134</f>
        <v>0.1</v>
      </c>
      <c r="BO44" s="48">
        <f>BN44*BN45</f>
        <v>120.06861063464835</v>
      </c>
      <c r="BP44" s="63">
        <f>'Standard Vorgaben'!$D$134</f>
        <v>25</v>
      </c>
      <c r="BQ44" s="45">
        <f>BO44*BP44</f>
        <v>3001.7152658662089</v>
      </c>
      <c r="BR44" s="44">
        <f t="shared" si="40"/>
        <v>2.5300771812537218E-2</v>
      </c>
      <c r="BS44" s="87"/>
      <c r="BT44" s="4" t="str">
        <f>'Standard Vorgaben'!$B$134</f>
        <v>Pneuwagen 2achsig, 3t (Ernte)</v>
      </c>
      <c r="BU44" s="427">
        <f>'Standard Vorgaben'!$C$134</f>
        <v>0.1</v>
      </c>
      <c r="BV44" s="48">
        <f>BU44*BU45</f>
        <v>111.49228130360206</v>
      </c>
      <c r="BW44" s="63">
        <f>'Standard Vorgaben'!$D$134</f>
        <v>25</v>
      </c>
      <c r="BX44" s="45">
        <f>BV44*BW44</f>
        <v>2787.3070325900512</v>
      </c>
      <c r="BY44" s="44">
        <f t="shared" si="41"/>
        <v>4.1186931903531183E-2</v>
      </c>
      <c r="BZ44" s="87"/>
      <c r="CA44" s="21" t="str">
        <f>'Standard Vorgaben'!$B$134</f>
        <v>Pneuwagen 2achsig, 3t (Ernte)</v>
      </c>
      <c r="CB44" s="427">
        <f>'Standard Vorgaben'!$C$134</f>
        <v>0.1</v>
      </c>
      <c r="CC44" s="48">
        <f>CB44*CB45</f>
        <v>111.49228130360206</v>
      </c>
      <c r="CD44" s="63">
        <f>'Standard Vorgaben'!$D$134</f>
        <v>25</v>
      </c>
      <c r="CE44" s="45">
        <f>CC44*CD44</f>
        <v>2787.3070325900512</v>
      </c>
      <c r="CF44" s="44">
        <f t="shared" si="42"/>
        <v>4.1252821679162513E-2</v>
      </c>
      <c r="CG44" s="87"/>
      <c r="CH44" s="4" t="str">
        <f>'Standard Vorgaben'!$B$134</f>
        <v>Pneuwagen 2achsig, 3t (Ernte)</v>
      </c>
      <c r="CI44" s="427">
        <f>'Standard Vorgaben'!$C$134</f>
        <v>0.1</v>
      </c>
      <c r="CJ44" s="48">
        <f>CI44*CI45</f>
        <v>111.49228130360206</v>
      </c>
      <c r="CK44" s="63">
        <f>'Standard Vorgaben'!$D$134</f>
        <v>25</v>
      </c>
      <c r="CL44" s="45">
        <f>CJ44*CK44</f>
        <v>2787.3070325900512</v>
      </c>
      <c r="CM44" s="44">
        <f t="shared" si="43"/>
        <v>4.1075951693384946E-2</v>
      </c>
      <c r="CN44" s="87"/>
      <c r="CO44" s="21" t="str">
        <f>'Standard Vorgaben'!$B$134</f>
        <v>Pneuwagen 2achsig, 3t (Ernte)</v>
      </c>
      <c r="CP44" s="427">
        <f>'Standard Vorgaben'!$C$134</f>
        <v>0.1</v>
      </c>
      <c r="CQ44" s="48">
        <f>CP44*CP45</f>
        <v>111.49228130360206</v>
      </c>
      <c r="CR44" s="63">
        <f>'Standard Vorgaben'!$D$134</f>
        <v>25</v>
      </c>
      <c r="CS44" s="45">
        <f>CQ44*CR44</f>
        <v>2787.3070325900512</v>
      </c>
      <c r="CT44" s="44">
        <f t="shared" si="44"/>
        <v>4.1384822304957221E-2</v>
      </c>
      <c r="CU44" s="87"/>
      <c r="CV44" s="21" t="str">
        <f>'Standard Vorgaben'!$B$134</f>
        <v>Pneuwagen 2achsig, 3t (Ernte)</v>
      </c>
      <c r="CW44" s="427">
        <f>'Standard Vorgaben'!$C$134</f>
        <v>0.1</v>
      </c>
      <c r="CX44" s="48">
        <f>CW44*CW45</f>
        <v>102.91595197255575</v>
      </c>
      <c r="CY44" s="63">
        <f>'Standard Vorgaben'!$D$134</f>
        <v>25</v>
      </c>
      <c r="CZ44" s="45">
        <f>CX44*CY44</f>
        <v>2572.8987993138935</v>
      </c>
      <c r="DA44" s="44">
        <f t="shared" si="45"/>
        <v>4.0161923754503233E-2</v>
      </c>
      <c r="DB44" s="87"/>
      <c r="DC44" s="21" t="str">
        <f>'Standard Vorgaben'!$B$134</f>
        <v>Pneuwagen 2achsig, 3t (Ernte)</v>
      </c>
      <c r="DD44" s="427">
        <f>'Standard Vorgaben'!$C$134</f>
        <v>0.1</v>
      </c>
      <c r="DE44" s="48">
        <f>DD44*DD45</f>
        <v>94.339622641509436</v>
      </c>
      <c r="DF44" s="63">
        <f>'Standard Vorgaben'!$D$134</f>
        <v>25</v>
      </c>
      <c r="DG44" s="45">
        <f>DE44*DF44</f>
        <v>2358.4905660377358</v>
      </c>
      <c r="DH44" s="44">
        <f t="shared" si="46"/>
        <v>3.5306671626357027E-2</v>
      </c>
    </row>
    <row r="45" spans="1:112" x14ac:dyDescent="0.3">
      <c r="B45" s="241" t="s">
        <v>202</v>
      </c>
      <c r="C45" s="426">
        <f>D63</f>
        <v>0</v>
      </c>
      <c r="D45"/>
      <c r="E45" s="240"/>
      <c r="F45" s="45"/>
      <c r="G45" s="44">
        <f t="shared" si="31"/>
        <v>0</v>
      </c>
      <c r="H45" s="18"/>
      <c r="I45" s="241" t="s">
        <v>202</v>
      </c>
      <c r="J45" s="426">
        <f>K63</f>
        <v>0</v>
      </c>
      <c r="K45" s="1"/>
      <c r="L45" s="240"/>
      <c r="M45" s="45"/>
      <c r="N45" s="44">
        <f t="shared" si="32"/>
        <v>0</v>
      </c>
      <c r="O45" s="3"/>
      <c r="P45" s="241" t="s">
        <v>202</v>
      </c>
      <c r="Q45" s="426">
        <f>R63</f>
        <v>85.763293310463112</v>
      </c>
      <c r="R45" s="1"/>
      <c r="S45" s="240"/>
      <c r="T45" s="45"/>
      <c r="U45" s="44">
        <f t="shared" si="33"/>
        <v>0</v>
      </c>
      <c r="V45" s="18"/>
      <c r="W45" s="241" t="s">
        <v>202</v>
      </c>
      <c r="X45" s="426">
        <f>Y63</f>
        <v>343.05317324185245</v>
      </c>
      <c r="Y45" s="1"/>
      <c r="Z45" s="240"/>
      <c r="AA45" s="45"/>
      <c r="AB45" s="44">
        <f t="shared" si="34"/>
        <v>0</v>
      </c>
      <c r="AC45" s="18"/>
      <c r="AD45" s="241" t="s">
        <v>202</v>
      </c>
      <c r="AE45" s="426">
        <f>AF63</f>
        <v>770.15437392795866</v>
      </c>
      <c r="AF45" s="1"/>
      <c r="AG45" s="240"/>
      <c r="AH45" s="45"/>
      <c r="AI45" s="44">
        <f t="shared" si="35"/>
        <v>0</v>
      </c>
      <c r="AJ45" s="18"/>
      <c r="AK45" s="241" t="s">
        <v>202</v>
      </c>
      <c r="AL45" s="426">
        <f>AM63</f>
        <v>994.85420240137216</v>
      </c>
      <c r="AM45" s="1"/>
      <c r="AN45" s="240"/>
      <c r="AO45" s="45"/>
      <c r="AP45" s="44">
        <f t="shared" si="36"/>
        <v>0</v>
      </c>
      <c r="AQ45" s="18"/>
      <c r="AR45" s="241" t="s">
        <v>202</v>
      </c>
      <c r="AS45" s="426">
        <f>AT63</f>
        <v>1200.6861063464835</v>
      </c>
      <c r="AT45" s="1"/>
      <c r="AU45" s="240"/>
      <c r="AV45" s="45"/>
      <c r="AW45" s="44">
        <f t="shared" si="37"/>
        <v>0</v>
      </c>
      <c r="AX45" s="18"/>
      <c r="AY45" s="241" t="s">
        <v>202</v>
      </c>
      <c r="AZ45" s="426">
        <f>BA63</f>
        <v>1200.6861063464835</v>
      </c>
      <c r="BA45" s="1"/>
      <c r="BB45" s="240"/>
      <c r="BC45" s="45"/>
      <c r="BD45" s="44">
        <f t="shared" si="38"/>
        <v>0</v>
      </c>
      <c r="BE45" s="18"/>
      <c r="BF45" s="241" t="s">
        <v>202</v>
      </c>
      <c r="BG45" s="426">
        <f>BH63</f>
        <v>1200.6861063464835</v>
      </c>
      <c r="BH45" s="1"/>
      <c r="BI45" s="240"/>
      <c r="BJ45" s="45"/>
      <c r="BK45" s="44">
        <f t="shared" si="39"/>
        <v>0</v>
      </c>
      <c r="BL45" s="18"/>
      <c r="BM45" s="241" t="s">
        <v>202</v>
      </c>
      <c r="BN45" s="426">
        <f>BO63</f>
        <v>1200.6861063464835</v>
      </c>
      <c r="BO45" s="1"/>
      <c r="BP45" s="240"/>
      <c r="BQ45" s="45"/>
      <c r="BR45" s="44">
        <f t="shared" si="40"/>
        <v>0</v>
      </c>
      <c r="BS45" s="18"/>
      <c r="BT45" s="241" t="s">
        <v>202</v>
      </c>
      <c r="BU45" s="426">
        <f>BV63</f>
        <v>1114.9228130360204</v>
      </c>
      <c r="BV45" s="1"/>
      <c r="BW45" s="240"/>
      <c r="BX45" s="45"/>
      <c r="BY45" s="44">
        <f t="shared" si="41"/>
        <v>0</v>
      </c>
      <c r="BZ45" s="18"/>
      <c r="CA45" s="241" t="s">
        <v>202</v>
      </c>
      <c r="CB45" s="426">
        <f>CC63</f>
        <v>1114.9228130360204</v>
      </c>
      <c r="CC45" s="1"/>
      <c r="CD45" s="240"/>
      <c r="CE45" s="45"/>
      <c r="CF45" s="44">
        <f t="shared" si="42"/>
        <v>0</v>
      </c>
      <c r="CG45" s="18"/>
      <c r="CH45" s="241" t="s">
        <v>202</v>
      </c>
      <c r="CI45" s="426">
        <f>CJ63</f>
        <v>1114.9228130360204</v>
      </c>
      <c r="CJ45" s="1"/>
      <c r="CK45" s="240"/>
      <c r="CL45" s="45"/>
      <c r="CM45" s="44">
        <f t="shared" si="43"/>
        <v>0</v>
      </c>
      <c r="CN45" s="18"/>
      <c r="CO45" s="241" t="s">
        <v>202</v>
      </c>
      <c r="CP45" s="426">
        <f>CQ63</f>
        <v>1114.9228130360204</v>
      </c>
      <c r="CQ45" s="1"/>
      <c r="CR45" s="240"/>
      <c r="CS45" s="45"/>
      <c r="CT45" s="44">
        <f t="shared" si="44"/>
        <v>0</v>
      </c>
      <c r="CU45" s="18"/>
      <c r="CV45" s="241" t="s">
        <v>202</v>
      </c>
      <c r="CW45" s="426">
        <f>CX63</f>
        <v>1029.1595197255574</v>
      </c>
      <c r="CX45" s="1"/>
      <c r="CY45" s="240"/>
      <c r="CZ45" s="45"/>
      <c r="DA45" s="44">
        <f t="shared" si="45"/>
        <v>0</v>
      </c>
      <c r="DB45" s="18"/>
      <c r="DC45" s="241" t="s">
        <v>202</v>
      </c>
      <c r="DD45" s="426">
        <f>DE63</f>
        <v>943.39622641509425</v>
      </c>
      <c r="DE45" s="1"/>
      <c r="DF45" s="240"/>
      <c r="DG45" s="45"/>
      <c r="DH45" s="44">
        <f t="shared" si="46"/>
        <v>0</v>
      </c>
    </row>
    <row r="46" spans="1:112" x14ac:dyDescent="0.3">
      <c r="B46" s="21" t="str">
        <f>'Standard Vorgaben'!$B$135</f>
        <v>Mulchgerät mit Schwenkarm, 2.8m</v>
      </c>
      <c r="C46" s="47">
        <f>'Standard Vorgaben'!$E$135</f>
        <v>6</v>
      </c>
      <c r="D46" s="52">
        <f>'Standard Vorgaben'!$C$135</f>
        <v>0.5</v>
      </c>
      <c r="E46" s="63">
        <f>'Standard Vorgaben'!$D$135</f>
        <v>42</v>
      </c>
      <c r="F46" s="45">
        <f>C46*D46*E46</f>
        <v>126</v>
      </c>
      <c r="G46" s="44">
        <f t="shared" si="31"/>
        <v>1.1266119152069431E-2</v>
      </c>
      <c r="H46" s="18"/>
      <c r="I46" s="4" t="str">
        <f>'Standard Vorgaben'!$B$135</f>
        <v>Mulchgerät mit Schwenkarm, 2.8m</v>
      </c>
      <c r="J46" s="47">
        <f>'Standard Vorgaben'!$E$135</f>
        <v>6</v>
      </c>
      <c r="K46" s="52">
        <f>'Standard Vorgaben'!$C$135</f>
        <v>0.5</v>
      </c>
      <c r="L46" s="63">
        <f>'Standard Vorgaben'!$D$135</f>
        <v>42</v>
      </c>
      <c r="M46" s="45">
        <f>J46*K46*L46</f>
        <v>126</v>
      </c>
      <c r="N46" s="44">
        <f t="shared" si="32"/>
        <v>1.0996615180211397E-2</v>
      </c>
      <c r="O46" s="3"/>
      <c r="P46" s="4" t="str">
        <f>'Standard Vorgaben'!$B$135</f>
        <v>Mulchgerät mit Schwenkarm, 2.8m</v>
      </c>
      <c r="Q46" s="47">
        <f>'Standard Vorgaben'!$E$135</f>
        <v>6</v>
      </c>
      <c r="R46" s="52">
        <f>'Standard Vorgaben'!$C$135</f>
        <v>0.5</v>
      </c>
      <c r="S46" s="63">
        <f>'Standard Vorgaben'!$D$135</f>
        <v>42</v>
      </c>
      <c r="T46" s="45">
        <f>Q46*R46*S46</f>
        <v>126</v>
      </c>
      <c r="U46" s="44">
        <f t="shared" si="33"/>
        <v>1.7558633401306063E-3</v>
      </c>
      <c r="V46" s="18"/>
      <c r="W46" s="4" t="str">
        <f>'Standard Vorgaben'!$B$135</f>
        <v>Mulchgerät mit Schwenkarm, 2.8m</v>
      </c>
      <c r="X46" s="47">
        <f>'Standard Vorgaben'!$E$135</f>
        <v>6</v>
      </c>
      <c r="Y46" s="52">
        <f>'Standard Vorgaben'!$C$135</f>
        <v>0.5</v>
      </c>
      <c r="Z46" s="63">
        <f>'Standard Vorgaben'!$D$135</f>
        <v>42</v>
      </c>
      <c r="AA46" s="45">
        <f>X46*Y46*Z46</f>
        <v>126</v>
      </c>
      <c r="AB46" s="44">
        <f t="shared" si="34"/>
        <v>3.6381087164060032E-3</v>
      </c>
      <c r="AC46" s="18"/>
      <c r="AD46" s="4" t="str">
        <f>'Standard Vorgaben'!$B$135</f>
        <v>Mulchgerät mit Schwenkarm, 2.8m</v>
      </c>
      <c r="AE46" s="47">
        <f>'Standard Vorgaben'!$E$135</f>
        <v>6</v>
      </c>
      <c r="AF46" s="52">
        <f>'Standard Vorgaben'!$C$135</f>
        <v>0.5</v>
      </c>
      <c r="AG46" s="63">
        <f>'Standard Vorgaben'!$D$135</f>
        <v>42</v>
      </c>
      <c r="AH46" s="45">
        <f>AE46*AF46*AG46</f>
        <v>126</v>
      </c>
      <c r="AI46" s="44">
        <f t="shared" si="35"/>
        <v>2.2876204245521562E-3</v>
      </c>
      <c r="AJ46" s="18"/>
      <c r="AK46" s="21" t="str">
        <f>'Standard Vorgaben'!$B$135</f>
        <v>Mulchgerät mit Schwenkarm, 2.8m</v>
      </c>
      <c r="AL46" s="47">
        <f>'Standard Vorgaben'!$E$135</f>
        <v>6</v>
      </c>
      <c r="AM46" s="52">
        <f>'Standard Vorgaben'!$C$135</f>
        <v>0.5</v>
      </c>
      <c r="AN46" s="63">
        <f>'Standard Vorgaben'!$D$135</f>
        <v>42</v>
      </c>
      <c r="AO46" s="45">
        <f>AL46*AM46*AN46</f>
        <v>126</v>
      </c>
      <c r="AP46" s="44">
        <f t="shared" si="36"/>
        <v>1.987395406633753E-3</v>
      </c>
      <c r="AQ46" s="18"/>
      <c r="AR46" s="4" t="str">
        <f>'Standard Vorgaben'!$B$135</f>
        <v>Mulchgerät mit Schwenkarm, 2.8m</v>
      </c>
      <c r="AS46" s="47">
        <f>'Standard Vorgaben'!$E$135</f>
        <v>6</v>
      </c>
      <c r="AT46" s="52">
        <f>'Standard Vorgaben'!$C$135</f>
        <v>0.5</v>
      </c>
      <c r="AU46" s="63">
        <f>'Standard Vorgaben'!$D$135</f>
        <v>42</v>
      </c>
      <c r="AV46" s="45">
        <f>AS46*AT46*AU46</f>
        <v>126</v>
      </c>
      <c r="AW46" s="44">
        <f t="shared" si="37"/>
        <v>1.7643968858077012E-3</v>
      </c>
      <c r="AX46" s="18"/>
      <c r="AY46" s="21" t="str">
        <f>'Standard Vorgaben'!$B$135</f>
        <v>Mulchgerät mit Schwenkarm, 2.8m</v>
      </c>
      <c r="AZ46" s="47">
        <f>'Standard Vorgaben'!$E$135</f>
        <v>6</v>
      </c>
      <c r="BA46" s="52">
        <f>'Standard Vorgaben'!$C$135</f>
        <v>0.5</v>
      </c>
      <c r="BB46" s="63">
        <f>'Standard Vorgaben'!$D$135</f>
        <v>42</v>
      </c>
      <c r="BC46" s="45">
        <f>AZ46*BA46*BB46</f>
        <v>126</v>
      </c>
      <c r="BD46" s="44">
        <f t="shared" si="38"/>
        <v>1.7790416197570314E-3</v>
      </c>
      <c r="BE46" s="18"/>
      <c r="BF46" s="21" t="str">
        <f>'Standard Vorgaben'!$B$135</f>
        <v>Mulchgerät mit Schwenkarm, 2.8m</v>
      </c>
      <c r="BG46" s="47">
        <f>'Standard Vorgaben'!$E$135</f>
        <v>6</v>
      </c>
      <c r="BH46" s="52">
        <f>'Standard Vorgaben'!$C$135</f>
        <v>0.5</v>
      </c>
      <c r="BI46" s="63">
        <f>'Standard Vorgaben'!$D$135</f>
        <v>42</v>
      </c>
      <c r="BJ46" s="45">
        <f>BG46*BH46*BI46</f>
        <v>126</v>
      </c>
      <c r="BK46" s="44">
        <f t="shared" si="39"/>
        <v>1.7824175947194416E-3</v>
      </c>
      <c r="BL46" s="18"/>
      <c r="BM46" s="21" t="str">
        <f>'Standard Vorgaben'!$B$135</f>
        <v>Mulchgerät mit Schwenkarm, 2.8m</v>
      </c>
      <c r="BN46" s="47">
        <f>'Standard Vorgaben'!$E$135</f>
        <v>6</v>
      </c>
      <c r="BO46" s="52">
        <f>'Standard Vorgaben'!$C$135</f>
        <v>0.5</v>
      </c>
      <c r="BP46" s="63">
        <f>'Standard Vorgaben'!$D$135</f>
        <v>42</v>
      </c>
      <c r="BQ46" s="45">
        <f>BN46*BO46*BP46</f>
        <v>126</v>
      </c>
      <c r="BR46" s="44">
        <f t="shared" si="40"/>
        <v>1.0620251976030625E-3</v>
      </c>
      <c r="BS46" s="18"/>
      <c r="BT46" s="4" t="str">
        <f>'Standard Vorgaben'!$B$135</f>
        <v>Mulchgerät mit Schwenkarm, 2.8m</v>
      </c>
      <c r="BU46" s="47">
        <f>'Standard Vorgaben'!$E$135</f>
        <v>6</v>
      </c>
      <c r="BV46" s="52">
        <f>'Standard Vorgaben'!$C$135</f>
        <v>0.5</v>
      </c>
      <c r="BW46" s="63">
        <f>'Standard Vorgaben'!$D$135</f>
        <v>42</v>
      </c>
      <c r="BX46" s="45">
        <f>BU46*BV46*BW46</f>
        <v>126</v>
      </c>
      <c r="BY46" s="44">
        <f t="shared" si="41"/>
        <v>1.8618520884735963E-3</v>
      </c>
      <c r="BZ46" s="18"/>
      <c r="CA46" s="21" t="str">
        <f>'Standard Vorgaben'!$B$135</f>
        <v>Mulchgerät mit Schwenkarm, 2.8m</v>
      </c>
      <c r="CB46" s="47">
        <f>'Standard Vorgaben'!$E$135</f>
        <v>6</v>
      </c>
      <c r="CC46" s="52">
        <f>'Standard Vorgaben'!$C$135</f>
        <v>0.5</v>
      </c>
      <c r="CD46" s="63">
        <f>'Standard Vorgaben'!$D$135</f>
        <v>42</v>
      </c>
      <c r="CE46" s="45">
        <f>CB46*CC46*CD46</f>
        <v>126</v>
      </c>
      <c r="CF46" s="44">
        <f t="shared" si="42"/>
        <v>1.864830630712566E-3</v>
      </c>
      <c r="CG46" s="18"/>
      <c r="CH46" s="4" t="str">
        <f>'Standard Vorgaben'!$B$135</f>
        <v>Mulchgerät mit Schwenkarm, 2.8m</v>
      </c>
      <c r="CI46" s="47">
        <f>'Standard Vorgaben'!$E$135</f>
        <v>6</v>
      </c>
      <c r="CJ46" s="52">
        <f>'Standard Vorgaben'!$C$135</f>
        <v>0.5</v>
      </c>
      <c r="CK46" s="63">
        <f>'Standard Vorgaben'!$D$135</f>
        <v>42</v>
      </c>
      <c r="CL46" s="45">
        <f>CI46*CJ46*CK46</f>
        <v>126</v>
      </c>
      <c r="CM46" s="44">
        <f t="shared" si="43"/>
        <v>1.8568352366108748E-3</v>
      </c>
      <c r="CN46" s="18"/>
      <c r="CO46" s="21" t="str">
        <f>'Standard Vorgaben'!$B$135</f>
        <v>Mulchgerät mit Schwenkarm, 2.8m</v>
      </c>
      <c r="CP46" s="47">
        <f>'Standard Vorgaben'!$E$135</f>
        <v>6</v>
      </c>
      <c r="CQ46" s="52">
        <f>'Standard Vorgaben'!$C$135</f>
        <v>0.5</v>
      </c>
      <c r="CR46" s="63">
        <f>'Standard Vorgaben'!$D$135</f>
        <v>42</v>
      </c>
      <c r="CS46" s="45">
        <f>CP46*CQ46*CR46</f>
        <v>126</v>
      </c>
      <c r="CT46" s="44">
        <f t="shared" si="44"/>
        <v>1.8707977088477216E-3</v>
      </c>
      <c r="CU46" s="18"/>
      <c r="CV46" s="21" t="str">
        <f>'Standard Vorgaben'!$B$135</f>
        <v>Mulchgerät mit Schwenkarm, 2.8m</v>
      </c>
      <c r="CW46" s="47">
        <f>'Standard Vorgaben'!$E$135</f>
        <v>6</v>
      </c>
      <c r="CX46" s="52">
        <f>'Standard Vorgaben'!$C$135</f>
        <v>0.5</v>
      </c>
      <c r="CY46" s="63">
        <f>'Standard Vorgaben'!$D$135</f>
        <v>42</v>
      </c>
      <c r="CZ46" s="45">
        <f>CW46*CX46*CY46</f>
        <v>126</v>
      </c>
      <c r="DA46" s="44">
        <f t="shared" si="45"/>
        <v>1.9668097301055324E-3</v>
      </c>
      <c r="DB46" s="18"/>
      <c r="DC46" s="21" t="str">
        <f>'Standard Vorgaben'!$B$135</f>
        <v>Mulchgerät mit Schwenkarm, 2.8m</v>
      </c>
      <c r="DD46" s="47">
        <f>'Standard Vorgaben'!$E$135</f>
        <v>6</v>
      </c>
      <c r="DE46" s="52">
        <f>'Standard Vorgaben'!$C$135</f>
        <v>0.5</v>
      </c>
      <c r="DF46" s="63">
        <f>'Standard Vorgaben'!$D$135</f>
        <v>42</v>
      </c>
      <c r="DG46" s="45">
        <f>DD46*DE46*DF46</f>
        <v>126</v>
      </c>
      <c r="DH46" s="44">
        <f t="shared" si="46"/>
        <v>1.8862236249664976E-3</v>
      </c>
    </row>
    <row r="47" spans="1:112" x14ac:dyDescent="0.3">
      <c r="C47" s="47"/>
      <c r="D47" s="52"/>
      <c r="E47" s="63"/>
      <c r="F47" s="45"/>
      <c r="G47" s="44">
        <f t="shared" si="31"/>
        <v>0</v>
      </c>
      <c r="H47" s="18"/>
      <c r="I47" s="4"/>
      <c r="J47" s="47"/>
      <c r="K47" s="52"/>
      <c r="L47" s="63"/>
      <c r="M47" s="45"/>
      <c r="N47" s="44">
        <f t="shared" si="32"/>
        <v>0</v>
      </c>
      <c r="O47" s="3"/>
      <c r="P47" s="762" t="s">
        <v>687</v>
      </c>
      <c r="Q47" s="47"/>
      <c r="R47" s="52">
        <f>'Standard Vorgaben'!C137</f>
        <v>100</v>
      </c>
      <c r="S47" s="63">
        <f>'Standard Vorgaben'!$I$137</f>
        <v>17.5</v>
      </c>
      <c r="T47" s="45">
        <f>R47*S47</f>
        <v>1750</v>
      </c>
      <c r="U47" s="44">
        <f t="shared" si="33"/>
        <v>2.438699083514731E-2</v>
      </c>
      <c r="V47" s="18"/>
      <c r="W47" s="4" t="str">
        <f>P47</f>
        <v>Hebebühne für Folienmotnag und Schnitt</v>
      </c>
      <c r="X47" s="47"/>
      <c r="Y47" s="52">
        <f>$R$47</f>
        <v>100</v>
      </c>
      <c r="Z47" s="63">
        <f>'Standard Vorgaben'!$I$137</f>
        <v>17.5</v>
      </c>
      <c r="AA47" s="45">
        <f>Y47*Z47</f>
        <v>1750</v>
      </c>
      <c r="AB47" s="44">
        <f t="shared" si="34"/>
        <v>5.0529287727861152E-2</v>
      </c>
      <c r="AC47" s="18"/>
      <c r="AD47" s="4" t="str">
        <f>W47</f>
        <v>Hebebühne für Folienmotnag und Schnitt</v>
      </c>
      <c r="AE47" s="47"/>
      <c r="AF47" s="52">
        <f>$R$47</f>
        <v>100</v>
      </c>
      <c r="AG47" s="63">
        <f>'Standard Vorgaben'!$I$137</f>
        <v>17.5</v>
      </c>
      <c r="AH47" s="45">
        <f>AF47*AG47</f>
        <v>1750</v>
      </c>
      <c r="AI47" s="44">
        <f t="shared" si="35"/>
        <v>3.1772505896557723E-2</v>
      </c>
      <c r="AJ47" s="18"/>
      <c r="AK47" s="4" t="str">
        <f>AD47</f>
        <v>Hebebühne für Folienmotnag und Schnitt</v>
      </c>
      <c r="AL47" s="47"/>
      <c r="AM47" s="52">
        <f>$R$47</f>
        <v>100</v>
      </c>
      <c r="AN47" s="63">
        <f>'Standard Vorgaben'!$I$137</f>
        <v>17.5</v>
      </c>
      <c r="AO47" s="45">
        <f>AM47*AN47</f>
        <v>1750</v>
      </c>
      <c r="AP47" s="44">
        <f t="shared" si="36"/>
        <v>2.760271398102435E-2</v>
      </c>
      <c r="AQ47" s="18"/>
      <c r="AR47" s="4" t="str">
        <f>AK47</f>
        <v>Hebebühne für Folienmotnag und Schnitt</v>
      </c>
      <c r="AS47" s="47"/>
      <c r="AT47" s="52">
        <f>$R$47</f>
        <v>100</v>
      </c>
      <c r="AU47" s="63">
        <f>'Standard Vorgaben'!$I$137</f>
        <v>17.5</v>
      </c>
      <c r="AV47" s="45">
        <f>AT47*AU47</f>
        <v>1750</v>
      </c>
      <c r="AW47" s="44">
        <f t="shared" si="37"/>
        <v>2.4505512302884738E-2</v>
      </c>
      <c r="AX47" s="18"/>
      <c r="AY47" s="4" t="str">
        <f>AR47</f>
        <v>Hebebühne für Folienmotnag und Schnitt</v>
      </c>
      <c r="AZ47" s="47"/>
      <c r="BA47" s="52">
        <f>$R$47</f>
        <v>100</v>
      </c>
      <c r="BB47" s="63">
        <f>'Standard Vorgaben'!$I$137</f>
        <v>17.5</v>
      </c>
      <c r="BC47" s="45">
        <f>BA47*BB47</f>
        <v>1750</v>
      </c>
      <c r="BD47" s="44">
        <f t="shared" si="38"/>
        <v>2.4708911385514325E-2</v>
      </c>
      <c r="BE47" s="18"/>
      <c r="BF47" s="4" t="str">
        <f>AY47</f>
        <v>Hebebühne für Folienmotnag und Schnitt</v>
      </c>
      <c r="BG47" s="47"/>
      <c r="BH47" s="52">
        <f>$R$47</f>
        <v>100</v>
      </c>
      <c r="BI47" s="63">
        <f>'Standard Vorgaben'!$I$137</f>
        <v>17.5</v>
      </c>
      <c r="BJ47" s="45">
        <f>BH47*BI47</f>
        <v>1750</v>
      </c>
      <c r="BK47" s="44">
        <f t="shared" si="39"/>
        <v>2.4755799926658911E-2</v>
      </c>
      <c r="BL47" s="18"/>
      <c r="BM47" s="4" t="str">
        <f>BF47</f>
        <v>Hebebühne für Folienmotnag und Schnitt</v>
      </c>
      <c r="BN47" s="47"/>
      <c r="BO47" s="52">
        <f>$R$47</f>
        <v>100</v>
      </c>
      <c r="BP47" s="63">
        <f>'Standard Vorgaben'!$I$137</f>
        <v>17.5</v>
      </c>
      <c r="BQ47" s="45">
        <f>BO47*BP47</f>
        <v>1750</v>
      </c>
      <c r="BR47" s="44">
        <f t="shared" si="40"/>
        <v>1.47503499667092E-2</v>
      </c>
      <c r="BS47" s="18"/>
      <c r="BT47" s="4" t="str">
        <f>BM47</f>
        <v>Hebebühne für Folienmotnag und Schnitt</v>
      </c>
      <c r="BU47" s="47"/>
      <c r="BV47" s="52">
        <f>$R$47</f>
        <v>100</v>
      </c>
      <c r="BW47" s="63">
        <f>'Standard Vorgaben'!$I$137</f>
        <v>17.5</v>
      </c>
      <c r="BX47" s="45">
        <f>BV47*BW47</f>
        <v>1750</v>
      </c>
      <c r="BY47" s="44">
        <f t="shared" si="41"/>
        <v>2.5859056784355502E-2</v>
      </c>
      <c r="BZ47" s="18"/>
      <c r="CA47" s="4" t="str">
        <f>BT47</f>
        <v>Hebebühne für Folienmotnag und Schnitt</v>
      </c>
      <c r="CB47" s="47"/>
      <c r="CC47" s="52">
        <f>$R$47</f>
        <v>100</v>
      </c>
      <c r="CD47" s="63">
        <f>'Standard Vorgaben'!$I$137</f>
        <v>17.5</v>
      </c>
      <c r="CE47" s="45">
        <f>CC47*CD47</f>
        <v>1750</v>
      </c>
      <c r="CF47" s="44">
        <f t="shared" si="42"/>
        <v>2.5900425426563418E-2</v>
      </c>
      <c r="CG47" s="18"/>
      <c r="CH47" s="4" t="str">
        <f>CA47</f>
        <v>Hebebühne für Folienmotnag und Schnitt</v>
      </c>
      <c r="CI47" s="47"/>
      <c r="CJ47" s="52">
        <f>$R$47</f>
        <v>100</v>
      </c>
      <c r="CK47" s="63">
        <f>'Standard Vorgaben'!$I$137</f>
        <v>17.5</v>
      </c>
      <c r="CL47" s="45">
        <f>CJ47*CK47</f>
        <v>1750</v>
      </c>
      <c r="CM47" s="44">
        <f t="shared" si="43"/>
        <v>2.5789378286262151E-2</v>
      </c>
      <c r="CN47" s="18"/>
      <c r="CO47" s="4" t="str">
        <f>CH47</f>
        <v>Hebebühne für Folienmotnag und Schnitt</v>
      </c>
      <c r="CP47" s="47"/>
      <c r="CQ47" s="52">
        <f>$R$47</f>
        <v>100</v>
      </c>
      <c r="CR47" s="63">
        <f>'Standard Vorgaben'!$I$137</f>
        <v>17.5</v>
      </c>
      <c r="CS47" s="45">
        <f>CQ47*CR47</f>
        <v>1750</v>
      </c>
      <c r="CT47" s="44">
        <f t="shared" si="44"/>
        <v>2.5983301511773912E-2</v>
      </c>
      <c r="CU47" s="18"/>
      <c r="CV47" s="4" t="str">
        <f>CO47</f>
        <v>Hebebühne für Folienmotnag und Schnitt</v>
      </c>
      <c r="CW47" s="47"/>
      <c r="CX47" s="52">
        <f>$R$47</f>
        <v>100</v>
      </c>
      <c r="CY47" s="63">
        <f>'Standard Vorgaben'!$I$137</f>
        <v>17.5</v>
      </c>
      <c r="CZ47" s="45">
        <f>CX47*CY47</f>
        <v>1750</v>
      </c>
      <c r="DA47" s="44">
        <f t="shared" si="45"/>
        <v>2.7316801807021285E-2</v>
      </c>
      <c r="DB47" s="18"/>
      <c r="DC47" s="4" t="str">
        <f>CV47</f>
        <v>Hebebühne für Folienmotnag und Schnitt</v>
      </c>
      <c r="DD47" s="47"/>
      <c r="DE47" s="52">
        <f>$R$47</f>
        <v>100</v>
      </c>
      <c r="DF47" s="63">
        <f>'Standard Vorgaben'!$I$137</f>
        <v>17.5</v>
      </c>
      <c r="DG47" s="45">
        <f>DE47*DF47</f>
        <v>1750</v>
      </c>
      <c r="DH47" s="44">
        <f t="shared" si="46"/>
        <v>2.6197550346756911E-2</v>
      </c>
    </row>
    <row r="48" spans="1:112" ht="13.5" thickBot="1" x14ac:dyDescent="0.35">
      <c r="B48" s="21" t="str">
        <f>'Standard Vorgaben'!$B$136</f>
        <v>Schnittholzhacker</v>
      </c>
      <c r="C48" s="59">
        <f>'Standard Vorgaben'!$E$136</f>
        <v>1</v>
      </c>
      <c r="D48" s="752">
        <f>'Standard Vorgaben'!$C$136</f>
        <v>3</v>
      </c>
      <c r="E48" s="63">
        <f>'Standard Vorgaben'!$D$136</f>
        <v>68.3</v>
      </c>
      <c r="F48" s="208">
        <f>E48*D48*C48</f>
        <v>204.89999999999998</v>
      </c>
      <c r="G48" s="44">
        <f t="shared" si="31"/>
        <v>1.8320855668722432E-2</v>
      </c>
      <c r="H48" s="18"/>
      <c r="I48" s="4" t="str">
        <f>'Standard Vorgaben'!$B$136</f>
        <v>Schnittholzhacker</v>
      </c>
      <c r="J48" s="59">
        <f>'Standard Vorgaben'!$E$136</f>
        <v>1</v>
      </c>
      <c r="K48" s="752">
        <f>'Standard Vorgaben'!$C$136</f>
        <v>3</v>
      </c>
      <c r="L48" s="63">
        <f>'Standard Vorgaben'!$D$136</f>
        <v>68.3</v>
      </c>
      <c r="M48" s="208">
        <f>L48*K48*J48</f>
        <v>204.89999999999998</v>
      </c>
      <c r="N48" s="44">
        <f t="shared" si="32"/>
        <v>1.788259087639139E-2</v>
      </c>
      <c r="O48" s="3"/>
      <c r="P48" s="4" t="str">
        <f>'Standard Vorgaben'!$B$136</f>
        <v>Schnittholzhacker</v>
      </c>
      <c r="Q48" s="59">
        <f>'Standard Vorgaben'!$E$136</f>
        <v>1</v>
      </c>
      <c r="R48" s="752">
        <f>'Standard Vorgaben'!$C$136</f>
        <v>3</v>
      </c>
      <c r="S48" s="63">
        <f>'Standard Vorgaben'!$D$136</f>
        <v>68.3</v>
      </c>
      <c r="T48" s="208">
        <f>S48*R48*Q48</f>
        <v>204.89999999999998</v>
      </c>
      <c r="U48" s="44">
        <f t="shared" si="33"/>
        <v>2.8553682412123904E-3</v>
      </c>
      <c r="V48" s="18"/>
      <c r="W48" s="4" t="str">
        <f>'Standard Vorgaben'!$B$136</f>
        <v>Schnittholzhacker</v>
      </c>
      <c r="X48" s="59">
        <f>'Standard Vorgaben'!$E$136</f>
        <v>1</v>
      </c>
      <c r="Y48" s="752">
        <f>'Standard Vorgaben'!$C$136</f>
        <v>3</v>
      </c>
      <c r="Z48" s="63">
        <f>'Standard Vorgaben'!$D$136</f>
        <v>68.3</v>
      </c>
      <c r="AA48" s="208">
        <f>Z48*Y48*X48</f>
        <v>204.89999999999998</v>
      </c>
      <c r="AB48" s="44">
        <f t="shared" si="34"/>
        <v>5.9162577459649993E-3</v>
      </c>
      <c r="AC48" s="18"/>
      <c r="AD48" s="4" t="str">
        <f>'Standard Vorgaben'!$B$136</f>
        <v>Schnittholzhacker</v>
      </c>
      <c r="AE48" s="59">
        <f>'Standard Vorgaben'!$E$136</f>
        <v>1</v>
      </c>
      <c r="AF48" s="752">
        <f>'Standard Vorgaben'!$C$136</f>
        <v>3</v>
      </c>
      <c r="AG48" s="63">
        <f>'Standard Vorgaben'!$D$136</f>
        <v>68.3</v>
      </c>
      <c r="AH48" s="208">
        <f>AG48*AF48*AE48</f>
        <v>204.89999999999998</v>
      </c>
      <c r="AI48" s="44">
        <f t="shared" si="35"/>
        <v>3.7201065475455297E-3</v>
      </c>
      <c r="AJ48" s="18"/>
      <c r="AK48" s="21" t="str">
        <f>'Standard Vorgaben'!$B$136</f>
        <v>Schnittholzhacker</v>
      </c>
      <c r="AL48" s="59">
        <f>'Standard Vorgaben'!$E$136</f>
        <v>1</v>
      </c>
      <c r="AM48" s="752">
        <f>'Standard Vorgaben'!$C$136</f>
        <v>3</v>
      </c>
      <c r="AN48" s="63">
        <f>'Standard Vorgaben'!$D$136</f>
        <v>68.3</v>
      </c>
      <c r="AO48" s="208">
        <f>AN48*AM48*AL48</f>
        <v>204.89999999999998</v>
      </c>
      <c r="AP48" s="44">
        <f t="shared" si="36"/>
        <v>3.2318834826925076E-3</v>
      </c>
      <c r="AQ48" s="18"/>
      <c r="AR48" s="4" t="str">
        <f>'Standard Vorgaben'!$B$136</f>
        <v>Schnittholzhacker</v>
      </c>
      <c r="AS48" s="59">
        <f>'Standard Vorgaben'!$E$136</f>
        <v>1</v>
      </c>
      <c r="AT48" s="752">
        <f>'Standard Vorgaben'!$C$136</f>
        <v>3</v>
      </c>
      <c r="AU48" s="63">
        <f>'Standard Vorgaben'!$D$136</f>
        <v>68.3</v>
      </c>
      <c r="AV48" s="208">
        <f>AU48*AT48*AS48</f>
        <v>204.89999999999998</v>
      </c>
      <c r="AW48" s="44">
        <f t="shared" si="37"/>
        <v>2.8692454119206186E-3</v>
      </c>
      <c r="AX48" s="18"/>
      <c r="AY48" s="21" t="str">
        <f>'Standard Vorgaben'!$B$136</f>
        <v>Schnittholzhacker</v>
      </c>
      <c r="AZ48" s="59">
        <f>'Standard Vorgaben'!$E$136</f>
        <v>1</v>
      </c>
      <c r="BA48" s="752">
        <f>'Standard Vorgaben'!$C$136</f>
        <v>3</v>
      </c>
      <c r="BB48" s="63">
        <f>'Standard Vorgaben'!$D$136</f>
        <v>68.3</v>
      </c>
      <c r="BC48" s="208">
        <f>BB48*BA48*AZ48</f>
        <v>204.89999999999998</v>
      </c>
      <c r="BD48" s="44">
        <f t="shared" si="38"/>
        <v>2.8930605387953627E-3</v>
      </c>
      <c r="BE48" s="18"/>
      <c r="BF48" s="21" t="str">
        <f>'Standard Vorgaben'!$B$136</f>
        <v>Schnittholzhacker</v>
      </c>
      <c r="BG48" s="59">
        <f>'Standard Vorgaben'!$E$136</f>
        <v>1</v>
      </c>
      <c r="BH48" s="752">
        <f>'Standard Vorgaben'!$C$136</f>
        <v>3</v>
      </c>
      <c r="BI48" s="63">
        <f>'Standard Vorgaben'!$D$136</f>
        <v>68.3</v>
      </c>
      <c r="BJ48" s="208">
        <f>BI48*BH48*BG48</f>
        <v>204.89999999999998</v>
      </c>
      <c r="BK48" s="44">
        <f t="shared" si="39"/>
        <v>2.8985505171270913E-3</v>
      </c>
      <c r="BL48" s="18"/>
      <c r="BM48" s="21" t="str">
        <f>'Standard Vorgaben'!$B$136</f>
        <v>Schnittholzhacker</v>
      </c>
      <c r="BN48" s="59">
        <f>'Standard Vorgaben'!$E$136</f>
        <v>1</v>
      </c>
      <c r="BO48" s="752">
        <f>'Standard Vorgaben'!$C$136</f>
        <v>3</v>
      </c>
      <c r="BP48" s="63">
        <f>'Standard Vorgaben'!$D$136</f>
        <v>68.3</v>
      </c>
      <c r="BQ48" s="208">
        <f>BP48*BO48*BN48</f>
        <v>204.89999999999998</v>
      </c>
      <c r="BR48" s="44">
        <f t="shared" si="40"/>
        <v>1.7270552618164083E-3</v>
      </c>
      <c r="BS48" s="18"/>
      <c r="BT48" s="4" t="str">
        <f>'Standard Vorgaben'!$B$136</f>
        <v>Schnittholzhacker</v>
      </c>
      <c r="BU48" s="59">
        <f>'Standard Vorgaben'!$E$136</f>
        <v>1</v>
      </c>
      <c r="BV48" s="752">
        <f>'Standard Vorgaben'!$C$136</f>
        <v>3</v>
      </c>
      <c r="BW48" s="63">
        <f>'Standard Vorgaben'!$D$136</f>
        <v>68.3</v>
      </c>
      <c r="BX48" s="208">
        <f>BW48*BV48*BU48</f>
        <v>204.89999999999998</v>
      </c>
      <c r="BY48" s="44">
        <f t="shared" si="41"/>
        <v>3.0277261343511098E-3</v>
      </c>
      <c r="BZ48" s="18"/>
      <c r="CA48" s="21" t="str">
        <f>'Standard Vorgaben'!$B$136</f>
        <v>Schnittholzhacker</v>
      </c>
      <c r="CB48" s="59">
        <f>'Standard Vorgaben'!$E$136</f>
        <v>1</v>
      </c>
      <c r="CC48" s="752">
        <f>'Standard Vorgaben'!$C$136</f>
        <v>3</v>
      </c>
      <c r="CD48" s="63">
        <f>'Standard Vorgaben'!$D$136</f>
        <v>68.3</v>
      </c>
      <c r="CE48" s="208">
        <f>CD48*CC48*CB48</f>
        <v>204.89999999999998</v>
      </c>
      <c r="CF48" s="44">
        <f t="shared" si="42"/>
        <v>3.0325698113730535E-3</v>
      </c>
      <c r="CG48" s="18"/>
      <c r="CH48" s="4" t="str">
        <f>'Standard Vorgaben'!$B$136</f>
        <v>Schnittholzhacker</v>
      </c>
      <c r="CI48" s="59">
        <f>'Standard Vorgaben'!$E$136</f>
        <v>1</v>
      </c>
      <c r="CJ48" s="752">
        <f>'Standard Vorgaben'!$C$136</f>
        <v>3</v>
      </c>
      <c r="CK48" s="63">
        <f>'Standard Vorgaben'!$D$136</f>
        <v>68.3</v>
      </c>
      <c r="CL48" s="208">
        <f>CK48*CJ48*CI48</f>
        <v>204.89999999999998</v>
      </c>
      <c r="CM48" s="44">
        <f t="shared" si="43"/>
        <v>3.0195677776314938E-3</v>
      </c>
      <c r="CN48" s="18"/>
      <c r="CO48" s="21" t="str">
        <f>'Standard Vorgaben'!$B$136</f>
        <v>Schnittholzhacker</v>
      </c>
      <c r="CP48" s="59">
        <f>'Standard Vorgaben'!$E$136</f>
        <v>1</v>
      </c>
      <c r="CQ48" s="752">
        <f>'Standard Vorgaben'!$C$136</f>
        <v>3</v>
      </c>
      <c r="CR48" s="63">
        <f>'Standard Vorgaben'!$D$136</f>
        <v>68.3</v>
      </c>
      <c r="CS48" s="208">
        <f>CR48*CQ48*CP48</f>
        <v>204.89999999999998</v>
      </c>
      <c r="CT48" s="44">
        <f t="shared" si="44"/>
        <v>3.0422734170071279E-3</v>
      </c>
      <c r="CU48" s="18"/>
      <c r="CV48" s="21" t="str">
        <f>'Standard Vorgaben'!$B$136</f>
        <v>Schnittholzhacker</v>
      </c>
      <c r="CW48" s="59">
        <f>'Standard Vorgaben'!$E$136</f>
        <v>1</v>
      </c>
      <c r="CX48" s="752">
        <f>'Standard Vorgaben'!$C$136</f>
        <v>3</v>
      </c>
      <c r="CY48" s="63">
        <f>'Standard Vorgaben'!$D$136</f>
        <v>68.3</v>
      </c>
      <c r="CZ48" s="208">
        <f>CY48*CX48*CW48</f>
        <v>204.89999999999998</v>
      </c>
      <c r="DA48" s="44">
        <f t="shared" si="45"/>
        <v>3.1984072515763777E-3</v>
      </c>
      <c r="DB48" s="18"/>
      <c r="DC48" s="21" t="str">
        <f>'Standard Vorgaben'!$B$136</f>
        <v>Schnittholzhacker</v>
      </c>
      <c r="DD48" s="59">
        <f>'Standard Vorgaben'!$E$136</f>
        <v>1</v>
      </c>
      <c r="DE48" s="752">
        <f>'Standard Vorgaben'!$C$136</f>
        <v>3</v>
      </c>
      <c r="DF48" s="63">
        <f>'Standard Vorgaben'!$D$136</f>
        <v>68.3</v>
      </c>
      <c r="DG48" s="208">
        <f>DF48*DE48*DD48</f>
        <v>204.89999999999998</v>
      </c>
      <c r="DH48" s="44">
        <f t="shared" si="46"/>
        <v>3.0673588948859948E-3</v>
      </c>
    </row>
    <row r="49" spans="1:112" ht="16.5" customHeight="1" x14ac:dyDescent="0.3">
      <c r="B49" s="21" t="s">
        <v>146</v>
      </c>
      <c r="C49" s="47"/>
      <c r="D49" s="438">
        <f>(C41*D41)+(C42*D42)+(C43*D43)+(D44)+(C46*D46)+(C48*D48)</f>
        <v>12</v>
      </c>
      <c r="E49" s="63"/>
      <c r="F49" s="120">
        <f>SUM(F41:F48)</f>
        <v>616.9</v>
      </c>
      <c r="G49" s="44">
        <f t="shared" si="31"/>
        <v>5.5159277023108196E-2</v>
      </c>
      <c r="H49" s="18"/>
      <c r="I49" s="4" t="s">
        <v>146</v>
      </c>
      <c r="J49" s="47"/>
      <c r="K49" s="438">
        <f>(J41*K41)+(J42*K42)+(J43*K43)+(K44)+(J46*K46)+(J48*K48)</f>
        <v>15</v>
      </c>
      <c r="L49" s="63"/>
      <c r="M49" s="120">
        <f>SUM(M41:M48)</f>
        <v>708.9</v>
      </c>
      <c r="N49" s="44">
        <f t="shared" si="32"/>
        <v>6.1869051597236983E-2</v>
      </c>
      <c r="O49" s="3"/>
      <c r="P49" s="4" t="s">
        <v>146</v>
      </c>
      <c r="Q49" s="47"/>
      <c r="R49" s="438">
        <f>(Q41*R41)+(Q42*R42)+(Q43*R43)+(R44)+(Q46*R46)+(Q48*R48)</f>
        <v>35.57632933104631</v>
      </c>
      <c r="S49" s="63"/>
      <c r="T49" s="120">
        <f>SUM(T41:T48)</f>
        <v>3130.3082332761578</v>
      </c>
      <c r="U49" s="44">
        <f t="shared" si="33"/>
        <v>4.3622170397766759E-2</v>
      </c>
      <c r="V49" s="18"/>
      <c r="W49" s="4" t="s">
        <v>146</v>
      </c>
      <c r="X49" s="47"/>
      <c r="Y49" s="438">
        <f>(X41*Y41)+(X42*Y42)+(X43*Y43)+(Y44)+(X46*Y46)+(X48*Y48)</f>
        <v>62.305317324185246</v>
      </c>
      <c r="Z49" s="63"/>
      <c r="AA49" s="120">
        <f>SUM(AA41:AA48)</f>
        <v>3791.5329331046314</v>
      </c>
      <c r="AB49" s="44">
        <f t="shared" si="34"/>
        <v>0.1094762620037173</v>
      </c>
      <c r="AC49" s="18"/>
      <c r="AD49" s="4" t="s">
        <v>146</v>
      </c>
      <c r="AE49" s="47"/>
      <c r="AF49" s="438">
        <f>(AE41*AF41)+(AE42*AF42)+(AE43*AF43)+(AF44)+(AE46*AF46)+(AE48*AF48)</f>
        <v>104.01543739279587</v>
      </c>
      <c r="AG49" s="63"/>
      <c r="AH49" s="120">
        <f>SUM(AH41:AH48)</f>
        <v>4841.2859348198963</v>
      </c>
      <c r="AI49" s="44">
        <f t="shared" si="35"/>
        <v>8.789702052056407E-2</v>
      </c>
      <c r="AJ49" s="18"/>
      <c r="AK49" s="21" t="s">
        <v>146</v>
      </c>
      <c r="AL49" s="47"/>
      <c r="AM49" s="438">
        <f>(AL41*AM41)+(AL42*AM42)+(AL43*AM43)+(AM44)+(AL46*AM46)+(AL48*AM48)</f>
        <v>126.48542024013722</v>
      </c>
      <c r="AN49" s="63"/>
      <c r="AO49" s="120">
        <f>SUM(AO41:AO48)</f>
        <v>5403.0355060034299</v>
      </c>
      <c r="AP49" s="44">
        <f t="shared" si="36"/>
        <v>8.5221967829446771E-2</v>
      </c>
      <c r="AQ49" s="18"/>
      <c r="AR49" s="4" t="s">
        <v>146</v>
      </c>
      <c r="AS49" s="47"/>
      <c r="AT49" s="438">
        <f>(AS41*AT41)+(AS42*AT42)+(AS43*AT43)+(AT44)+(AS46*AT46)+(AS48*AT48)</f>
        <v>148.06861063464834</v>
      </c>
      <c r="AU49" s="63"/>
      <c r="AV49" s="120">
        <f>SUM(AV41:AV48)</f>
        <v>5935.6152658662086</v>
      </c>
      <c r="AW49" s="44">
        <f t="shared" si="37"/>
        <v>8.3117310241642761E-2</v>
      </c>
      <c r="AX49" s="18"/>
      <c r="AY49" s="21" t="s">
        <v>146</v>
      </c>
      <c r="AZ49" s="47"/>
      <c r="BA49" s="438">
        <f>(AZ41*BA41)+(AZ42*BA42)+(AZ43*BA43)+(BA44)+(AZ46*BA46)+(AZ48*BA48)</f>
        <v>147.06861063464834</v>
      </c>
      <c r="BB49" s="63"/>
      <c r="BC49" s="120">
        <f>SUM(BC41:BC48)</f>
        <v>5917.6152658662086</v>
      </c>
      <c r="BD49" s="44">
        <f t="shared" si="38"/>
        <v>8.3553046410202822E-2</v>
      </c>
      <c r="BE49" s="18"/>
      <c r="BF49" s="21" t="s">
        <v>146</v>
      </c>
      <c r="BG49" s="47"/>
      <c r="BH49" s="438">
        <f>(BG41*BH41)+(BG42*BH42)+(BG43*BH43)+(BH44)+(BG46*BH46)+(BG48*BH48)</f>
        <v>147.06861063464834</v>
      </c>
      <c r="BI49" s="63"/>
      <c r="BJ49" s="120">
        <f>SUM(BJ41:BJ48)</f>
        <v>5917.6152658662086</v>
      </c>
      <c r="BK49" s="44">
        <f t="shared" si="39"/>
        <v>8.3711599751272195E-2</v>
      </c>
      <c r="BL49" s="18"/>
      <c r="BM49" s="21" t="s">
        <v>146</v>
      </c>
      <c r="BN49" s="47"/>
      <c r="BO49" s="438">
        <f>(BN41*BO41)+(BN42*BO42)+(BN43*BO43)+(BO44)+(BN46*BO46)+(BN48*BO48)</f>
        <v>147.06861063464834</v>
      </c>
      <c r="BP49" s="63"/>
      <c r="BQ49" s="120">
        <f>SUM(BQ41:BQ48)</f>
        <v>5917.6152658662086</v>
      </c>
      <c r="BR49" s="44">
        <f t="shared" si="40"/>
        <v>4.9878226365638559E-2</v>
      </c>
      <c r="BS49" s="18"/>
      <c r="BT49" s="4" t="s">
        <v>146</v>
      </c>
      <c r="BU49" s="47"/>
      <c r="BV49" s="438">
        <f>(BU41*BV41)+(BU42*BV42)+(BU43*BV43)+(BV44)+(BU46*BV46)+(BU48*BV48)</f>
        <v>138.49228130360206</v>
      </c>
      <c r="BW49" s="63"/>
      <c r="BX49" s="120">
        <f>SUM(BX41:BX48)</f>
        <v>5703.2070325900513</v>
      </c>
      <c r="BY49" s="44">
        <f t="shared" si="41"/>
        <v>8.427403114781816E-2</v>
      </c>
      <c r="BZ49" s="18"/>
      <c r="CA49" s="21" t="s">
        <v>146</v>
      </c>
      <c r="CB49" s="47"/>
      <c r="CC49" s="438">
        <f>(CB41*CC41)+(CB42*CC42)+(CB43*CC43)+(CC44)+(CB46*CC46)+(CB48*CC48)</f>
        <v>138.49228130360206</v>
      </c>
      <c r="CD49" s="63"/>
      <c r="CE49" s="120">
        <f>SUM(CE41:CE48)</f>
        <v>5703.2070325900513</v>
      </c>
      <c r="CF49" s="44">
        <f t="shared" si="42"/>
        <v>8.4408850537057517E-2</v>
      </c>
      <c r="CG49" s="18"/>
      <c r="CH49" s="4" t="s">
        <v>146</v>
      </c>
      <c r="CI49" s="47"/>
      <c r="CJ49" s="438">
        <f>(CI41*CJ41)+(CI42*CJ42)+(CI43*CJ43)+(CJ44)+(CI46*CJ46)+(CI48*CJ48)</f>
        <v>138.49228130360206</v>
      </c>
      <c r="CK49" s="63"/>
      <c r="CL49" s="120">
        <f>SUM(CL41:CL48)</f>
        <v>5703.2070325900513</v>
      </c>
      <c r="CM49" s="44">
        <f t="shared" si="43"/>
        <v>8.4046950633334547E-2</v>
      </c>
      <c r="CN49" s="18"/>
      <c r="CO49" s="21" t="s">
        <v>146</v>
      </c>
      <c r="CP49" s="47"/>
      <c r="CQ49" s="438">
        <f>(CP41*CQ41)+(CP42*CQ42)+(CP43*CQ43)+(CQ44)+(CP46*CQ46)+(CP48*CQ48)</f>
        <v>138.49228130360206</v>
      </c>
      <c r="CR49" s="63"/>
      <c r="CS49" s="120">
        <f>SUM(CS41:CS48)</f>
        <v>5703.2070325900513</v>
      </c>
      <c r="CT49" s="44">
        <f t="shared" si="44"/>
        <v>8.4678941663918109E-2</v>
      </c>
      <c r="CU49" s="18"/>
      <c r="CV49" s="21" t="s">
        <v>146</v>
      </c>
      <c r="CW49" s="47"/>
      <c r="CX49" s="438">
        <f>(CW41*CX41)+(CW42*CX42)+(CW43*CX43)+(CX44)+(CW46*CX46)+(CW48*CX48)</f>
        <v>129.91595197255575</v>
      </c>
      <c r="CY49" s="63"/>
      <c r="CZ49" s="120">
        <f>SUM(CZ41:CZ48)</f>
        <v>5488.7987993138931</v>
      </c>
      <c r="DA49" s="44">
        <f t="shared" si="45"/>
        <v>8.5677959405413728E-2</v>
      </c>
      <c r="DB49" s="18"/>
      <c r="DC49" s="21" t="s">
        <v>146</v>
      </c>
      <c r="DD49" s="47"/>
      <c r="DE49" s="438">
        <f>(DD41*DE41)+(DD42*DE42)+(DD43*DE43)+(DE44)+(DD46*DE46)+(DD48*DE48)</f>
        <v>121.33962264150944</v>
      </c>
      <c r="DF49" s="63"/>
      <c r="DG49" s="120">
        <f>SUM(DG41:DG48)</f>
        <v>5274.390566037735</v>
      </c>
      <c r="DH49" s="44">
        <f t="shared" si="46"/>
        <v>7.8957778515561863E-2</v>
      </c>
    </row>
    <row r="50" spans="1:112" x14ac:dyDescent="0.3">
      <c r="A50" s="159"/>
      <c r="B50" s="64" t="str">
        <f>'Standard Vorgaben'!$B$127</f>
        <v>Obstbautraktor 4-Rad</v>
      </c>
      <c r="C50" s="47"/>
      <c r="D50" s="439">
        <f>D49</f>
        <v>12</v>
      </c>
      <c r="E50" s="63">
        <f>'Standard Vorgaben'!$D$127</f>
        <v>41</v>
      </c>
      <c r="F50" s="120">
        <f>D50*E50</f>
        <v>492</v>
      </c>
      <c r="G50" s="44">
        <f t="shared" si="31"/>
        <v>4.3991512879509212E-2</v>
      </c>
      <c r="H50" s="159"/>
      <c r="I50" s="107" t="str">
        <f>'Standard Vorgaben'!$B$127</f>
        <v>Obstbautraktor 4-Rad</v>
      </c>
      <c r="J50" s="47"/>
      <c r="K50" s="439">
        <f>K49</f>
        <v>15</v>
      </c>
      <c r="L50" s="63">
        <f>'Standard Vorgaben'!$D$127</f>
        <v>41</v>
      </c>
      <c r="M50" s="120">
        <f>K50*L50</f>
        <v>615</v>
      </c>
      <c r="N50" s="44">
        <f t="shared" si="32"/>
        <v>5.3673955046269921E-2</v>
      </c>
      <c r="O50" s="763"/>
      <c r="P50" s="107" t="str">
        <f>'Standard Vorgaben'!$B$127</f>
        <v>Obstbautraktor 4-Rad</v>
      </c>
      <c r="Q50" s="47"/>
      <c r="R50" s="439">
        <f>R49</f>
        <v>35.57632933104631</v>
      </c>
      <c r="S50" s="63">
        <f>'Standard Vorgaben'!$D$127</f>
        <v>41</v>
      </c>
      <c r="T50" s="120">
        <f>R50*S50</f>
        <v>1458.6295025728987</v>
      </c>
      <c r="U50" s="44">
        <f t="shared" si="33"/>
        <v>2.0326619606354721E-2</v>
      </c>
      <c r="V50" s="159"/>
      <c r="W50" s="107" t="str">
        <f>'Standard Vorgaben'!$B$127</f>
        <v>Obstbautraktor 4-Rad</v>
      </c>
      <c r="X50" s="47"/>
      <c r="Y50" s="439">
        <f>Y49</f>
        <v>62.305317324185246</v>
      </c>
      <c r="Z50" s="63">
        <f>'Standard Vorgaben'!$D$127</f>
        <v>41</v>
      </c>
      <c r="AA50" s="120">
        <f>Y50*Z50</f>
        <v>2554.5180102915951</v>
      </c>
      <c r="AB50" s="44">
        <f t="shared" si="34"/>
        <v>7.3758843170301361E-2</v>
      </c>
      <c r="AC50" s="159"/>
      <c r="AD50" s="107" t="str">
        <f>'Standard Vorgaben'!$B$127</f>
        <v>Obstbautraktor 4-Rad</v>
      </c>
      <c r="AE50" s="47"/>
      <c r="AF50" s="439">
        <f>AF49</f>
        <v>104.01543739279587</v>
      </c>
      <c r="AG50" s="63">
        <f>'Standard Vorgaben'!$D$127</f>
        <v>41</v>
      </c>
      <c r="AH50" s="120">
        <f>AF50*AG50</f>
        <v>4264.6329331046309</v>
      </c>
      <c r="AI50" s="44">
        <f t="shared" si="35"/>
        <v>7.7427471436412085E-2</v>
      </c>
      <c r="AJ50" s="159"/>
      <c r="AK50" s="64" t="str">
        <f>'Standard Vorgaben'!$B$127</f>
        <v>Obstbautraktor 4-Rad</v>
      </c>
      <c r="AL50" s="47"/>
      <c r="AM50" s="439">
        <f>AM49</f>
        <v>126.48542024013722</v>
      </c>
      <c r="AN50" s="63">
        <f>'Standard Vorgaben'!$D$127</f>
        <v>41</v>
      </c>
      <c r="AO50" s="120">
        <f>AM50*AN50</f>
        <v>5185.9022298456257</v>
      </c>
      <c r="AP50" s="44">
        <f t="shared" si="36"/>
        <v>8.179712913370582E-2</v>
      </c>
      <c r="AQ50" s="159"/>
      <c r="AR50" s="107" t="str">
        <f>'Standard Vorgaben'!$B$127</f>
        <v>Obstbautraktor 4-Rad</v>
      </c>
      <c r="AS50" s="47"/>
      <c r="AT50" s="439">
        <f>AT49</f>
        <v>148.06861063464834</v>
      </c>
      <c r="AU50" s="63">
        <f>'Standard Vorgaben'!$D$127</f>
        <v>41</v>
      </c>
      <c r="AV50" s="120">
        <f>AT50*AU50</f>
        <v>6070.8130360205814</v>
      </c>
      <c r="AW50" s="44">
        <f t="shared" si="37"/>
        <v>8.5010504881551666E-2</v>
      </c>
      <c r="AX50" s="159"/>
      <c r="AY50" s="64" t="str">
        <f>'Standard Vorgaben'!$B$127</f>
        <v>Obstbautraktor 4-Rad</v>
      </c>
      <c r="AZ50" s="47"/>
      <c r="BA50" s="439">
        <f>BA49</f>
        <v>147.06861063464834</v>
      </c>
      <c r="BB50" s="63">
        <f>'Standard Vorgaben'!$D$127</f>
        <v>41</v>
      </c>
      <c r="BC50" s="120">
        <f>BA50*BB50</f>
        <v>6029.8130360205814</v>
      </c>
      <c r="BD50" s="44">
        <f t="shared" si="38"/>
        <v>8.5137209130429506E-2</v>
      </c>
      <c r="BE50" s="159"/>
      <c r="BF50" s="64" t="str">
        <f>'Standard Vorgaben'!$B$127</f>
        <v>Obstbautraktor 4-Rad</v>
      </c>
      <c r="BG50" s="47"/>
      <c r="BH50" s="439">
        <f>BH49</f>
        <v>147.06861063464834</v>
      </c>
      <c r="BI50" s="63">
        <f>'Standard Vorgaben'!$D$127</f>
        <v>41</v>
      </c>
      <c r="BJ50" s="120">
        <f>BH50*BI50</f>
        <v>6029.8130360205814</v>
      </c>
      <c r="BK50" s="44">
        <f t="shared" si="39"/>
        <v>8.5298768637077291E-2</v>
      </c>
      <c r="BL50" s="159"/>
      <c r="BM50" s="64" t="str">
        <f>'Standard Vorgaben'!$B$127</f>
        <v>Obstbautraktor 4-Rad</v>
      </c>
      <c r="BN50" s="47"/>
      <c r="BO50" s="439">
        <f>BO49</f>
        <v>147.06861063464834</v>
      </c>
      <c r="BP50" s="63">
        <f>'Standard Vorgaben'!$D$127</f>
        <v>41</v>
      </c>
      <c r="BQ50" s="120">
        <f>BO50*BP50</f>
        <v>6029.8130360205814</v>
      </c>
      <c r="BR50" s="44">
        <f t="shared" si="40"/>
        <v>5.0823915722930789E-2</v>
      </c>
      <c r="BS50" s="159"/>
      <c r="BT50" s="107" t="str">
        <f>'Standard Vorgaben'!$B$127</f>
        <v>Obstbautraktor 4-Rad</v>
      </c>
      <c r="BU50" s="47"/>
      <c r="BV50" s="439">
        <f>BV49</f>
        <v>138.49228130360206</v>
      </c>
      <c r="BW50" s="63">
        <f>'Standard Vorgaben'!$D$127</f>
        <v>41</v>
      </c>
      <c r="BX50" s="120">
        <f>BV50*BW50</f>
        <v>5678.1835334476846</v>
      </c>
      <c r="BY50" s="44">
        <f t="shared" si="41"/>
        <v>8.3904268813380603E-2</v>
      </c>
      <c r="BZ50" s="159"/>
      <c r="CA50" s="64" t="str">
        <f>'Standard Vorgaben'!$B$127</f>
        <v>Obstbautraktor 4-Rad</v>
      </c>
      <c r="CB50" s="47"/>
      <c r="CC50" s="439">
        <f>CC49</f>
        <v>138.49228130360206</v>
      </c>
      <c r="CD50" s="63">
        <f>'Standard Vorgaben'!$D$127</f>
        <v>41</v>
      </c>
      <c r="CE50" s="120">
        <f>CC50*CD50</f>
        <v>5678.1835334476846</v>
      </c>
      <c r="CF50" s="44">
        <f t="shared" si="42"/>
        <v>8.40384966665155E-2</v>
      </c>
      <c r="CG50" s="159"/>
      <c r="CH50" s="107" t="str">
        <f>'Standard Vorgaben'!$B$127</f>
        <v>Obstbautraktor 4-Rad</v>
      </c>
      <c r="CI50" s="47"/>
      <c r="CJ50" s="439">
        <f>CJ49</f>
        <v>138.49228130360206</v>
      </c>
      <c r="CK50" s="63">
        <f>'Standard Vorgaben'!$D$127</f>
        <v>41</v>
      </c>
      <c r="CL50" s="120">
        <f>CJ50*CK50</f>
        <v>5678.1835334476846</v>
      </c>
      <c r="CM50" s="44">
        <f t="shared" si="43"/>
        <v>8.3678184641661144E-2</v>
      </c>
      <c r="CN50" s="159"/>
      <c r="CO50" s="64" t="str">
        <f>'Standard Vorgaben'!$B$127</f>
        <v>Obstbautraktor 4-Rad</v>
      </c>
      <c r="CP50" s="47"/>
      <c r="CQ50" s="439">
        <f>CQ49</f>
        <v>138.49228130360206</v>
      </c>
      <c r="CR50" s="63">
        <f>'Standard Vorgaben'!$D$127</f>
        <v>41</v>
      </c>
      <c r="CS50" s="120">
        <f>CQ50*CR50</f>
        <v>5678.1835334476846</v>
      </c>
      <c r="CT50" s="44">
        <f t="shared" si="44"/>
        <v>8.4307402736434833E-2</v>
      </c>
      <c r="CU50" s="159"/>
      <c r="CV50" s="64" t="str">
        <f>'Standard Vorgaben'!$B$127</f>
        <v>Obstbautraktor 4-Rad</v>
      </c>
      <c r="CW50" s="47"/>
      <c r="CX50" s="439">
        <f>CX49</f>
        <v>129.91595197255575</v>
      </c>
      <c r="CY50" s="63">
        <f>'Standard Vorgaben'!$D$127</f>
        <v>41</v>
      </c>
      <c r="CZ50" s="120">
        <f>CX50*CY50</f>
        <v>5326.5540308747859</v>
      </c>
      <c r="DA50" s="44">
        <f t="shared" si="45"/>
        <v>8.3145383300455344E-2</v>
      </c>
      <c r="DB50" s="159"/>
      <c r="DC50" s="64" t="str">
        <f>'Standard Vorgaben'!$B$127</f>
        <v>Obstbautraktor 4-Rad</v>
      </c>
      <c r="DD50" s="47"/>
      <c r="DE50" s="439">
        <f>DE49</f>
        <v>121.33962264150944</v>
      </c>
      <c r="DF50" s="63">
        <f>'Standard Vorgaben'!$D$127</f>
        <v>41</v>
      </c>
      <c r="DG50" s="120">
        <f>DE50*DF50</f>
        <v>4974.9245283018872</v>
      </c>
      <c r="DH50" s="44">
        <f t="shared" si="46"/>
        <v>7.4474763315145465E-2</v>
      </c>
    </row>
    <row r="51" spans="1:112" thickBot="1" x14ac:dyDescent="0.3">
      <c r="A51" s="149"/>
      <c r="B51" s="21" t="str">
        <f>'Standard Vorgaben'!$B$138</f>
        <v>Diverse Kleingeräte</v>
      </c>
      <c r="C51" s="47"/>
      <c r="D51" s="47"/>
      <c r="E51" s="63"/>
      <c r="F51" s="663">
        <f>'Standard Vorgaben'!$D$138</f>
        <v>500</v>
      </c>
      <c r="G51" s="44">
        <f t="shared" si="31"/>
        <v>4.4706822032021552E-2</v>
      </c>
      <c r="H51" s="149"/>
      <c r="I51" s="4" t="str">
        <f>'Standard Vorgaben'!$B$138</f>
        <v>Diverse Kleingeräte</v>
      </c>
      <c r="J51" s="47"/>
      <c r="K51" s="47"/>
      <c r="L51" s="63"/>
      <c r="M51" s="663">
        <f>'Standard Vorgaben'!$D$138</f>
        <v>500</v>
      </c>
      <c r="N51" s="44">
        <f t="shared" si="32"/>
        <v>4.3637361826235704E-2</v>
      </c>
      <c r="O51" s="238"/>
      <c r="P51" s="4" t="str">
        <f>'Standard Vorgaben'!$B$138</f>
        <v>Diverse Kleingeräte</v>
      </c>
      <c r="Q51" s="47"/>
      <c r="R51" s="47"/>
      <c r="S51" s="63"/>
      <c r="T51" s="663">
        <f>'Standard Vorgaben'!$D$138</f>
        <v>500</v>
      </c>
      <c r="U51" s="44">
        <f t="shared" si="33"/>
        <v>6.9677116671849459E-3</v>
      </c>
      <c r="V51" s="149"/>
      <c r="W51" s="4" t="str">
        <f>'Standard Vorgaben'!$B$138</f>
        <v>Diverse Kleingeräte</v>
      </c>
      <c r="X51" s="47"/>
      <c r="Y51" s="47"/>
      <c r="Z51" s="63"/>
      <c r="AA51" s="663">
        <f>'Standard Vorgaben'!$D$138</f>
        <v>500</v>
      </c>
      <c r="AB51" s="44">
        <f t="shared" si="34"/>
        <v>1.4436939350817473E-2</v>
      </c>
      <c r="AC51" s="149"/>
      <c r="AD51" s="4" t="str">
        <f>'Standard Vorgaben'!$B$138</f>
        <v>Diverse Kleingeräte</v>
      </c>
      <c r="AE51" s="47"/>
      <c r="AF51" s="47"/>
      <c r="AG51" s="63"/>
      <c r="AH51" s="663">
        <f>'Standard Vorgaben'!$D$138</f>
        <v>500</v>
      </c>
      <c r="AI51" s="44">
        <f t="shared" si="35"/>
        <v>9.0778588275879212E-3</v>
      </c>
      <c r="AJ51" s="149"/>
      <c r="AK51" s="21" t="str">
        <f>'Standard Vorgaben'!$B$138</f>
        <v>Diverse Kleingeräte</v>
      </c>
      <c r="AL51" s="47"/>
      <c r="AM51" s="47"/>
      <c r="AN51" s="63"/>
      <c r="AO51" s="663">
        <f>'Standard Vorgaben'!$D$138</f>
        <v>500</v>
      </c>
      <c r="AP51" s="44">
        <f t="shared" si="36"/>
        <v>7.8864897088640994E-3</v>
      </c>
      <c r="AQ51" s="149"/>
      <c r="AR51" s="21" t="str">
        <f>'Standard Vorgaben'!$B$138</f>
        <v>Diverse Kleingeräte</v>
      </c>
      <c r="AS51" s="47"/>
      <c r="AT51" s="47"/>
      <c r="AU51" s="63"/>
      <c r="AV51" s="663">
        <f>'Standard Vorgaben'!$D$138</f>
        <v>500</v>
      </c>
      <c r="AW51" s="44">
        <f t="shared" si="37"/>
        <v>7.0015749436813535E-3</v>
      </c>
      <c r="AX51" s="149"/>
      <c r="AY51" s="21" t="str">
        <f>'Standard Vorgaben'!$B$138</f>
        <v>Diverse Kleingeräte</v>
      </c>
      <c r="AZ51" s="47"/>
      <c r="BA51" s="47"/>
      <c r="BB51" s="63"/>
      <c r="BC51" s="663">
        <f>'Standard Vorgaben'!$D$138</f>
        <v>500</v>
      </c>
      <c r="BD51" s="44">
        <f t="shared" si="38"/>
        <v>7.059688967289807E-3</v>
      </c>
      <c r="BE51" s="149"/>
      <c r="BF51" s="21" t="str">
        <f>'Standard Vorgaben'!$B$138</f>
        <v>Diverse Kleingeräte</v>
      </c>
      <c r="BG51" s="47"/>
      <c r="BH51" s="47"/>
      <c r="BI51" s="63"/>
      <c r="BJ51" s="663">
        <f>'Standard Vorgaben'!$D$138</f>
        <v>500</v>
      </c>
      <c r="BK51" s="44">
        <f t="shared" si="39"/>
        <v>7.0730856933311171E-3</v>
      </c>
      <c r="BL51" s="149"/>
      <c r="BM51" s="21" t="str">
        <f>'Standard Vorgaben'!$B$138</f>
        <v>Diverse Kleingeräte</v>
      </c>
      <c r="BN51" s="47"/>
      <c r="BO51" s="47"/>
      <c r="BP51" s="63"/>
      <c r="BQ51" s="663">
        <f>'Standard Vorgaben'!$D$138</f>
        <v>500</v>
      </c>
      <c r="BR51" s="44">
        <f t="shared" si="40"/>
        <v>4.214385704774057E-3</v>
      </c>
      <c r="BS51" s="149"/>
      <c r="BT51" s="4" t="str">
        <f>'Standard Vorgaben'!$B$138</f>
        <v>Diverse Kleingeräte</v>
      </c>
      <c r="BU51" s="47"/>
      <c r="BV51" s="47"/>
      <c r="BW51" s="63"/>
      <c r="BX51" s="663">
        <f>'Standard Vorgaben'!$D$138</f>
        <v>500</v>
      </c>
      <c r="BY51" s="44">
        <f t="shared" si="41"/>
        <v>7.388301938387287E-3</v>
      </c>
      <c r="BZ51" s="149"/>
      <c r="CA51" s="21" t="str">
        <f>'Standard Vorgaben'!$B$138</f>
        <v>Diverse Kleingeräte</v>
      </c>
      <c r="CB51" s="47"/>
      <c r="CC51" s="47"/>
      <c r="CD51" s="63"/>
      <c r="CE51" s="663">
        <f>'Standard Vorgaben'!$D$138</f>
        <v>500</v>
      </c>
      <c r="CF51" s="44">
        <f t="shared" si="42"/>
        <v>7.4001215504466908E-3</v>
      </c>
      <c r="CG51" s="149"/>
      <c r="CH51" s="4" t="str">
        <f>'Standard Vorgaben'!$B$138</f>
        <v>Diverse Kleingeräte</v>
      </c>
      <c r="CI51" s="47"/>
      <c r="CJ51" s="47"/>
      <c r="CK51" s="63"/>
      <c r="CL51" s="663">
        <f>'Standard Vorgaben'!$D$138</f>
        <v>500</v>
      </c>
      <c r="CM51" s="44">
        <f t="shared" si="43"/>
        <v>7.3683937960748996E-3</v>
      </c>
      <c r="CN51" s="149"/>
      <c r="CO51" s="21" t="str">
        <f>'Standard Vorgaben'!$B$138</f>
        <v>Diverse Kleingeräte</v>
      </c>
      <c r="CP51" s="47"/>
      <c r="CQ51" s="47"/>
      <c r="CR51" s="63"/>
      <c r="CS51" s="663">
        <f>'Standard Vorgaben'!$D$138</f>
        <v>500</v>
      </c>
      <c r="CT51" s="44">
        <f t="shared" si="44"/>
        <v>7.4238004319354027E-3</v>
      </c>
      <c r="CU51" s="149"/>
      <c r="CV51" s="21" t="str">
        <f>'Standard Vorgaben'!$B$138</f>
        <v>Diverse Kleingeräte</v>
      </c>
      <c r="CW51" s="47"/>
      <c r="CX51" s="47"/>
      <c r="CY51" s="63"/>
      <c r="CZ51" s="663">
        <f>'Standard Vorgaben'!$D$138</f>
        <v>500</v>
      </c>
      <c r="DA51" s="44">
        <f t="shared" si="45"/>
        <v>7.8048005162917955E-3</v>
      </c>
      <c r="DB51" s="149"/>
      <c r="DC51" s="21" t="str">
        <f>'Standard Vorgaben'!$B$138</f>
        <v>Diverse Kleingeräte</v>
      </c>
      <c r="DD51" s="47"/>
      <c r="DE51" s="47"/>
      <c r="DF51" s="63"/>
      <c r="DG51" s="663">
        <f>'Standard Vorgaben'!$D$138</f>
        <v>500</v>
      </c>
      <c r="DH51" s="44">
        <f t="shared" si="46"/>
        <v>7.4850143847876895E-3</v>
      </c>
    </row>
    <row r="52" spans="1:112" x14ac:dyDescent="0.3">
      <c r="A52" s="109"/>
      <c r="C52" s="47"/>
      <c r="D52" s="47"/>
      <c r="E52" s="63"/>
      <c r="F52" s="82">
        <f>F51+F50+F49</f>
        <v>1608.9</v>
      </c>
      <c r="G52" s="668">
        <f t="shared" si="31"/>
        <v>0.14385761193463897</v>
      </c>
      <c r="H52" s="109"/>
      <c r="I52" s="4"/>
      <c r="J52" s="47"/>
      <c r="K52" s="47"/>
      <c r="L52" s="63"/>
      <c r="M52" s="82">
        <f>M51+M50+M49</f>
        <v>1823.9</v>
      </c>
      <c r="N52" s="668">
        <f t="shared" si="32"/>
        <v>0.15918036846974262</v>
      </c>
      <c r="O52" s="764"/>
      <c r="P52" s="4"/>
      <c r="Q52" s="47"/>
      <c r="R52" s="47"/>
      <c r="S52" s="63"/>
      <c r="T52" s="82">
        <f>T51+T50+T49</f>
        <v>5088.9377358490565</v>
      </c>
      <c r="U52" s="668">
        <f t="shared" si="33"/>
        <v>7.091650167130642E-2</v>
      </c>
      <c r="V52" s="109"/>
      <c r="W52" s="4"/>
      <c r="X52" s="47"/>
      <c r="Y52" s="47"/>
      <c r="Z52" s="63"/>
      <c r="AA52" s="82">
        <f>AA51+AA50+AA49</f>
        <v>6846.050943396227</v>
      </c>
      <c r="AB52" s="668">
        <f t="shared" si="34"/>
        <v>0.19767204452483614</v>
      </c>
      <c r="AC52" s="109"/>
      <c r="AD52" s="4"/>
      <c r="AE52" s="47"/>
      <c r="AF52" s="47"/>
      <c r="AG52" s="63"/>
      <c r="AH52" s="82">
        <f>AH51+AH50+AH49</f>
        <v>9605.9188679245271</v>
      </c>
      <c r="AI52" s="668">
        <f t="shared" si="35"/>
        <v>0.17440235078456409</v>
      </c>
      <c r="AJ52" s="109"/>
      <c r="AK52" s="21"/>
      <c r="AL52" s="47"/>
      <c r="AM52" s="47"/>
      <c r="AN52" s="63"/>
      <c r="AO52" s="82">
        <f>AO51+AO50+AO49</f>
        <v>11088.937735849056</v>
      </c>
      <c r="AP52" s="668">
        <f t="shared" si="36"/>
        <v>0.17490558667201669</v>
      </c>
      <c r="AQ52" s="109"/>
      <c r="AR52" s="21"/>
      <c r="AS52" s="47"/>
      <c r="AT52" s="47"/>
      <c r="AU52" s="63"/>
      <c r="AV52" s="82">
        <f>AV51+AV50+AV49</f>
        <v>12506.42830188679</v>
      </c>
      <c r="AW52" s="668">
        <f t="shared" si="37"/>
        <v>0.17512939006687578</v>
      </c>
      <c r="AX52" s="109"/>
      <c r="AY52" s="21"/>
      <c r="AZ52" s="47"/>
      <c r="BA52" s="47"/>
      <c r="BB52" s="63"/>
      <c r="BC52" s="82">
        <f>BC51+BC50+BC49</f>
        <v>12447.42830188679</v>
      </c>
      <c r="BD52" s="668">
        <f t="shared" si="38"/>
        <v>0.17574994450792214</v>
      </c>
      <c r="BE52" s="109"/>
      <c r="BF52" s="21"/>
      <c r="BG52" s="47"/>
      <c r="BH52" s="47"/>
      <c r="BI52" s="63"/>
      <c r="BJ52" s="82">
        <f>BJ51+BJ50+BJ49</f>
        <v>12447.42830188679</v>
      </c>
      <c r="BK52" s="668">
        <f t="shared" si="39"/>
        <v>0.17608345408168058</v>
      </c>
      <c r="BL52" s="109"/>
      <c r="BM52" s="21"/>
      <c r="BN52" s="47"/>
      <c r="BO52" s="47"/>
      <c r="BP52" s="63"/>
      <c r="BQ52" s="82">
        <f>BQ51+BQ50+BQ49</f>
        <v>12447.42830188679</v>
      </c>
      <c r="BR52" s="668">
        <f t="shared" si="40"/>
        <v>0.10491652779334341</v>
      </c>
      <c r="BS52" s="109"/>
      <c r="BT52" s="4"/>
      <c r="BU52" s="47"/>
      <c r="BV52" s="47"/>
      <c r="BW52" s="63"/>
      <c r="BX52" s="82">
        <f>BX51+BX50+BX49</f>
        <v>11881.390566037735</v>
      </c>
      <c r="BY52" s="668">
        <f t="shared" si="41"/>
        <v>0.17556660189958603</v>
      </c>
      <c r="BZ52" s="109"/>
      <c r="CA52" s="21"/>
      <c r="CB52" s="47"/>
      <c r="CC52" s="47"/>
      <c r="CD52" s="63"/>
      <c r="CE52" s="82">
        <f>CE51+CE50+CE49</f>
        <v>11881.390566037735</v>
      </c>
      <c r="CF52" s="668">
        <f t="shared" si="42"/>
        <v>0.17584746875401969</v>
      </c>
      <c r="CG52" s="109"/>
      <c r="CH52" s="21"/>
      <c r="CI52" s="47"/>
      <c r="CJ52" s="47"/>
      <c r="CK52" s="63"/>
      <c r="CL52" s="82">
        <f>CL51+CL50+CL49</f>
        <v>11881.390566037735</v>
      </c>
      <c r="CM52" s="668">
        <f t="shared" si="43"/>
        <v>0.17509352907107059</v>
      </c>
      <c r="CN52" s="109"/>
      <c r="CO52" s="21"/>
      <c r="CP52" s="47"/>
      <c r="CQ52" s="47"/>
      <c r="CR52" s="63"/>
      <c r="CS52" s="82">
        <f>CS51+CS50+CS49</f>
        <v>11881.390566037735</v>
      </c>
      <c r="CT52" s="668">
        <f t="shared" si="44"/>
        <v>0.17641014483228831</v>
      </c>
      <c r="CU52" s="109"/>
      <c r="CV52" s="21"/>
      <c r="CW52" s="47"/>
      <c r="CX52" s="47"/>
      <c r="CY52" s="63"/>
      <c r="CZ52" s="82">
        <f>CZ51+CZ50+CZ49</f>
        <v>11315.35283018868</v>
      </c>
      <c r="DA52" s="668">
        <f t="shared" si="45"/>
        <v>0.17662814322216089</v>
      </c>
      <c r="DB52" s="109"/>
      <c r="DC52" s="21"/>
      <c r="DD52" s="47"/>
      <c r="DE52" s="47"/>
      <c r="DF52" s="63"/>
      <c r="DG52" s="82">
        <f>DG51+DG50+DG49</f>
        <v>10749.315094339621</v>
      </c>
      <c r="DH52" s="668">
        <f t="shared" si="46"/>
        <v>0.160917556215495</v>
      </c>
    </row>
    <row r="53" spans="1:112" ht="15" customHeight="1" x14ac:dyDescent="0.25">
      <c r="A53"/>
      <c r="C53" s="59"/>
      <c r="D53" s="123" t="s">
        <v>34</v>
      </c>
      <c r="E53" s="126" t="s">
        <v>28</v>
      </c>
      <c r="F53" s="124" t="s">
        <v>29</v>
      </c>
      <c r="G53" s="44"/>
      <c r="H53"/>
      <c r="I53" s="4"/>
      <c r="J53" s="59"/>
      <c r="K53" s="123" t="s">
        <v>34</v>
      </c>
      <c r="L53" s="126" t="s">
        <v>28</v>
      </c>
      <c r="M53" s="124" t="s">
        <v>29</v>
      </c>
      <c r="N53" s="44"/>
      <c r="O53" s="1"/>
      <c r="P53" s="4"/>
      <c r="Q53" s="59"/>
      <c r="R53" s="123" t="s">
        <v>34</v>
      </c>
      <c r="S53" s="126" t="s">
        <v>28</v>
      </c>
      <c r="T53" s="124" t="s">
        <v>29</v>
      </c>
      <c r="U53" s="44"/>
      <c r="W53" s="21"/>
      <c r="X53" s="59"/>
      <c r="Y53" s="123" t="s">
        <v>34</v>
      </c>
      <c r="Z53" s="126" t="s">
        <v>28</v>
      </c>
      <c r="AA53" s="124" t="s">
        <v>29</v>
      </c>
      <c r="AB53" s="44"/>
      <c r="AD53" s="21"/>
      <c r="AE53" s="59"/>
      <c r="AF53" s="123" t="s">
        <v>34</v>
      </c>
      <c r="AG53" s="126" t="s">
        <v>28</v>
      </c>
      <c r="AH53" s="124" t="s">
        <v>29</v>
      </c>
      <c r="AI53" s="44"/>
      <c r="AK53" s="21"/>
      <c r="AL53" s="59"/>
      <c r="AM53" s="123" t="s">
        <v>34</v>
      </c>
      <c r="AN53" s="126" t="s">
        <v>28</v>
      </c>
      <c r="AO53" s="124" t="s">
        <v>29</v>
      </c>
      <c r="AP53" s="44"/>
      <c r="AR53" s="21"/>
      <c r="AS53" s="59"/>
      <c r="AT53" s="123" t="s">
        <v>34</v>
      </c>
      <c r="AU53" s="126" t="s">
        <v>28</v>
      </c>
      <c r="AV53" s="124" t="s">
        <v>29</v>
      </c>
      <c r="AW53" s="44"/>
      <c r="AY53" s="21"/>
      <c r="AZ53" s="59"/>
      <c r="BA53" s="123" t="s">
        <v>34</v>
      </c>
      <c r="BB53" s="126" t="s">
        <v>28</v>
      </c>
      <c r="BC53" s="124" t="s">
        <v>29</v>
      </c>
      <c r="BD53" s="44"/>
      <c r="BF53" s="21"/>
      <c r="BG53" s="59"/>
      <c r="BH53" s="123" t="s">
        <v>34</v>
      </c>
      <c r="BI53" s="126" t="s">
        <v>28</v>
      </c>
      <c r="BJ53" s="124" t="s">
        <v>29</v>
      </c>
      <c r="BK53" s="44"/>
      <c r="BM53" s="21"/>
      <c r="BN53" s="59"/>
      <c r="BO53" s="123" t="s">
        <v>34</v>
      </c>
      <c r="BP53" s="126" t="s">
        <v>28</v>
      </c>
      <c r="BQ53" s="124" t="s">
        <v>29</v>
      </c>
      <c r="BR53" s="44"/>
      <c r="BT53" s="21"/>
      <c r="BU53" s="59"/>
      <c r="BV53" s="123" t="s">
        <v>34</v>
      </c>
      <c r="BW53" s="126" t="s">
        <v>28</v>
      </c>
      <c r="BX53" s="124" t="s">
        <v>29</v>
      </c>
      <c r="BY53" s="44"/>
      <c r="CA53" s="21"/>
      <c r="CB53" s="59"/>
      <c r="CC53" s="123" t="s">
        <v>34</v>
      </c>
      <c r="CD53" s="126" t="s">
        <v>28</v>
      </c>
      <c r="CE53" s="124" t="s">
        <v>29</v>
      </c>
      <c r="CF53" s="44"/>
      <c r="CH53" s="21"/>
      <c r="CI53" s="59"/>
      <c r="CJ53" s="123" t="s">
        <v>34</v>
      </c>
      <c r="CK53" s="126" t="s">
        <v>28</v>
      </c>
      <c r="CL53" s="124" t="s">
        <v>29</v>
      </c>
      <c r="CM53" s="44"/>
      <c r="CO53" s="21"/>
      <c r="CP53" s="59"/>
      <c r="CQ53" s="123" t="s">
        <v>34</v>
      </c>
      <c r="CR53" s="126" t="s">
        <v>28</v>
      </c>
      <c r="CS53" s="124" t="s">
        <v>29</v>
      </c>
      <c r="CT53" s="44"/>
      <c r="CV53" s="21"/>
      <c r="CW53" s="59"/>
      <c r="CX53" s="123" t="s">
        <v>34</v>
      </c>
      <c r="CY53" s="126" t="s">
        <v>28</v>
      </c>
      <c r="CZ53" s="124" t="s">
        <v>29</v>
      </c>
      <c r="DA53" s="44"/>
      <c r="DC53" s="21"/>
      <c r="DD53" s="59"/>
      <c r="DE53" s="123" t="s">
        <v>34</v>
      </c>
      <c r="DF53" s="126" t="s">
        <v>28</v>
      </c>
      <c r="DG53" s="124" t="s">
        <v>29</v>
      </c>
      <c r="DH53" s="44"/>
    </row>
    <row r="54" spans="1:112" ht="12.75" customHeight="1" x14ac:dyDescent="0.3">
      <c r="A54" s="18" t="s">
        <v>76</v>
      </c>
      <c r="B54" s="21" t="s">
        <v>36</v>
      </c>
      <c r="C54" s="59"/>
      <c r="D54" s="429">
        <f>C43*D43</f>
        <v>0</v>
      </c>
      <c r="E54" s="63">
        <f>'Standard Vorgaben'!$C$31</f>
        <v>32.700000000000003</v>
      </c>
      <c r="F54" s="45">
        <f t="shared" ref="F54:F61" si="47">D54*E54</f>
        <v>0</v>
      </c>
      <c r="G54" s="44">
        <f>F54/$F$69</f>
        <v>0</v>
      </c>
      <c r="H54" s="18" t="s">
        <v>76</v>
      </c>
      <c r="I54" s="4" t="s">
        <v>36</v>
      </c>
      <c r="J54" s="59"/>
      <c r="K54" s="429">
        <f>J43*K43</f>
        <v>1</v>
      </c>
      <c r="L54" s="63">
        <f>'Standard Vorgaben'!$C$31</f>
        <v>32.700000000000003</v>
      </c>
      <c r="M54" s="45">
        <f>K54*L54</f>
        <v>32.700000000000003</v>
      </c>
      <c r="N54" s="44">
        <f>M54/$M$69</f>
        <v>2.8538834634358155E-3</v>
      </c>
      <c r="O54" s="3" t="s">
        <v>76</v>
      </c>
      <c r="P54" s="4" t="s">
        <v>36</v>
      </c>
      <c r="Q54" s="59"/>
      <c r="R54" s="429">
        <f>Q43*R43</f>
        <v>2</v>
      </c>
      <c r="S54" s="63">
        <f>'Standard Vorgaben'!$C$31</f>
        <v>32.700000000000003</v>
      </c>
      <c r="T54" s="45">
        <f>R54*S54</f>
        <v>65.400000000000006</v>
      </c>
      <c r="U54" s="44">
        <f>T54/$T$69</f>
        <v>9.1137668606779099E-4</v>
      </c>
      <c r="V54" s="18" t="s">
        <v>76</v>
      </c>
      <c r="W54" s="4" t="s">
        <v>36</v>
      </c>
      <c r="X54" s="59"/>
      <c r="Y54" s="429">
        <f>X43*Y43</f>
        <v>3</v>
      </c>
      <c r="Z54" s="63">
        <f>'Standard Vorgaben'!$C$31</f>
        <v>32.700000000000003</v>
      </c>
      <c r="AA54" s="45">
        <f>X54*Y54*Z54</f>
        <v>0</v>
      </c>
      <c r="AB54" s="44">
        <f>AA54/$AA$69</f>
        <v>0</v>
      </c>
      <c r="AC54" s="18" t="s">
        <v>76</v>
      </c>
      <c r="AD54" s="4" t="s">
        <v>36</v>
      </c>
      <c r="AE54" s="59"/>
      <c r="AF54" s="429">
        <f>AE43*AF43</f>
        <v>2</v>
      </c>
      <c r="AG54" s="63">
        <f>'Standard Vorgaben'!$C$31</f>
        <v>32.700000000000003</v>
      </c>
      <c r="AH54" s="45">
        <f>AE54*AF54*AG54</f>
        <v>0</v>
      </c>
      <c r="AI54" s="44">
        <f>AH54/$AH$69</f>
        <v>0</v>
      </c>
      <c r="AJ54" s="18" t="s">
        <v>76</v>
      </c>
      <c r="AK54" s="4" t="s">
        <v>36</v>
      </c>
      <c r="AL54" s="59"/>
      <c r="AM54" s="429">
        <f>AL43*AM43</f>
        <v>2</v>
      </c>
      <c r="AN54" s="63">
        <f>'Standard Vorgaben'!$C$31</f>
        <v>32.700000000000003</v>
      </c>
      <c r="AO54" s="45">
        <f>AL54*AM54*AN54</f>
        <v>0</v>
      </c>
      <c r="AP54" s="44">
        <f>AO54/$AO$69</f>
        <v>0</v>
      </c>
      <c r="AQ54" s="18" t="s">
        <v>76</v>
      </c>
      <c r="AR54" s="4" t="s">
        <v>36</v>
      </c>
      <c r="AS54" s="59"/>
      <c r="AT54" s="429">
        <f>AS43*AT43</f>
        <v>3</v>
      </c>
      <c r="AU54" s="63">
        <f>'Standard Vorgaben'!$C$31</f>
        <v>32.700000000000003</v>
      </c>
      <c r="AV54" s="45">
        <f>AS54*AT54*AU54</f>
        <v>0</v>
      </c>
      <c r="AW54" s="44">
        <f>AV54/$AV$69</f>
        <v>0</v>
      </c>
      <c r="AX54" s="18" t="s">
        <v>76</v>
      </c>
      <c r="AY54" s="4" t="s">
        <v>36</v>
      </c>
      <c r="AZ54" s="59"/>
      <c r="BA54" s="429">
        <f>AZ43*BA43</f>
        <v>2</v>
      </c>
      <c r="BB54" s="63">
        <f>'Standard Vorgaben'!$C$31</f>
        <v>32.700000000000003</v>
      </c>
      <c r="BC54" s="45">
        <f>AZ54*BA54*BB54</f>
        <v>0</v>
      </c>
      <c r="BD54" s="44">
        <f>BC54/$BC$69</f>
        <v>0</v>
      </c>
      <c r="BE54" s="18" t="s">
        <v>76</v>
      </c>
      <c r="BF54" s="4" t="s">
        <v>36</v>
      </c>
      <c r="BG54" s="59"/>
      <c r="BH54" s="429">
        <f>BG43*BH43</f>
        <v>2</v>
      </c>
      <c r="BI54" s="63">
        <f>'Standard Vorgaben'!$C$31</f>
        <v>32.700000000000003</v>
      </c>
      <c r="BJ54" s="45">
        <f>BG54*BH54*BI54</f>
        <v>0</v>
      </c>
      <c r="BK54" s="44">
        <f>BJ54/$BJ$69</f>
        <v>0</v>
      </c>
      <c r="BL54" s="18" t="s">
        <v>76</v>
      </c>
      <c r="BM54" s="4" t="s">
        <v>36</v>
      </c>
      <c r="BN54" s="59"/>
      <c r="BO54" s="429">
        <f>BN43*BO43</f>
        <v>2</v>
      </c>
      <c r="BP54" s="63">
        <f>'Standard Vorgaben'!$C$31</f>
        <v>32.700000000000003</v>
      </c>
      <c r="BQ54" s="45">
        <f>BN54*BO54*BP54</f>
        <v>0</v>
      </c>
      <c r="BR54" s="44">
        <f>BQ54/$BQ$69</f>
        <v>0</v>
      </c>
      <c r="BS54" s="18" t="s">
        <v>76</v>
      </c>
      <c r="BT54" s="4" t="s">
        <v>36</v>
      </c>
      <c r="BU54" s="59"/>
      <c r="BV54" s="429">
        <f>BU43*BV43</f>
        <v>2</v>
      </c>
      <c r="BW54" s="63">
        <f>'Standard Vorgaben'!$C$31</f>
        <v>32.700000000000003</v>
      </c>
      <c r="BX54" s="45">
        <f>BU54*BV54*BW54</f>
        <v>0</v>
      </c>
      <c r="BY54" s="44">
        <f>BX54/$BX$69</f>
        <v>0</v>
      </c>
      <c r="BZ54" s="18" t="s">
        <v>76</v>
      </c>
      <c r="CA54" s="4" t="s">
        <v>36</v>
      </c>
      <c r="CB54" s="59"/>
      <c r="CC54" s="429">
        <f>CB43*CC43</f>
        <v>2</v>
      </c>
      <c r="CD54" s="63">
        <f>'Standard Vorgaben'!$C$31</f>
        <v>32.700000000000003</v>
      </c>
      <c r="CE54" s="45">
        <f>CB54*CC54*CD54</f>
        <v>0</v>
      </c>
      <c r="CF54" s="44">
        <f>CE54/$CE$69</f>
        <v>0</v>
      </c>
      <c r="CG54" s="18" t="s">
        <v>76</v>
      </c>
      <c r="CH54" s="4" t="s">
        <v>36</v>
      </c>
      <c r="CI54" s="59"/>
      <c r="CJ54" s="429">
        <f>CI43*CJ43</f>
        <v>2</v>
      </c>
      <c r="CK54" s="63">
        <f>'Standard Vorgaben'!$C$31</f>
        <v>32.700000000000003</v>
      </c>
      <c r="CL54" s="45">
        <f>CI54*CJ54*CK54</f>
        <v>0</v>
      </c>
      <c r="CM54" s="44">
        <f>CL54/$CL$69</f>
        <v>0</v>
      </c>
      <c r="CN54" s="18" t="s">
        <v>76</v>
      </c>
      <c r="CO54" s="4" t="s">
        <v>36</v>
      </c>
      <c r="CP54" s="59"/>
      <c r="CQ54" s="429">
        <f>CP43*CQ43</f>
        <v>2</v>
      </c>
      <c r="CR54" s="63">
        <f>'Standard Vorgaben'!$C$31</f>
        <v>32.700000000000003</v>
      </c>
      <c r="CS54" s="45">
        <f>CP54*CQ54*CR54</f>
        <v>0</v>
      </c>
      <c r="CT54" s="44">
        <f>CS54/$CS$69</f>
        <v>0</v>
      </c>
      <c r="CU54" s="18" t="s">
        <v>76</v>
      </c>
      <c r="CV54" s="4" t="s">
        <v>36</v>
      </c>
      <c r="CW54" s="59"/>
      <c r="CX54" s="429">
        <f>CW43*CX43</f>
        <v>2</v>
      </c>
      <c r="CY54" s="63">
        <f>'Standard Vorgaben'!$C$31</f>
        <v>32.700000000000003</v>
      </c>
      <c r="CZ54" s="45">
        <f>CW54*CX54*CY54</f>
        <v>0</v>
      </c>
      <c r="DA54" s="44">
        <f>CZ54/$CZ$69</f>
        <v>0</v>
      </c>
      <c r="DB54" s="18" t="s">
        <v>76</v>
      </c>
      <c r="DC54" s="4" t="s">
        <v>36</v>
      </c>
      <c r="DD54" s="59"/>
      <c r="DE54" s="429">
        <f>DD43*DE43</f>
        <v>2</v>
      </c>
      <c r="DF54" s="63">
        <f>'Standard Vorgaben'!$C$31</f>
        <v>32.700000000000003</v>
      </c>
      <c r="DG54" s="45">
        <f>DD54*DE54*DF54</f>
        <v>0</v>
      </c>
      <c r="DH54" s="44">
        <f>DG54/$DG$69</f>
        <v>0</v>
      </c>
    </row>
    <row r="55" spans="1:112" x14ac:dyDescent="0.3">
      <c r="B55" s="4" t="s">
        <v>223</v>
      </c>
      <c r="C55"/>
      <c r="D55" s="48">
        <f>(C41+C42)+'Standard Vorgaben'!B88+'Standard Vorgaben'!C88</f>
        <v>26</v>
      </c>
      <c r="E55" s="63">
        <f>'Standard Vorgaben'!$C$31</f>
        <v>32.700000000000003</v>
      </c>
      <c r="F55" s="45">
        <f t="shared" si="47"/>
        <v>850.2</v>
      </c>
      <c r="G55" s="44">
        <f>F55/$F$69</f>
        <v>7.6019480183249458E-2</v>
      </c>
      <c r="H55" s="18"/>
      <c r="I55" s="4" t="s">
        <v>223</v>
      </c>
      <c r="J55" s="1"/>
      <c r="K55" s="48">
        <f>(J41+J42)+'Standard Vorgaben'!B89+'Standard Vorgaben'!C89</f>
        <v>28</v>
      </c>
      <c r="L55" s="63">
        <f>'Standard Vorgaben'!$C$31</f>
        <v>32.700000000000003</v>
      </c>
      <c r="M55" s="45">
        <f t="shared" ref="M55:M61" si="48">K55*L55</f>
        <v>915.60000000000014</v>
      </c>
      <c r="N55" s="44">
        <f>M55/$M$69</f>
        <v>7.9908736976202835E-2</v>
      </c>
      <c r="O55" s="3"/>
      <c r="P55" s="4" t="s">
        <v>223</v>
      </c>
      <c r="Q55" s="1"/>
      <c r="R55" s="48">
        <f>(Q41+Q42)+'Standard Vorgaben'!B87+'Standard Vorgaben'!C87</f>
        <v>39</v>
      </c>
      <c r="S55" s="63">
        <f>'Standard Vorgaben'!$C$31</f>
        <v>32.700000000000003</v>
      </c>
      <c r="T55" s="45">
        <f t="shared" ref="T55:T63" si="49">R55*S55</f>
        <v>1275.3000000000002</v>
      </c>
      <c r="U55" s="44">
        <f>T55/$T$69</f>
        <v>1.7771845378321924E-2</v>
      </c>
      <c r="V55" s="18"/>
      <c r="W55" s="4" t="s">
        <v>223</v>
      </c>
      <c r="X55" s="1"/>
      <c r="Y55" s="48">
        <f>(X41+X42)+'Standard Vorgaben'!$B$87+'Standard Vorgaben'!$C$87</f>
        <v>39</v>
      </c>
      <c r="Z55" s="63">
        <f>'Standard Vorgaben'!$C$31</f>
        <v>32.700000000000003</v>
      </c>
      <c r="AA55" s="45">
        <f t="shared" ref="AA55:AA62" si="50">Y55*Z55</f>
        <v>1275.3000000000002</v>
      </c>
      <c r="AB55" s="44">
        <f>AA55/$AA$69</f>
        <v>3.6822857508195049E-2</v>
      </c>
      <c r="AC55" s="18"/>
      <c r="AD55" s="4" t="s">
        <v>223</v>
      </c>
      <c r="AE55" s="1"/>
      <c r="AF55" s="48">
        <f>(AE41+AE42)+'Standard Vorgaben'!$B$87+'Standard Vorgaben'!$C$87</f>
        <v>39</v>
      </c>
      <c r="AG55" s="63">
        <f>'Standard Vorgaben'!$C$31</f>
        <v>32.700000000000003</v>
      </c>
      <c r="AH55" s="45">
        <f t="shared" ref="AH55:AH63" si="51">AF55*AG55</f>
        <v>1275.3000000000002</v>
      </c>
      <c r="AI55" s="44">
        <f>AH55/$AH$69</f>
        <v>2.3153986725645757E-2</v>
      </c>
      <c r="AJ55" s="18"/>
      <c r="AK55" s="4" t="s">
        <v>223</v>
      </c>
      <c r="AL55" s="1"/>
      <c r="AM55" s="48">
        <f>(AL41+AL42)+'Standard Vorgaben'!$B$87+'Standard Vorgaben'!$C$87</f>
        <v>39</v>
      </c>
      <c r="AN55" s="63">
        <f>'Standard Vorgaben'!$C$31</f>
        <v>32.700000000000003</v>
      </c>
      <c r="AO55" s="45">
        <f t="shared" ref="AO55:AO63" si="52">AM55*AN55</f>
        <v>1275.3000000000002</v>
      </c>
      <c r="AP55" s="44">
        <f>AO55/$AO$69</f>
        <v>2.0115280651428775E-2</v>
      </c>
      <c r="AQ55" s="18"/>
      <c r="AR55" s="4" t="s">
        <v>223</v>
      </c>
      <c r="AS55" s="1"/>
      <c r="AT55" s="48">
        <f>(AS41+AS42)+'Standard Vorgaben'!$B$87+'Standard Vorgaben'!$C$87</f>
        <v>39</v>
      </c>
      <c r="AU55" s="63">
        <f>'Standard Vorgaben'!$C$31</f>
        <v>32.700000000000003</v>
      </c>
      <c r="AV55" s="45">
        <f t="shared" ref="AV55:AV63" si="53">AT55*AU55</f>
        <v>1275.3000000000002</v>
      </c>
      <c r="AW55" s="44">
        <f>AV55/$AV$69</f>
        <v>1.7858217051353664E-2</v>
      </c>
      <c r="AX55" s="18"/>
      <c r="AY55" s="4" t="s">
        <v>223</v>
      </c>
      <c r="AZ55" s="1"/>
      <c r="BA55" s="48">
        <f>(AZ41+AZ42)+'Standard Vorgaben'!$B$87+'Standard Vorgaben'!$C$87</f>
        <v>39</v>
      </c>
      <c r="BB55" s="63">
        <f>'Standard Vorgaben'!$C$31</f>
        <v>32.700000000000003</v>
      </c>
      <c r="BC55" s="45">
        <f t="shared" ref="BC55:BC62" si="54">BA55*BB55</f>
        <v>1275.3000000000002</v>
      </c>
      <c r="BD55" s="44">
        <f>BC55/$BC$69</f>
        <v>1.8006442679969384E-2</v>
      </c>
      <c r="BE55" s="18"/>
      <c r="BF55" s="4" t="s">
        <v>223</v>
      </c>
      <c r="BG55" s="1"/>
      <c r="BH55" s="48">
        <f>(BG41+BG42)+'Standard Vorgaben'!$B$87+'Standard Vorgaben'!$C$87</f>
        <v>39</v>
      </c>
      <c r="BI55" s="63">
        <f>'Standard Vorgaben'!$C$31</f>
        <v>32.700000000000003</v>
      </c>
      <c r="BJ55" s="45">
        <f t="shared" ref="BJ55:BJ63" si="55">BH55*BI55</f>
        <v>1275.3000000000002</v>
      </c>
      <c r="BK55" s="44">
        <f>BJ55/$BJ$69</f>
        <v>1.8040612369410351E-2</v>
      </c>
      <c r="BL55" s="18"/>
      <c r="BM55" s="4" t="s">
        <v>223</v>
      </c>
      <c r="BN55" s="1"/>
      <c r="BO55" s="48">
        <f>(BN41+BN42)+'Standard Vorgaben'!$B$87+'Standard Vorgaben'!$C$87</f>
        <v>39</v>
      </c>
      <c r="BP55" s="63">
        <f>'Standard Vorgaben'!$C$31</f>
        <v>32.700000000000003</v>
      </c>
      <c r="BQ55" s="45">
        <f t="shared" ref="BQ55:BQ63" si="56">BO55*BP55</f>
        <v>1275.3000000000002</v>
      </c>
      <c r="BR55" s="44">
        <f>BQ55/$BQ$69</f>
        <v>1.0749212178596711E-2</v>
      </c>
      <c r="BS55" s="18"/>
      <c r="BT55" s="4" t="s">
        <v>223</v>
      </c>
      <c r="BU55" s="1"/>
      <c r="BV55" s="48">
        <f>(BU41+BU42)+'Standard Vorgaben'!$B$87+'Standard Vorgaben'!$C$87</f>
        <v>39</v>
      </c>
      <c r="BW55" s="63">
        <f>'Standard Vorgaben'!$C$31</f>
        <v>32.700000000000003</v>
      </c>
      <c r="BX55" s="45">
        <f t="shared" ref="BX55:BX63" si="57">BV55*BW55</f>
        <v>1275.3000000000002</v>
      </c>
      <c r="BY55" s="44">
        <f>BX55/$BX$69</f>
        <v>1.8844602924050616E-2</v>
      </c>
      <c r="BZ55" s="18"/>
      <c r="CA55" s="4" t="s">
        <v>223</v>
      </c>
      <c r="CB55" s="1"/>
      <c r="CC55" s="48">
        <f>(CB41+CB42)+'Standard Vorgaben'!$B$87+'Standard Vorgaben'!$C$87</f>
        <v>39</v>
      </c>
      <c r="CD55" s="63">
        <f>'Standard Vorgaben'!$C$31</f>
        <v>32.700000000000003</v>
      </c>
      <c r="CE55" s="45">
        <f t="shared" ref="CE55:CE63" si="58">CC55*CD55</f>
        <v>1275.3000000000002</v>
      </c>
      <c r="CF55" s="44">
        <f>CE55/$CE$69</f>
        <v>1.8874750026569333E-2</v>
      </c>
      <c r="CG55" s="18"/>
      <c r="CH55" s="4" t="s">
        <v>223</v>
      </c>
      <c r="CI55" s="1"/>
      <c r="CJ55" s="48">
        <f>(CI41+CI42)+'Standard Vorgaben'!$B$87+'Standard Vorgaben'!$C$87</f>
        <v>39</v>
      </c>
      <c r="CK55" s="63">
        <f>'Standard Vorgaben'!$C$31</f>
        <v>32.700000000000003</v>
      </c>
      <c r="CL55" s="45">
        <f t="shared" ref="CL55:CL63" si="59">CJ55*CK55</f>
        <v>1275.3000000000002</v>
      </c>
      <c r="CM55" s="44">
        <f>CL55/$CL$69</f>
        <v>1.8793825216268642E-2</v>
      </c>
      <c r="CN55" s="18"/>
      <c r="CO55" s="4" t="s">
        <v>223</v>
      </c>
      <c r="CP55" s="1"/>
      <c r="CQ55" s="48">
        <f>(CP41+CP42)+'Standard Vorgaben'!$B$87+'Standard Vorgaben'!$C$87</f>
        <v>39</v>
      </c>
      <c r="CR55" s="63">
        <f>'Standard Vorgaben'!$C$31</f>
        <v>32.700000000000003</v>
      </c>
      <c r="CS55" s="45">
        <f t="shared" ref="CS55:CS63" si="60">CQ55*CR55</f>
        <v>1275.3000000000002</v>
      </c>
      <c r="CT55" s="44">
        <f>CS55/$CS$69</f>
        <v>1.893514538169444E-2</v>
      </c>
      <c r="CU55" s="18"/>
      <c r="CV55" s="4" t="s">
        <v>223</v>
      </c>
      <c r="CW55" s="1"/>
      <c r="CX55" s="48">
        <f>(CW41+CW42)+'Standard Vorgaben'!$B$87+'Standard Vorgaben'!$C$87</f>
        <v>39</v>
      </c>
      <c r="CY55" s="63">
        <f>'Standard Vorgaben'!$C$31</f>
        <v>32.700000000000003</v>
      </c>
      <c r="CZ55" s="45">
        <f t="shared" ref="CZ55:CZ63" si="61">CX55*CY55</f>
        <v>1275.3000000000002</v>
      </c>
      <c r="DA55" s="44">
        <f>CZ55/$CZ$69</f>
        <v>1.9906924196853859E-2</v>
      </c>
      <c r="DB55" s="18"/>
      <c r="DC55" s="4" t="s">
        <v>223</v>
      </c>
      <c r="DD55" s="1"/>
      <c r="DE55" s="48">
        <f>(DD41+DD42)+'Standard Vorgaben'!$B$87+'Standard Vorgaben'!$C$87</f>
        <v>39</v>
      </c>
      <c r="DF55" s="63">
        <f>'Standard Vorgaben'!$C$31</f>
        <v>32.700000000000003</v>
      </c>
      <c r="DG55" s="45">
        <f t="shared" ref="DG55:DG63" si="62">DE55*DF55</f>
        <v>1275.3000000000002</v>
      </c>
      <c r="DH55" s="44">
        <f>DG55/$DG$69</f>
        <v>1.9091277689839484E-2</v>
      </c>
    </row>
    <row r="56" spans="1:112" x14ac:dyDescent="0.3">
      <c r="B56" s="4" t="str">
        <f>'Standard Vorgaben'!$D$85</f>
        <v>Baumerziehung 
(Sommer+Winter)</v>
      </c>
      <c r="C56" s="47"/>
      <c r="D56" s="48">
        <f>'Standard Vorgaben'!D88</f>
        <v>60</v>
      </c>
      <c r="E56" s="63">
        <f>'Standard Vorgaben'!$C$31</f>
        <v>32.700000000000003</v>
      </c>
      <c r="F56" s="45">
        <f t="shared" si="47"/>
        <v>1962.0000000000002</v>
      </c>
      <c r="G56" s="44">
        <f>F56/$F$69</f>
        <v>0.17542956965365261</v>
      </c>
      <c r="H56" s="18"/>
      <c r="I56" s="4" t="str">
        <f>'Standard Vorgaben'!$D$85</f>
        <v>Baumerziehung 
(Sommer+Winter)</v>
      </c>
      <c r="J56" s="47"/>
      <c r="K56" s="48">
        <f>'Standard Vorgaben'!D89</f>
        <v>60</v>
      </c>
      <c r="L56" s="63">
        <f>'Standard Vorgaben'!$C$31</f>
        <v>32.700000000000003</v>
      </c>
      <c r="M56" s="45">
        <f t="shared" si="48"/>
        <v>1962.0000000000002</v>
      </c>
      <c r="N56" s="44">
        <f>M56/$M$69</f>
        <v>0.17123300780614892</v>
      </c>
      <c r="O56" s="3"/>
      <c r="P56" s="4" t="str">
        <f>'Standard Vorgaben'!$D$85</f>
        <v>Baumerziehung 
(Sommer+Winter)</v>
      </c>
      <c r="Q56" s="47"/>
      <c r="R56" s="48">
        <f>'Standard Vorgaben'!D87</f>
        <v>100</v>
      </c>
      <c r="S56" s="63">
        <f>'Standard Vorgaben'!$C$31</f>
        <v>32.700000000000003</v>
      </c>
      <c r="T56" s="45">
        <f t="shared" si="49"/>
        <v>3270.0000000000005</v>
      </c>
      <c r="U56" s="44">
        <f>T56/$T$69</f>
        <v>4.5568834303389552E-2</v>
      </c>
      <c r="V56" s="18"/>
      <c r="W56" s="4" t="str">
        <f>'Standard Vorgaben'!$D$85</f>
        <v>Baumerziehung 
(Sommer+Winter)</v>
      </c>
      <c r="X56" s="47"/>
      <c r="Y56" s="48">
        <f>'Standard Vorgaben'!$D$87</f>
        <v>100</v>
      </c>
      <c r="Z56" s="63">
        <f>'Standard Vorgaben'!$C$31</f>
        <v>32.700000000000003</v>
      </c>
      <c r="AA56" s="45">
        <f t="shared" si="50"/>
        <v>3270.0000000000005</v>
      </c>
      <c r="AB56" s="44">
        <f>AA56/$AA$69</f>
        <v>9.4417583354346288E-2</v>
      </c>
      <c r="AC56" s="18"/>
      <c r="AD56" s="4" t="str">
        <f>'Standard Vorgaben'!$D$85</f>
        <v>Baumerziehung 
(Sommer+Winter)</v>
      </c>
      <c r="AE56" s="47"/>
      <c r="AF56" s="48">
        <f>'Standard Vorgaben'!$D$87</f>
        <v>100</v>
      </c>
      <c r="AG56" s="63">
        <f>'Standard Vorgaben'!$C$31</f>
        <v>32.700000000000003</v>
      </c>
      <c r="AH56" s="45">
        <f t="shared" si="51"/>
        <v>3270.0000000000005</v>
      </c>
      <c r="AI56" s="44">
        <f>AH56/$AH$69</f>
        <v>5.9369196732425016E-2</v>
      </c>
      <c r="AJ56" s="18"/>
      <c r="AK56" s="4" t="str">
        <f>'Standard Vorgaben'!$D$85</f>
        <v>Baumerziehung 
(Sommer+Winter)</v>
      </c>
      <c r="AL56" s="47"/>
      <c r="AM56" s="48">
        <f>'Standard Vorgaben'!$D$87</f>
        <v>100</v>
      </c>
      <c r="AN56" s="63">
        <f>'Standard Vorgaben'!$C$31</f>
        <v>32.700000000000003</v>
      </c>
      <c r="AO56" s="45">
        <f t="shared" si="52"/>
        <v>3270.0000000000005</v>
      </c>
      <c r="AP56" s="44">
        <f>AO56/$AO$69</f>
        <v>5.1577642695971218E-2</v>
      </c>
      <c r="AQ56" s="18"/>
      <c r="AR56" s="4" t="str">
        <f>'Standard Vorgaben'!$D$85</f>
        <v>Baumerziehung 
(Sommer+Winter)</v>
      </c>
      <c r="AS56" s="47"/>
      <c r="AT56" s="48">
        <f>'Standard Vorgaben'!$D$87</f>
        <v>100</v>
      </c>
      <c r="AU56" s="63">
        <f>'Standard Vorgaben'!$C$31</f>
        <v>32.700000000000003</v>
      </c>
      <c r="AV56" s="45">
        <f t="shared" si="53"/>
        <v>3270.0000000000005</v>
      </c>
      <c r="AW56" s="44">
        <f>AV56/$AV$69</f>
        <v>4.5790300131676058E-2</v>
      </c>
      <c r="AX56" s="18"/>
      <c r="AY56" s="4" t="str">
        <f>'Standard Vorgaben'!$D$85</f>
        <v>Baumerziehung 
(Sommer+Winter)</v>
      </c>
      <c r="AZ56" s="47"/>
      <c r="BA56" s="48">
        <f>'Standard Vorgaben'!$D$87</f>
        <v>100</v>
      </c>
      <c r="BB56" s="63">
        <f>'Standard Vorgaben'!$C$31</f>
        <v>32.700000000000003</v>
      </c>
      <c r="BC56" s="45">
        <f t="shared" si="54"/>
        <v>3270.0000000000005</v>
      </c>
      <c r="BD56" s="44">
        <f>BC56/$BC$69</f>
        <v>4.6170365846075347E-2</v>
      </c>
      <c r="BE56" s="18"/>
      <c r="BF56" s="4" t="str">
        <f>'Standard Vorgaben'!$D$85</f>
        <v>Baumerziehung 
(Sommer+Winter)</v>
      </c>
      <c r="BG56" s="47"/>
      <c r="BH56" s="48">
        <f>'Standard Vorgaben'!$D$87</f>
        <v>100</v>
      </c>
      <c r="BI56" s="63">
        <f>'Standard Vorgaben'!$C$31</f>
        <v>32.700000000000003</v>
      </c>
      <c r="BJ56" s="45">
        <f t="shared" si="55"/>
        <v>3270.0000000000005</v>
      </c>
      <c r="BK56" s="44">
        <f>BJ56/$BJ$69</f>
        <v>4.6257980434385511E-2</v>
      </c>
      <c r="BL56" s="18"/>
      <c r="BM56" s="4" t="str">
        <f>'Standard Vorgaben'!$D$85</f>
        <v>Baumerziehung 
(Sommer+Winter)</v>
      </c>
      <c r="BN56" s="47"/>
      <c r="BO56" s="48">
        <f>'Standard Vorgaben'!$D$87</f>
        <v>100</v>
      </c>
      <c r="BP56" s="63">
        <f>'Standard Vorgaben'!$C$31</f>
        <v>32.700000000000003</v>
      </c>
      <c r="BQ56" s="45">
        <f t="shared" si="56"/>
        <v>3270.0000000000005</v>
      </c>
      <c r="BR56" s="44">
        <f>BQ56/$BQ$69</f>
        <v>2.7562082509222336E-2</v>
      </c>
      <c r="BS56" s="18"/>
      <c r="BT56" s="4" t="str">
        <f>'Standard Vorgaben'!$D$85</f>
        <v>Baumerziehung 
(Sommer+Winter)</v>
      </c>
      <c r="BU56" s="47"/>
      <c r="BV56" s="48">
        <f>'Standard Vorgaben'!$D$87</f>
        <v>100</v>
      </c>
      <c r="BW56" s="63">
        <f>'Standard Vorgaben'!$C$31</f>
        <v>32.700000000000003</v>
      </c>
      <c r="BX56" s="45">
        <f t="shared" si="57"/>
        <v>3270.0000000000005</v>
      </c>
      <c r="BY56" s="44">
        <f>BX56/$BX$69</f>
        <v>4.8319494677052863E-2</v>
      </c>
      <c r="BZ56" s="18"/>
      <c r="CA56" s="4" t="str">
        <f>'Standard Vorgaben'!$D$85</f>
        <v>Baumerziehung 
(Sommer+Winter)</v>
      </c>
      <c r="CB56" s="47"/>
      <c r="CC56" s="48">
        <f>'Standard Vorgaben'!$D$87</f>
        <v>100</v>
      </c>
      <c r="CD56" s="63">
        <f>'Standard Vorgaben'!$C$31</f>
        <v>32.700000000000003</v>
      </c>
      <c r="CE56" s="45">
        <f t="shared" si="58"/>
        <v>3270.0000000000005</v>
      </c>
      <c r="CF56" s="44">
        <f>CE56/$CE$69</f>
        <v>4.8396794939921363E-2</v>
      </c>
      <c r="CG56" s="18"/>
      <c r="CH56" s="4" t="str">
        <f>'Standard Vorgaben'!$D$85</f>
        <v>Baumerziehung 
(Sommer+Winter)</v>
      </c>
      <c r="CI56" s="47"/>
      <c r="CJ56" s="48">
        <f>'Standard Vorgaben'!$D$87</f>
        <v>100</v>
      </c>
      <c r="CK56" s="63">
        <f>'Standard Vorgaben'!$C$31</f>
        <v>32.700000000000003</v>
      </c>
      <c r="CL56" s="45">
        <f t="shared" si="59"/>
        <v>3270.0000000000005</v>
      </c>
      <c r="CM56" s="44">
        <f>CL56/$CL$69</f>
        <v>4.8189295426329853E-2</v>
      </c>
      <c r="CN56" s="18"/>
      <c r="CO56" s="4" t="str">
        <f>'Standard Vorgaben'!$D$85</f>
        <v>Baumerziehung 
(Sommer+Winter)</v>
      </c>
      <c r="CP56" s="47"/>
      <c r="CQ56" s="48">
        <f>'Standard Vorgaben'!$D$87</f>
        <v>100</v>
      </c>
      <c r="CR56" s="63">
        <f>'Standard Vorgaben'!$C$31</f>
        <v>32.700000000000003</v>
      </c>
      <c r="CS56" s="45">
        <f t="shared" si="60"/>
        <v>3270.0000000000005</v>
      </c>
      <c r="CT56" s="44">
        <f>CS56/$CS$69</f>
        <v>4.8551654824857543E-2</v>
      </c>
      <c r="CU56" s="18"/>
      <c r="CV56" s="4" t="str">
        <f>'Standard Vorgaben'!$D$85</f>
        <v>Baumerziehung 
(Sommer+Winter)</v>
      </c>
      <c r="CW56" s="47"/>
      <c r="CX56" s="48">
        <f>'Standard Vorgaben'!$D$87</f>
        <v>100</v>
      </c>
      <c r="CY56" s="63">
        <f>'Standard Vorgaben'!$C$31</f>
        <v>32.700000000000003</v>
      </c>
      <c r="CZ56" s="45">
        <f t="shared" si="61"/>
        <v>3270.0000000000005</v>
      </c>
      <c r="DA56" s="44">
        <f>CZ56/$CZ$69</f>
        <v>5.1043395376548353E-2</v>
      </c>
      <c r="DB56" s="18"/>
      <c r="DC56" s="4" t="str">
        <f>'Standard Vorgaben'!$D$85</f>
        <v>Baumerziehung 
(Sommer+Winter)</v>
      </c>
      <c r="DD56" s="47"/>
      <c r="DE56" s="48">
        <f>'Standard Vorgaben'!$D$87</f>
        <v>100</v>
      </c>
      <c r="DF56" s="63">
        <f>'Standard Vorgaben'!$C$31</f>
        <v>32.700000000000003</v>
      </c>
      <c r="DG56" s="45">
        <f t="shared" si="62"/>
        <v>3270.0000000000005</v>
      </c>
      <c r="DH56" s="44">
        <f>DG56/$DG$69</f>
        <v>4.8951994076511497E-2</v>
      </c>
    </row>
    <row r="57" spans="1:112" x14ac:dyDescent="0.3">
      <c r="B57" s="21" t="s">
        <v>128</v>
      </c>
      <c r="C57" s="47"/>
      <c r="D57" s="429">
        <f>(C46*D46)+(C48*D48)</f>
        <v>6</v>
      </c>
      <c r="E57" s="63">
        <f>'Standard Vorgaben'!$C$31</f>
        <v>32.700000000000003</v>
      </c>
      <c r="F57" s="45">
        <f t="shared" si="47"/>
        <v>196.20000000000002</v>
      </c>
      <c r="G57" s="44">
        <f>F57/$F$69</f>
        <v>1.7542956965365258E-2</v>
      </c>
      <c r="H57" s="18"/>
      <c r="I57" s="4" t="s">
        <v>128</v>
      </c>
      <c r="J57" s="47"/>
      <c r="K57" s="589">
        <f>(J46*K46)+(J48*K48)</f>
        <v>6</v>
      </c>
      <c r="L57" s="63">
        <f>'Standard Vorgaben'!$C$31</f>
        <v>32.700000000000003</v>
      </c>
      <c r="M57" s="45">
        <f t="shared" si="48"/>
        <v>196.20000000000002</v>
      </c>
      <c r="N57" s="44">
        <f>M57/$M$69</f>
        <v>1.7123300780614893E-2</v>
      </c>
      <c r="O57" s="3"/>
      <c r="P57" s="4" t="s">
        <v>128</v>
      </c>
      <c r="Q57" s="47"/>
      <c r="R57" s="429">
        <f>(Q46*R46)+(Q48*R48)</f>
        <v>6</v>
      </c>
      <c r="S57" s="63">
        <f>'Standard Vorgaben'!$C$31</f>
        <v>32.700000000000003</v>
      </c>
      <c r="T57" s="45">
        <f t="shared" si="49"/>
        <v>196.20000000000002</v>
      </c>
      <c r="U57" s="44">
        <f>T57/$T$69</f>
        <v>2.7341300582033731E-3</v>
      </c>
      <c r="V57" s="18"/>
      <c r="W57" s="4" t="s">
        <v>128</v>
      </c>
      <c r="X57" s="47"/>
      <c r="Y57" s="429">
        <f>(X46*Y46)+(X48*Y48)</f>
        <v>6</v>
      </c>
      <c r="Z57" s="63">
        <f>'Standard Vorgaben'!$C$31</f>
        <v>32.700000000000003</v>
      </c>
      <c r="AA57" s="45">
        <f t="shared" si="50"/>
        <v>196.20000000000002</v>
      </c>
      <c r="AB57" s="44">
        <f>AA57/$AA$69</f>
        <v>5.6650550012607766E-3</v>
      </c>
      <c r="AC57" s="18"/>
      <c r="AD57" s="4" t="s">
        <v>128</v>
      </c>
      <c r="AE57" s="47"/>
      <c r="AF57" s="429">
        <f>(AE46*AF46)+(AE48*AF48)</f>
        <v>6</v>
      </c>
      <c r="AG57" s="63">
        <f>'Standard Vorgaben'!$C$31</f>
        <v>32.700000000000003</v>
      </c>
      <c r="AH57" s="45">
        <f t="shared" si="51"/>
        <v>196.20000000000002</v>
      </c>
      <c r="AI57" s="44">
        <f>AH57/$AH$69</f>
        <v>3.5621518039455008E-3</v>
      </c>
      <c r="AJ57" s="18"/>
      <c r="AK57" s="4" t="s">
        <v>128</v>
      </c>
      <c r="AL57" s="47"/>
      <c r="AM57" s="429">
        <f>(AL46*AM46)+(AL48*AM48)</f>
        <v>6</v>
      </c>
      <c r="AN57" s="63">
        <f>'Standard Vorgaben'!$C$31</f>
        <v>32.700000000000003</v>
      </c>
      <c r="AO57" s="45">
        <f t="shared" si="52"/>
        <v>196.20000000000002</v>
      </c>
      <c r="AP57" s="44">
        <f>AO57/$AO$69</f>
        <v>3.0946585617582728E-3</v>
      </c>
      <c r="AQ57" s="18"/>
      <c r="AR57" s="4" t="s">
        <v>128</v>
      </c>
      <c r="AS57" s="47"/>
      <c r="AT57" s="429">
        <f>(AS46*AT46)+(AS48*AT48)</f>
        <v>6</v>
      </c>
      <c r="AU57" s="63">
        <f>'Standard Vorgaben'!$C$31</f>
        <v>32.700000000000003</v>
      </c>
      <c r="AV57" s="45">
        <f t="shared" si="53"/>
        <v>196.20000000000002</v>
      </c>
      <c r="AW57" s="44">
        <f>AV57/$AV$69</f>
        <v>2.7474180079005636E-3</v>
      </c>
      <c r="AX57" s="18"/>
      <c r="AY57" s="4" t="s">
        <v>128</v>
      </c>
      <c r="AZ57" s="47"/>
      <c r="BA57" s="429">
        <f>(AZ46*BA46)+(AZ48*BA48)</f>
        <v>6</v>
      </c>
      <c r="BB57" s="63">
        <f>'Standard Vorgaben'!$C$31</f>
        <v>32.700000000000003</v>
      </c>
      <c r="BC57" s="45">
        <f t="shared" si="54"/>
        <v>196.20000000000002</v>
      </c>
      <c r="BD57" s="44">
        <f>BC57/$BC$69</f>
        <v>2.7702219507645203E-3</v>
      </c>
      <c r="BE57" s="18"/>
      <c r="BF57" s="4" t="s">
        <v>128</v>
      </c>
      <c r="BG57" s="47"/>
      <c r="BH57" s="429">
        <f>(BG46*BH46)+(BG48*BH48)</f>
        <v>6</v>
      </c>
      <c r="BI57" s="63">
        <f>'Standard Vorgaben'!$C$31</f>
        <v>32.700000000000003</v>
      </c>
      <c r="BJ57" s="45">
        <f t="shared" si="55"/>
        <v>196.20000000000002</v>
      </c>
      <c r="BK57" s="44">
        <f>BJ57/$BJ$69</f>
        <v>2.7754788260631307E-3</v>
      </c>
      <c r="BL57" s="18"/>
      <c r="BM57" s="4" t="s">
        <v>128</v>
      </c>
      <c r="BN57" s="47"/>
      <c r="BO57" s="429">
        <f>(BN46*BO46)+(BN48*BO48)</f>
        <v>6</v>
      </c>
      <c r="BP57" s="63">
        <f>'Standard Vorgaben'!$C$31</f>
        <v>32.700000000000003</v>
      </c>
      <c r="BQ57" s="45">
        <f t="shared" si="56"/>
        <v>196.20000000000002</v>
      </c>
      <c r="BR57" s="44">
        <f>BQ57/$BQ$69</f>
        <v>1.6537249505533401E-3</v>
      </c>
      <c r="BS57" s="18"/>
      <c r="BT57" s="4" t="s">
        <v>128</v>
      </c>
      <c r="BU57" s="47"/>
      <c r="BV57" s="429">
        <f>(BU46*BV46)+(BU48*BV48)</f>
        <v>6</v>
      </c>
      <c r="BW57" s="63">
        <f>'Standard Vorgaben'!$C$31</f>
        <v>32.700000000000003</v>
      </c>
      <c r="BX57" s="45">
        <f t="shared" si="57"/>
        <v>196.20000000000002</v>
      </c>
      <c r="BY57" s="44">
        <f>BX57/$BX$69</f>
        <v>2.8991696806231716E-3</v>
      </c>
      <c r="BZ57" s="18"/>
      <c r="CA57" s="4" t="s">
        <v>128</v>
      </c>
      <c r="CB57" s="47"/>
      <c r="CC57" s="429">
        <f>(CB46*CC46)+(CB48*CC48)</f>
        <v>6</v>
      </c>
      <c r="CD57" s="63">
        <f>'Standard Vorgaben'!$C$31</f>
        <v>32.700000000000003</v>
      </c>
      <c r="CE57" s="45">
        <f t="shared" si="58"/>
        <v>196.20000000000002</v>
      </c>
      <c r="CF57" s="44">
        <f>CE57/$CE$69</f>
        <v>2.9038076963952817E-3</v>
      </c>
      <c r="CG57" s="18"/>
      <c r="CH57" s="4" t="s">
        <v>128</v>
      </c>
      <c r="CI57" s="47"/>
      <c r="CJ57" s="429">
        <f>(CI46*CJ46)+(CI48*CJ48)</f>
        <v>6</v>
      </c>
      <c r="CK57" s="63">
        <f>'Standard Vorgaben'!$C$31</f>
        <v>32.700000000000003</v>
      </c>
      <c r="CL57" s="45">
        <f t="shared" si="59"/>
        <v>196.20000000000002</v>
      </c>
      <c r="CM57" s="44">
        <f>CL57/$CL$69</f>
        <v>2.8913577255797909E-3</v>
      </c>
      <c r="CN57" s="18"/>
      <c r="CO57" s="4" t="s">
        <v>128</v>
      </c>
      <c r="CP57" s="47"/>
      <c r="CQ57" s="429">
        <f>(CP46*CQ46)+(CP48*CQ48)</f>
        <v>6</v>
      </c>
      <c r="CR57" s="63">
        <f>'Standard Vorgaben'!$C$31</f>
        <v>32.700000000000003</v>
      </c>
      <c r="CS57" s="45">
        <f t="shared" si="60"/>
        <v>196.20000000000002</v>
      </c>
      <c r="CT57" s="44">
        <f>CS57/$CS$69</f>
        <v>2.9130992894914522E-3</v>
      </c>
      <c r="CU57" s="18"/>
      <c r="CV57" s="4" t="s">
        <v>128</v>
      </c>
      <c r="CW57" s="47"/>
      <c r="CX57" s="429">
        <f>(CW46*CX46)+(CW48*CX48)</f>
        <v>6</v>
      </c>
      <c r="CY57" s="63">
        <f>'Standard Vorgaben'!$C$31</f>
        <v>32.700000000000003</v>
      </c>
      <c r="CZ57" s="45">
        <f t="shared" si="61"/>
        <v>196.20000000000002</v>
      </c>
      <c r="DA57" s="44">
        <f>CZ57/$CZ$69</f>
        <v>3.062603722592901E-3</v>
      </c>
      <c r="DB57" s="18"/>
      <c r="DC57" s="4" t="s">
        <v>128</v>
      </c>
      <c r="DD57" s="47"/>
      <c r="DE57" s="429">
        <f>(DD46*DE46)+(DD48*DE48)</f>
        <v>6</v>
      </c>
      <c r="DF57" s="63">
        <f>'Standard Vorgaben'!$C$31</f>
        <v>32.700000000000003</v>
      </c>
      <c r="DG57" s="45">
        <f t="shared" si="62"/>
        <v>196.20000000000002</v>
      </c>
      <c r="DH57" s="44">
        <f>DG57/$DG$69</f>
        <v>2.9371196445906896E-3</v>
      </c>
    </row>
    <row r="58" spans="1:112" ht="12" customHeight="1" x14ac:dyDescent="0.3">
      <c r="B58" s="21" t="s">
        <v>129</v>
      </c>
      <c r="C58" s="1"/>
      <c r="D58" s="48">
        <v>0</v>
      </c>
      <c r="E58" s="63">
        <f>'Standard Vorgaben'!$C$30</f>
        <v>22.62</v>
      </c>
      <c r="F58" s="45">
        <f t="shared" si="47"/>
        <v>0</v>
      </c>
      <c r="G58" s="44">
        <f>F58/$F$69</f>
        <v>0</v>
      </c>
      <c r="H58" s="18"/>
      <c r="I58" s="4" t="s">
        <v>129</v>
      </c>
      <c r="J58" s="1"/>
      <c r="K58" s="48">
        <f>'Standard Vorgaben'!E89+(J42*K42)</f>
        <v>2</v>
      </c>
      <c r="L58" s="63">
        <f>'Standard Vorgaben'!$C$30</f>
        <v>22.62</v>
      </c>
      <c r="M58" s="45">
        <f t="shared" si="48"/>
        <v>45.24</v>
      </c>
      <c r="N58" s="44">
        <f>M58/$M$69</f>
        <v>3.9483084980378065E-3</v>
      </c>
      <c r="O58" s="3"/>
      <c r="P58" s="4" t="s">
        <v>129</v>
      </c>
      <c r="Q58" s="1"/>
      <c r="R58" s="48">
        <f>'Standard Vorgaben'!E87+(Q42*R42)</f>
        <v>3</v>
      </c>
      <c r="S58" s="63">
        <f>'Standard Vorgaben'!$C$30</f>
        <v>22.62</v>
      </c>
      <c r="T58" s="45">
        <f t="shared" si="49"/>
        <v>67.86</v>
      </c>
      <c r="U58" s="44">
        <f>T58/$T$69</f>
        <v>9.4565782747034087E-4</v>
      </c>
      <c r="V58" s="18"/>
      <c r="W58" s="4" t="s">
        <v>129</v>
      </c>
      <c r="X58" s="1"/>
      <c r="Y58" s="48">
        <f>'Standard Vorgaben'!$E$87+(X42*Y42)</f>
        <v>3</v>
      </c>
      <c r="Z58" s="63">
        <f>'Standard Vorgaben'!$C$30</f>
        <v>22.62</v>
      </c>
      <c r="AA58" s="45">
        <f t="shared" si="50"/>
        <v>67.86</v>
      </c>
      <c r="AB58" s="44">
        <f>AA58/$AA$69</f>
        <v>1.9593814086929472E-3</v>
      </c>
      <c r="AC58" s="18"/>
      <c r="AD58" s="4" t="s">
        <v>129</v>
      </c>
      <c r="AE58" s="1"/>
      <c r="AF58" s="48">
        <f>'Standard Vorgaben'!$E$87+(AE42*AF42)</f>
        <v>3</v>
      </c>
      <c r="AG58" s="63">
        <f>'Standard Vorgaben'!$C$30</f>
        <v>22.62</v>
      </c>
      <c r="AH58" s="45">
        <f t="shared" si="51"/>
        <v>67.86</v>
      </c>
      <c r="AI58" s="44">
        <f>AH58/$AH$69</f>
        <v>1.2320470000802327E-3</v>
      </c>
      <c r="AJ58" s="18"/>
      <c r="AK58" s="4" t="s">
        <v>129</v>
      </c>
      <c r="AL58" s="1"/>
      <c r="AM58" s="48">
        <f>'Standard Vorgaben'!$E$87+(AL42*AM42)</f>
        <v>3</v>
      </c>
      <c r="AN58" s="63">
        <f>'Standard Vorgaben'!$C$30</f>
        <v>22.62</v>
      </c>
      <c r="AO58" s="45">
        <f t="shared" si="52"/>
        <v>67.86</v>
      </c>
      <c r="AP58" s="44">
        <f>AO58/$AO$69</f>
        <v>1.0703543832870355E-3</v>
      </c>
      <c r="AQ58" s="18"/>
      <c r="AR58" s="4" t="s">
        <v>129</v>
      </c>
      <c r="AS58" s="1"/>
      <c r="AT58" s="48">
        <f>'Standard Vorgaben'!$E$87+(AS42*AT42)</f>
        <v>3</v>
      </c>
      <c r="AU58" s="63">
        <f>'Standard Vorgaben'!$C$30</f>
        <v>22.62</v>
      </c>
      <c r="AV58" s="45">
        <f t="shared" si="53"/>
        <v>67.86</v>
      </c>
      <c r="AW58" s="44">
        <f>AV58/$AV$69</f>
        <v>9.5025375135643331E-4</v>
      </c>
      <c r="AX58" s="18"/>
      <c r="AY58" s="4" t="s">
        <v>129</v>
      </c>
      <c r="AZ58" s="1"/>
      <c r="BA58" s="48">
        <f>'Standard Vorgaben'!$E$87+(AZ42*BA42)</f>
        <v>3</v>
      </c>
      <c r="BB58" s="63">
        <f>'Standard Vorgaben'!$C$30</f>
        <v>22.62</v>
      </c>
      <c r="BC58" s="45">
        <f t="shared" si="54"/>
        <v>67.86</v>
      </c>
      <c r="BD58" s="44">
        <f>BC58/$BC$69</f>
        <v>9.5814098664057253E-4</v>
      </c>
      <c r="BE58" s="18"/>
      <c r="BF58" s="4" t="s">
        <v>129</v>
      </c>
      <c r="BG58" s="1"/>
      <c r="BH58" s="48">
        <f>'Standard Vorgaben'!$E$87+(BG42*BH42)</f>
        <v>3</v>
      </c>
      <c r="BI58" s="63">
        <f>'Standard Vorgaben'!$C$30</f>
        <v>22.62</v>
      </c>
      <c r="BJ58" s="45">
        <f t="shared" si="55"/>
        <v>67.86</v>
      </c>
      <c r="BK58" s="44">
        <f>BJ58/$BJ$69</f>
        <v>9.5995919029889917E-4</v>
      </c>
      <c r="BL58" s="18"/>
      <c r="BM58" s="4" t="s">
        <v>129</v>
      </c>
      <c r="BN58" s="1"/>
      <c r="BO58" s="48">
        <f>'Standard Vorgaben'!$E$87+(BN42*BO42)</f>
        <v>3</v>
      </c>
      <c r="BP58" s="63">
        <f>'Standard Vorgaben'!$C$30</f>
        <v>22.62</v>
      </c>
      <c r="BQ58" s="45">
        <f t="shared" si="56"/>
        <v>67.86</v>
      </c>
      <c r="BR58" s="44">
        <f>BQ58/$BQ$69</f>
        <v>5.7197642785193506E-4</v>
      </c>
      <c r="BS58" s="18"/>
      <c r="BT58" s="4" t="s">
        <v>129</v>
      </c>
      <c r="BU58" s="1"/>
      <c r="BV58" s="48">
        <f>'Standard Vorgaben'!$E$87+(BU42*BV42)</f>
        <v>3</v>
      </c>
      <c r="BW58" s="63">
        <f>'Standard Vorgaben'!$C$30</f>
        <v>22.62</v>
      </c>
      <c r="BX58" s="45">
        <f t="shared" si="57"/>
        <v>67.86</v>
      </c>
      <c r="BY58" s="44">
        <f>BX58/$BX$69</f>
        <v>1.0027403390779227E-3</v>
      </c>
      <c r="BZ58" s="18"/>
      <c r="CA58" s="4" t="s">
        <v>129</v>
      </c>
      <c r="CB58" s="1"/>
      <c r="CC58" s="48">
        <f>'Standard Vorgaben'!$E$87+(CB42*CC42)</f>
        <v>3</v>
      </c>
      <c r="CD58" s="63">
        <f>'Standard Vorgaben'!$C$30</f>
        <v>22.62</v>
      </c>
      <c r="CE58" s="45">
        <f t="shared" si="58"/>
        <v>67.86</v>
      </c>
      <c r="CF58" s="44">
        <f>CE58/$CE$69</f>
        <v>1.0043444968266249E-3</v>
      </c>
      <c r="CG58" s="18"/>
      <c r="CH58" s="4" t="s">
        <v>129</v>
      </c>
      <c r="CI58" s="1"/>
      <c r="CJ58" s="48">
        <f>'Standard Vorgaben'!$E$87+(CI42*CJ42)</f>
        <v>3</v>
      </c>
      <c r="CK58" s="63">
        <f>'Standard Vorgaben'!$C$30</f>
        <v>22.62</v>
      </c>
      <c r="CL58" s="45">
        <f t="shared" si="59"/>
        <v>67.86</v>
      </c>
      <c r="CM58" s="44">
        <f>CL58/$CL$69</f>
        <v>1.0000384060032854E-3</v>
      </c>
      <c r="CN58" s="18"/>
      <c r="CO58" s="4" t="s">
        <v>129</v>
      </c>
      <c r="CP58" s="1"/>
      <c r="CQ58" s="48">
        <f>'Standard Vorgaben'!$E$87+(CP42*CQ42)</f>
        <v>3</v>
      </c>
      <c r="CR58" s="63">
        <f>'Standard Vorgaben'!$C$30</f>
        <v>22.62</v>
      </c>
      <c r="CS58" s="45">
        <f t="shared" si="60"/>
        <v>67.86</v>
      </c>
      <c r="CT58" s="44">
        <f>CS58/$CS$69</f>
        <v>1.0075581946222729E-3</v>
      </c>
      <c r="CU58" s="18"/>
      <c r="CV58" s="4" t="s">
        <v>129</v>
      </c>
      <c r="CW58" s="1"/>
      <c r="CX58" s="48">
        <f>'Standard Vorgaben'!$E$87+(CW42*CX42)</f>
        <v>3</v>
      </c>
      <c r="CY58" s="63">
        <f>'Standard Vorgaben'!$C$30</f>
        <v>22.62</v>
      </c>
      <c r="CZ58" s="45">
        <f t="shared" si="61"/>
        <v>67.86</v>
      </c>
      <c r="DA58" s="44">
        <f>CZ58/$CZ$69</f>
        <v>1.0592675260711224E-3</v>
      </c>
      <c r="DB58" s="18"/>
      <c r="DC58" s="4" t="s">
        <v>129</v>
      </c>
      <c r="DD58" s="1"/>
      <c r="DE58" s="48">
        <f>'Standard Vorgaben'!$E$87+(DD42*DE42)</f>
        <v>3</v>
      </c>
      <c r="DF58" s="63">
        <f>'Standard Vorgaben'!$C$30</f>
        <v>22.62</v>
      </c>
      <c r="DG58" s="45">
        <f t="shared" si="62"/>
        <v>67.86</v>
      </c>
      <c r="DH58" s="44">
        <f>DG58/$DG$69</f>
        <v>1.0158661523033852E-3</v>
      </c>
    </row>
    <row r="59" spans="1:112" x14ac:dyDescent="0.3">
      <c r="B59" t="s">
        <v>225</v>
      </c>
      <c r="C59" s="266"/>
      <c r="D59" s="47">
        <v>0</v>
      </c>
      <c r="E59" s="63">
        <f>'Standard Vorgaben'!$C$30</f>
        <v>22.62</v>
      </c>
      <c r="F59" s="45">
        <f t="shared" si="47"/>
        <v>0</v>
      </c>
      <c r="G59" s="44">
        <f t="shared" ref="G59:G69" si="63">F59/$F$69</f>
        <v>0</v>
      </c>
      <c r="H59" s="18"/>
      <c r="I59" s="1" t="s">
        <v>225</v>
      </c>
      <c r="J59" s="266"/>
      <c r="K59" s="47">
        <v>0</v>
      </c>
      <c r="L59" s="63">
        <f>'Standard Vorgaben'!$C$30</f>
        <v>22.62</v>
      </c>
      <c r="M59" s="45">
        <f t="shared" si="48"/>
        <v>0</v>
      </c>
      <c r="N59" s="44">
        <f t="shared" ref="N59:N69" si="64">M59/$M$69</f>
        <v>0</v>
      </c>
      <c r="O59" s="3"/>
      <c r="P59" s="762" t="s">
        <v>248</v>
      </c>
      <c r="Q59" s="266"/>
      <c r="R59" s="47">
        <f>'Standard Erstellung'!$D$121+'Standard Erstellung'!$D$125</f>
        <v>170</v>
      </c>
      <c r="S59" s="63">
        <f>'Standard Vorgaben'!$C$30</f>
        <v>22.62</v>
      </c>
      <c r="T59" s="45">
        <f t="shared" si="49"/>
        <v>3845.4</v>
      </c>
      <c r="U59" s="44">
        <f t="shared" ref="U59:U69" si="65">T59/$T$69</f>
        <v>5.3587276889985984E-2</v>
      </c>
      <c r="V59" s="18"/>
      <c r="W59" s="1" t="s">
        <v>254</v>
      </c>
      <c r="X59" s="266"/>
      <c r="Y59" s="47">
        <f>'Standard Erstellung'!$D$124+'Standard Erstellung'!$D$125</f>
        <v>40</v>
      </c>
      <c r="Z59" s="63">
        <f>'Standard Vorgaben'!$C$30</f>
        <v>22.62</v>
      </c>
      <c r="AA59" s="45">
        <f t="shared" si="50"/>
        <v>904.80000000000007</v>
      </c>
      <c r="AB59" s="44">
        <f t="shared" ref="AB59:AB69" si="66">AA59/$AA$69</f>
        <v>2.6125085449239301E-2</v>
      </c>
      <c r="AC59" s="18"/>
      <c r="AD59" s="1" t="s">
        <v>225</v>
      </c>
      <c r="AE59" s="266"/>
      <c r="AF59" s="47">
        <f>'Standard Erstellung'!$D$124+'Standard Erstellung'!$D$125</f>
        <v>40</v>
      </c>
      <c r="AG59" s="63">
        <f>'Standard Vorgaben'!$C$30</f>
        <v>22.62</v>
      </c>
      <c r="AH59" s="45">
        <f t="shared" si="51"/>
        <v>904.80000000000007</v>
      </c>
      <c r="AI59" s="44">
        <f t="shared" ref="AI59:AI69" si="67">AH59/$AH$69</f>
        <v>1.6427293334403105E-2</v>
      </c>
      <c r="AJ59" s="18"/>
      <c r="AK59" s="1" t="s">
        <v>225</v>
      </c>
      <c r="AL59" s="266"/>
      <c r="AM59" s="47">
        <f>'Standard Erstellung'!$D$124+'Standard Erstellung'!$D$125</f>
        <v>40</v>
      </c>
      <c r="AN59" s="63">
        <f>'Standard Vorgaben'!$C$30</f>
        <v>22.62</v>
      </c>
      <c r="AO59" s="45">
        <f t="shared" si="52"/>
        <v>904.80000000000007</v>
      </c>
      <c r="AP59" s="44">
        <f t="shared" ref="AP59:AP69" si="68">AO59/$AO$69</f>
        <v>1.4271391777160476E-2</v>
      </c>
      <c r="AQ59" s="18"/>
      <c r="AR59" s="1" t="s">
        <v>225</v>
      </c>
      <c r="AS59" s="266"/>
      <c r="AT59" s="47">
        <f>'Standard Erstellung'!$D$124+'Standard Erstellung'!$D$125</f>
        <v>40</v>
      </c>
      <c r="AU59" s="63">
        <f>'Standard Vorgaben'!$C$30</f>
        <v>22.62</v>
      </c>
      <c r="AV59" s="45">
        <f t="shared" si="53"/>
        <v>904.80000000000007</v>
      </c>
      <c r="AW59" s="44">
        <f t="shared" ref="AW59:AW69" si="69">AV59/$AV$69</f>
        <v>1.2670050018085778E-2</v>
      </c>
      <c r="AX59" s="18"/>
      <c r="AY59" s="1" t="s">
        <v>225</v>
      </c>
      <c r="AZ59" s="266"/>
      <c r="BA59" s="47">
        <f>'Standard Erstellung'!$D$124+'Standard Erstellung'!$D$125</f>
        <v>40</v>
      </c>
      <c r="BB59" s="63">
        <f>'Standard Vorgaben'!$C$30</f>
        <v>22.62</v>
      </c>
      <c r="BC59" s="45">
        <f t="shared" si="54"/>
        <v>904.80000000000007</v>
      </c>
      <c r="BD59" s="44">
        <f t="shared" ref="BD59:BD69" si="70">BC59/$BC$69</f>
        <v>1.2775213155207635E-2</v>
      </c>
      <c r="BE59" s="18"/>
      <c r="BF59" s="1" t="s">
        <v>225</v>
      </c>
      <c r="BG59" s="266"/>
      <c r="BH59" s="47">
        <f>'Standard Erstellung'!$D$124+'Standard Erstellung'!$D$125</f>
        <v>40</v>
      </c>
      <c r="BI59" s="63">
        <f>'Standard Vorgaben'!$C$30</f>
        <v>22.62</v>
      </c>
      <c r="BJ59" s="45">
        <f t="shared" si="55"/>
        <v>904.80000000000007</v>
      </c>
      <c r="BK59" s="44">
        <f t="shared" ref="BK59:BK69" si="71">BJ59/$BJ$69</f>
        <v>1.2799455870651991E-2</v>
      </c>
      <c r="BL59" s="18"/>
      <c r="BM59" s="762" t="s">
        <v>248</v>
      </c>
      <c r="BN59" s="266"/>
      <c r="BO59" s="47">
        <f>'Standard Erstellung'!$D$121+'Standard Erstellung'!$D$125</f>
        <v>170</v>
      </c>
      <c r="BP59" s="63">
        <f>'Standard Vorgaben'!$C$30</f>
        <v>22.62</v>
      </c>
      <c r="BQ59" s="45">
        <f t="shared" si="56"/>
        <v>3845.4</v>
      </c>
      <c r="BR59" s="44">
        <f t="shared" ref="BR59:BR69" si="72">BQ59/$BQ$69</f>
        <v>3.2411997578276321E-2</v>
      </c>
      <c r="BS59" s="18"/>
      <c r="BT59" s="1" t="s">
        <v>225</v>
      </c>
      <c r="BU59" s="266"/>
      <c r="BV59" s="47">
        <f>'Standard Erstellung'!$D$124+'Standard Erstellung'!$D$125</f>
        <v>40</v>
      </c>
      <c r="BW59" s="63">
        <f>'Standard Vorgaben'!$C$30</f>
        <v>22.62</v>
      </c>
      <c r="BX59" s="45">
        <f t="shared" si="57"/>
        <v>904.80000000000007</v>
      </c>
      <c r="BY59" s="44">
        <f t="shared" ref="BY59:BY69" si="73">BX59/$BX$69</f>
        <v>1.3369871187705636E-2</v>
      </c>
      <c r="BZ59" s="18"/>
      <c r="CA59" s="1" t="s">
        <v>225</v>
      </c>
      <c r="CB59" s="266"/>
      <c r="CC59" s="47">
        <f>'Standard Erstellung'!$D$124+'Standard Erstellung'!$D$125</f>
        <v>40</v>
      </c>
      <c r="CD59" s="63">
        <f>'Standard Vorgaben'!$C$30</f>
        <v>22.62</v>
      </c>
      <c r="CE59" s="45">
        <f t="shared" si="58"/>
        <v>904.80000000000007</v>
      </c>
      <c r="CF59" s="44">
        <f t="shared" ref="CF59:CF69" si="74">CE59/$CE$69</f>
        <v>1.3391259957688332E-2</v>
      </c>
      <c r="CG59" s="18"/>
      <c r="CH59" s="1" t="s">
        <v>225</v>
      </c>
      <c r="CI59" s="266"/>
      <c r="CJ59" s="47">
        <f>'Standard Erstellung'!$D$124+'Standard Erstellung'!$D$125</f>
        <v>40</v>
      </c>
      <c r="CK59" s="63">
        <f>'Standard Vorgaben'!$C$30</f>
        <v>22.62</v>
      </c>
      <c r="CL59" s="45">
        <f t="shared" si="59"/>
        <v>904.80000000000007</v>
      </c>
      <c r="CM59" s="44">
        <f t="shared" ref="CM59:CM69" si="75">CL59/$CL$69</f>
        <v>1.333384541337714E-2</v>
      </c>
      <c r="CN59" s="18"/>
      <c r="CO59" s="1" t="s">
        <v>225</v>
      </c>
      <c r="CP59" s="266"/>
      <c r="CQ59" s="47">
        <f>'Standard Erstellung'!$D$124+'Standard Erstellung'!$D$125</f>
        <v>40</v>
      </c>
      <c r="CR59" s="63">
        <f>'Standard Vorgaben'!$C$30</f>
        <v>22.62</v>
      </c>
      <c r="CS59" s="45">
        <f t="shared" si="60"/>
        <v>904.80000000000007</v>
      </c>
      <c r="CT59" s="44">
        <f t="shared" ref="CT59:CT69" si="76">CS59/$CS$69</f>
        <v>1.3434109261630307E-2</v>
      </c>
      <c r="CU59" s="18"/>
      <c r="CV59" s="1" t="s">
        <v>225</v>
      </c>
      <c r="CW59" s="266"/>
      <c r="CX59" s="47">
        <f>'Standard Erstellung'!$D$124+'Standard Erstellung'!$D$125</f>
        <v>40</v>
      </c>
      <c r="CY59" s="63">
        <f>'Standard Vorgaben'!$C$30</f>
        <v>22.62</v>
      </c>
      <c r="CZ59" s="45">
        <f t="shared" si="61"/>
        <v>904.80000000000007</v>
      </c>
      <c r="DA59" s="44">
        <f t="shared" ref="DA59:DA69" si="77">CZ59/$CZ$69</f>
        <v>1.4123567014281635E-2</v>
      </c>
      <c r="DB59" s="18"/>
      <c r="DC59" s="1" t="s">
        <v>225</v>
      </c>
      <c r="DD59" s="266"/>
      <c r="DE59" s="47">
        <f>'Standard Erstellung'!$D$124+'Standard Erstellung'!$D$125</f>
        <v>40</v>
      </c>
      <c r="DF59" s="63">
        <f>'Standard Vorgaben'!$C$30</f>
        <v>22.62</v>
      </c>
      <c r="DG59" s="45">
        <f t="shared" si="62"/>
        <v>904.80000000000007</v>
      </c>
      <c r="DH59" s="44">
        <f t="shared" ref="DH59:DH69" si="78">DG59/$DG$69</f>
        <v>1.3544882030711804E-2</v>
      </c>
    </row>
    <row r="60" spans="1:112" s="1" customFormat="1" x14ac:dyDescent="0.3">
      <c r="A60" s="3"/>
      <c r="B60" s="1" t="s">
        <v>460</v>
      </c>
      <c r="C60" s="266"/>
      <c r="D60" s="47">
        <v>0</v>
      </c>
      <c r="E60" s="63">
        <f>'Standard Vorgaben'!$C$30</f>
        <v>22.62</v>
      </c>
      <c r="F60" s="45">
        <f t="shared" si="47"/>
        <v>0</v>
      </c>
      <c r="G60" s="410">
        <f t="shared" si="63"/>
        <v>0</v>
      </c>
      <c r="H60" s="3"/>
      <c r="I60" s="1" t="s">
        <v>460</v>
      </c>
      <c r="J60" s="266"/>
      <c r="K60" s="47">
        <v>0</v>
      </c>
      <c r="L60" s="63">
        <f>'Standard Vorgaben'!$C$30</f>
        <v>22.62</v>
      </c>
      <c r="M60" s="45">
        <f t="shared" si="48"/>
        <v>0</v>
      </c>
      <c r="N60" s="410">
        <f t="shared" si="64"/>
        <v>0</v>
      </c>
      <c r="O60" s="3"/>
      <c r="P60" s="1" t="s">
        <v>460</v>
      </c>
      <c r="Q60" s="266"/>
      <c r="R60" s="47">
        <f>'Standard Erstellung'!$D$133</f>
        <v>20</v>
      </c>
      <c r="S60" s="63">
        <f>'Standard Vorgaben'!$C$30</f>
        <v>22.62</v>
      </c>
      <c r="T60" s="45">
        <f t="shared" si="49"/>
        <v>452.40000000000003</v>
      </c>
      <c r="U60" s="410">
        <f t="shared" si="65"/>
        <v>6.3043855164689397E-3</v>
      </c>
      <c r="V60" s="3"/>
      <c r="W60" s="1" t="s">
        <v>460</v>
      </c>
      <c r="X60" s="266"/>
      <c r="Y60" s="47">
        <f>'Standard Erstellung'!$D$133</f>
        <v>20</v>
      </c>
      <c r="Z60" s="63">
        <f>'Standard Vorgaben'!$C$30</f>
        <v>22.62</v>
      </c>
      <c r="AA60" s="45">
        <f t="shared" si="50"/>
        <v>452.40000000000003</v>
      </c>
      <c r="AB60" s="410">
        <f t="shared" si="66"/>
        <v>1.3062542724619651E-2</v>
      </c>
      <c r="AC60" s="3"/>
      <c r="AD60" s="1" t="s">
        <v>460</v>
      </c>
      <c r="AE60" s="266"/>
      <c r="AF60" s="47">
        <f>'Standard Erstellung'!$D$133</f>
        <v>20</v>
      </c>
      <c r="AG60" s="63">
        <f>'Standard Vorgaben'!$C$30</f>
        <v>22.62</v>
      </c>
      <c r="AH60" s="45">
        <f t="shared" si="51"/>
        <v>452.40000000000003</v>
      </c>
      <c r="AI60" s="410">
        <f t="shared" si="67"/>
        <v>8.2136466672015525E-3</v>
      </c>
      <c r="AJ60" s="3"/>
      <c r="AK60" s="1" t="s">
        <v>460</v>
      </c>
      <c r="AL60" s="266"/>
      <c r="AM60" s="47">
        <f>'Standard Erstellung'!$D$133</f>
        <v>20</v>
      </c>
      <c r="AN60" s="63">
        <f>'Standard Vorgaben'!$C$30</f>
        <v>22.62</v>
      </c>
      <c r="AO60" s="45">
        <f t="shared" si="52"/>
        <v>452.40000000000003</v>
      </c>
      <c r="AP60" s="410">
        <f t="shared" si="68"/>
        <v>7.1356958885802381E-3</v>
      </c>
      <c r="AQ60" s="3"/>
      <c r="AR60" s="1" t="s">
        <v>460</v>
      </c>
      <c r="AS60" s="266"/>
      <c r="AT60" s="47">
        <f>'Standard Erstellung'!$D$133</f>
        <v>20</v>
      </c>
      <c r="AU60" s="63">
        <f>'Standard Vorgaben'!$C$30</f>
        <v>22.62</v>
      </c>
      <c r="AV60" s="45">
        <f t="shared" si="53"/>
        <v>452.40000000000003</v>
      </c>
      <c r="AW60" s="410">
        <f t="shared" si="69"/>
        <v>6.335025009042889E-3</v>
      </c>
      <c r="AX60" s="3"/>
      <c r="AY60" s="1" t="s">
        <v>460</v>
      </c>
      <c r="AZ60" s="266"/>
      <c r="BA60" s="47">
        <f>'Standard Erstellung'!$D$133</f>
        <v>20</v>
      </c>
      <c r="BB60" s="63">
        <f>'Standard Vorgaben'!$C$30</f>
        <v>22.62</v>
      </c>
      <c r="BC60" s="45">
        <f t="shared" si="54"/>
        <v>452.40000000000003</v>
      </c>
      <c r="BD60" s="410">
        <f t="shared" si="70"/>
        <v>6.3876065776038177E-3</v>
      </c>
      <c r="BE60" s="3"/>
      <c r="BF60" s="1" t="s">
        <v>460</v>
      </c>
      <c r="BG60" s="266"/>
      <c r="BH60" s="47">
        <f>'Standard Erstellung'!$D$133</f>
        <v>20</v>
      </c>
      <c r="BI60" s="63">
        <f>'Standard Vorgaben'!$C$30</f>
        <v>22.62</v>
      </c>
      <c r="BJ60" s="45">
        <f t="shared" si="55"/>
        <v>452.40000000000003</v>
      </c>
      <c r="BK60" s="410">
        <f t="shared" si="71"/>
        <v>6.3997279353259955E-3</v>
      </c>
      <c r="BL60" s="3"/>
      <c r="BM60" s="1" t="s">
        <v>460</v>
      </c>
      <c r="BN60" s="266"/>
      <c r="BO60" s="47">
        <f>'Standard Erstellung'!$D$133</f>
        <v>20</v>
      </c>
      <c r="BP60" s="63">
        <f>'Standard Vorgaben'!$C$30</f>
        <v>22.62</v>
      </c>
      <c r="BQ60" s="45">
        <f t="shared" si="56"/>
        <v>452.40000000000003</v>
      </c>
      <c r="BR60" s="410">
        <f t="shared" si="72"/>
        <v>3.8131761856795674E-3</v>
      </c>
      <c r="BS60" s="3"/>
      <c r="BT60" s="1" t="s">
        <v>460</v>
      </c>
      <c r="BU60" s="266"/>
      <c r="BV60" s="47">
        <f>'Standard Erstellung'!$D$133</f>
        <v>20</v>
      </c>
      <c r="BW60" s="63">
        <f>'Standard Vorgaben'!$C$30</f>
        <v>22.62</v>
      </c>
      <c r="BX60" s="45">
        <f t="shared" si="57"/>
        <v>452.40000000000003</v>
      </c>
      <c r="BY60" s="410">
        <f t="shared" si="73"/>
        <v>6.684935593852818E-3</v>
      </c>
      <c r="BZ60" s="3"/>
      <c r="CA60" s="1" t="s">
        <v>460</v>
      </c>
      <c r="CB60" s="266"/>
      <c r="CC60" s="47">
        <f>'Standard Erstellung'!$D$133</f>
        <v>20</v>
      </c>
      <c r="CD60" s="63">
        <f>'Standard Vorgaben'!$C$30</f>
        <v>22.62</v>
      </c>
      <c r="CE60" s="45">
        <f t="shared" si="58"/>
        <v>452.40000000000003</v>
      </c>
      <c r="CF60" s="410">
        <f t="shared" si="74"/>
        <v>6.6956299788441661E-3</v>
      </c>
      <c r="CG60" s="3"/>
      <c r="CH60" s="1" t="s">
        <v>460</v>
      </c>
      <c r="CI60" s="266"/>
      <c r="CJ60" s="47">
        <f>'Standard Erstellung'!$D$133</f>
        <v>20</v>
      </c>
      <c r="CK60" s="63">
        <f>'Standard Vorgaben'!$C$30</f>
        <v>22.62</v>
      </c>
      <c r="CL60" s="45">
        <f t="shared" si="59"/>
        <v>452.40000000000003</v>
      </c>
      <c r="CM60" s="410">
        <f t="shared" si="75"/>
        <v>6.6669227066885701E-3</v>
      </c>
      <c r="CN60" s="3"/>
      <c r="CO60" s="1" t="s">
        <v>460</v>
      </c>
      <c r="CP60" s="266"/>
      <c r="CQ60" s="47">
        <f>'Standard Erstellung'!$D$133</f>
        <v>20</v>
      </c>
      <c r="CR60" s="63">
        <f>'Standard Vorgaben'!$C$30</f>
        <v>22.62</v>
      </c>
      <c r="CS60" s="45">
        <f t="shared" si="60"/>
        <v>452.40000000000003</v>
      </c>
      <c r="CT60" s="410">
        <f t="shared" si="76"/>
        <v>6.7170546308151537E-3</v>
      </c>
      <c r="CU60" s="3"/>
      <c r="CV60" s="1" t="s">
        <v>460</v>
      </c>
      <c r="CW60" s="266"/>
      <c r="CX60" s="47">
        <f>'Standard Erstellung'!$D$133</f>
        <v>20</v>
      </c>
      <c r="CY60" s="63">
        <f>'Standard Vorgaben'!$C$30</f>
        <v>22.62</v>
      </c>
      <c r="CZ60" s="45">
        <f t="shared" si="61"/>
        <v>452.40000000000003</v>
      </c>
      <c r="DA60" s="410">
        <f t="shared" si="77"/>
        <v>7.0617835071408175E-3</v>
      </c>
      <c r="DB60" s="3"/>
      <c r="DC60" s="1" t="s">
        <v>460</v>
      </c>
      <c r="DD60" s="266"/>
      <c r="DE60" s="47">
        <f>'Standard Erstellung'!$D$133</f>
        <v>20</v>
      </c>
      <c r="DF60" s="63">
        <f>'Standard Vorgaben'!$C$30</f>
        <v>22.62</v>
      </c>
      <c r="DG60" s="45">
        <f t="shared" si="62"/>
        <v>452.40000000000003</v>
      </c>
      <c r="DH60" s="410">
        <f t="shared" si="78"/>
        <v>6.772441015355902E-3</v>
      </c>
    </row>
    <row r="61" spans="1:112" x14ac:dyDescent="0.3">
      <c r="B61" t="s">
        <v>445</v>
      </c>
      <c r="C61" s="266"/>
      <c r="D61" s="47">
        <f>'Standard Erstellung'!$D$153+'Standard Erstellung'!$D$154</f>
        <v>14</v>
      </c>
      <c r="E61" s="63">
        <f>'Standard Vorgaben'!$C$31</f>
        <v>32.700000000000003</v>
      </c>
      <c r="F61" s="45">
        <f t="shared" si="47"/>
        <v>457.80000000000007</v>
      </c>
      <c r="G61" s="44">
        <f t="shared" si="63"/>
        <v>4.0933566252518941E-2</v>
      </c>
      <c r="H61" s="18"/>
      <c r="I61" s="1" t="s">
        <v>445</v>
      </c>
      <c r="J61" s="266"/>
      <c r="K61" s="47">
        <f>'Standard Erstellung'!$D$153+'Standard Erstellung'!$D$154</f>
        <v>14</v>
      </c>
      <c r="L61" s="63">
        <f>'Standard Vorgaben'!$C$31</f>
        <v>32.700000000000003</v>
      </c>
      <c r="M61" s="45">
        <f t="shared" si="48"/>
        <v>457.80000000000007</v>
      </c>
      <c r="N61" s="44">
        <f t="shared" si="64"/>
        <v>3.9954368488101417E-2</v>
      </c>
      <c r="O61" s="3"/>
      <c r="P61" s="1" t="s">
        <v>445</v>
      </c>
      <c r="Q61" s="266"/>
      <c r="R61" s="47">
        <f>'Standard Erstellung'!$D$153+'Standard Erstellung'!$D$154</f>
        <v>14</v>
      </c>
      <c r="S61" s="63">
        <f>'Standard Vorgaben'!$C$31</f>
        <v>32.700000000000003</v>
      </c>
      <c r="T61" s="45">
        <f t="shared" si="49"/>
        <v>457.80000000000007</v>
      </c>
      <c r="U61" s="44">
        <f t="shared" si="65"/>
        <v>6.3796368024745375E-3</v>
      </c>
      <c r="V61" s="18"/>
      <c r="W61" s="1" t="s">
        <v>445</v>
      </c>
      <c r="X61" s="266"/>
      <c r="Y61" s="47">
        <f>'Standard Erstellung'!$D$153+'Standard Erstellung'!$D$154</f>
        <v>14</v>
      </c>
      <c r="Z61" s="63">
        <f>'Standard Vorgaben'!$C$31</f>
        <v>32.700000000000003</v>
      </c>
      <c r="AA61" s="45">
        <f t="shared" si="50"/>
        <v>457.80000000000007</v>
      </c>
      <c r="AB61" s="44">
        <f t="shared" si="66"/>
        <v>1.3218461669608481E-2</v>
      </c>
      <c r="AC61" s="18"/>
      <c r="AD61" s="1" t="s">
        <v>445</v>
      </c>
      <c r="AE61" s="266"/>
      <c r="AF61" s="47">
        <f>'Standard Erstellung'!$D$153+'Standard Erstellung'!$D$154</f>
        <v>14</v>
      </c>
      <c r="AG61" s="63">
        <f>'Standard Vorgaben'!$C$31</f>
        <v>32.700000000000003</v>
      </c>
      <c r="AH61" s="45">
        <f t="shared" si="51"/>
        <v>457.80000000000007</v>
      </c>
      <c r="AI61" s="44">
        <f t="shared" si="67"/>
        <v>8.3116875425395028E-3</v>
      </c>
      <c r="AJ61" s="18"/>
      <c r="AK61" s="1" t="s">
        <v>445</v>
      </c>
      <c r="AL61" s="266"/>
      <c r="AM61" s="47">
        <f>'Standard Erstellung'!$D$153+'Standard Erstellung'!$D$154</f>
        <v>14</v>
      </c>
      <c r="AN61" s="63">
        <f>'Standard Vorgaben'!$C$31</f>
        <v>32.700000000000003</v>
      </c>
      <c r="AO61" s="45">
        <f t="shared" si="52"/>
        <v>457.80000000000007</v>
      </c>
      <c r="AP61" s="44">
        <f t="shared" si="68"/>
        <v>7.2208699774359703E-3</v>
      </c>
      <c r="AQ61" s="18"/>
      <c r="AR61" s="1" t="s">
        <v>445</v>
      </c>
      <c r="AS61" s="266"/>
      <c r="AT61" s="47">
        <f>'Standard Erstellung'!$D$153+'Standard Erstellung'!$D$154</f>
        <v>14</v>
      </c>
      <c r="AU61" s="63">
        <f>'Standard Vorgaben'!$C$31</f>
        <v>32.700000000000003</v>
      </c>
      <c r="AV61" s="61">
        <f t="shared" si="53"/>
        <v>457.80000000000007</v>
      </c>
      <c r="AW61" s="44">
        <f t="shared" si="69"/>
        <v>6.4106420184346482E-3</v>
      </c>
      <c r="AX61" s="18"/>
      <c r="AY61" s="1" t="s">
        <v>445</v>
      </c>
      <c r="AZ61" s="266"/>
      <c r="BA61" s="59">
        <f>'Standard Erstellung'!$D$153+'Standard Erstellung'!$D$154</f>
        <v>14</v>
      </c>
      <c r="BB61" s="63">
        <f>'Standard Vorgaben'!$C$31</f>
        <v>32.700000000000003</v>
      </c>
      <c r="BC61" s="45">
        <f t="shared" si="54"/>
        <v>457.80000000000007</v>
      </c>
      <c r="BD61" s="44">
        <f t="shared" si="70"/>
        <v>6.4638512184505481E-3</v>
      </c>
      <c r="BE61" s="18"/>
      <c r="BF61" s="1" t="s">
        <v>445</v>
      </c>
      <c r="BG61" s="266"/>
      <c r="BH61" s="47">
        <f>'Standard Erstellung'!$D$153+'Standard Erstellung'!$D$154</f>
        <v>14</v>
      </c>
      <c r="BI61" s="63">
        <f>'Standard Vorgaben'!$C$31</f>
        <v>32.700000000000003</v>
      </c>
      <c r="BJ61" s="45">
        <f t="shared" si="55"/>
        <v>457.80000000000007</v>
      </c>
      <c r="BK61" s="44">
        <f t="shared" si="71"/>
        <v>6.476117260813972E-3</v>
      </c>
      <c r="BL61" s="18"/>
      <c r="BM61" s="1" t="s">
        <v>445</v>
      </c>
      <c r="BN61" s="266"/>
      <c r="BO61" s="47">
        <f>'Standard Erstellung'!$D$153+'Standard Erstellung'!$D$154</f>
        <v>14</v>
      </c>
      <c r="BP61" s="63">
        <f>'Standard Vorgaben'!$C$31</f>
        <v>32.700000000000003</v>
      </c>
      <c r="BQ61" s="45">
        <f t="shared" si="56"/>
        <v>457.80000000000007</v>
      </c>
      <c r="BR61" s="44">
        <f t="shared" si="72"/>
        <v>3.8586915512911274E-3</v>
      </c>
      <c r="BS61" s="18"/>
      <c r="BT61" s="1" t="s">
        <v>445</v>
      </c>
      <c r="BU61" s="266"/>
      <c r="BV61" s="47">
        <f>'Standard Erstellung'!$D$153+'Standard Erstellung'!$D$154</f>
        <v>14</v>
      </c>
      <c r="BW61" s="63">
        <f>'Standard Vorgaben'!$C$31</f>
        <v>32.700000000000003</v>
      </c>
      <c r="BX61" s="45">
        <f t="shared" si="57"/>
        <v>457.80000000000007</v>
      </c>
      <c r="BY61" s="44">
        <f t="shared" si="73"/>
        <v>6.764729254787401E-3</v>
      </c>
      <c r="BZ61" s="18"/>
      <c r="CA61" s="1" t="s">
        <v>445</v>
      </c>
      <c r="CB61" s="266"/>
      <c r="CC61" s="47">
        <f>'Standard Erstellung'!$D$153+'Standard Erstellung'!$D$154</f>
        <v>14</v>
      </c>
      <c r="CD61" s="63">
        <f>'Standard Vorgaben'!$C$31</f>
        <v>32.700000000000003</v>
      </c>
      <c r="CE61" s="61">
        <f t="shared" si="58"/>
        <v>457.80000000000007</v>
      </c>
      <c r="CF61" s="44">
        <f t="shared" si="74"/>
        <v>6.7755512915889911E-3</v>
      </c>
      <c r="CG61" s="18"/>
      <c r="CH61" s="1" t="s">
        <v>445</v>
      </c>
      <c r="CI61" s="266"/>
      <c r="CJ61" s="47">
        <f>'Standard Erstellung'!$D$153+'Standard Erstellung'!$D$154</f>
        <v>14</v>
      </c>
      <c r="CK61" s="63">
        <f>'Standard Vorgaben'!$C$31</f>
        <v>32.700000000000003</v>
      </c>
      <c r="CL61" s="45">
        <f t="shared" si="59"/>
        <v>457.80000000000007</v>
      </c>
      <c r="CM61" s="44">
        <f t="shared" si="75"/>
        <v>6.7465013596861795E-3</v>
      </c>
      <c r="CN61" s="18"/>
      <c r="CO61" s="1" t="s">
        <v>445</v>
      </c>
      <c r="CP61" s="266"/>
      <c r="CQ61" s="47">
        <f>'Standard Erstellung'!$D$153+'Standard Erstellung'!$D$154</f>
        <v>14</v>
      </c>
      <c r="CR61" s="63">
        <f>'Standard Vorgaben'!$C$31</f>
        <v>32.700000000000003</v>
      </c>
      <c r="CS61" s="45">
        <f t="shared" si="60"/>
        <v>457.80000000000007</v>
      </c>
      <c r="CT61" s="44">
        <f t="shared" si="76"/>
        <v>6.7972316754800564E-3</v>
      </c>
      <c r="CU61" s="18"/>
      <c r="CV61" s="1" t="s">
        <v>445</v>
      </c>
      <c r="CW61" s="266"/>
      <c r="CX61" s="47">
        <f>'Standard Erstellung'!$D$153+'Standard Erstellung'!$D$154</f>
        <v>14</v>
      </c>
      <c r="CY61" s="63">
        <f>'Standard Vorgaben'!$C$31</f>
        <v>32.700000000000003</v>
      </c>
      <c r="CZ61" s="45">
        <f t="shared" si="61"/>
        <v>457.80000000000007</v>
      </c>
      <c r="DA61" s="44">
        <f t="shared" si="77"/>
        <v>7.146075352716769E-3</v>
      </c>
      <c r="DB61" s="18"/>
      <c r="DC61" s="1" t="s">
        <v>445</v>
      </c>
      <c r="DD61" s="266"/>
      <c r="DE61" s="47">
        <f>'Standard Erstellung'!$D$153+'Standard Erstellung'!$D$154</f>
        <v>14</v>
      </c>
      <c r="DF61" s="63">
        <f>'Standard Vorgaben'!$C$31</f>
        <v>32.700000000000003</v>
      </c>
      <c r="DG61" s="45">
        <f t="shared" si="62"/>
        <v>457.80000000000007</v>
      </c>
      <c r="DH61" s="44">
        <f t="shared" si="78"/>
        <v>6.8532791707116092E-3</v>
      </c>
    </row>
    <row r="62" spans="1:112" x14ac:dyDescent="0.3">
      <c r="B62" s="21" t="s">
        <v>127</v>
      </c>
      <c r="C62" s="47"/>
      <c r="D62" s="52">
        <f>'Standard Vorgaben'!F88+'Standard Vorgaben'!G88</f>
        <v>30</v>
      </c>
      <c r="E62" s="63">
        <f>'Standard Vorgaben'!$C$27</f>
        <v>41.4</v>
      </c>
      <c r="F62" s="61">
        <f>D62*E62</f>
        <v>1242</v>
      </c>
      <c r="G62" s="44">
        <f t="shared" si="63"/>
        <v>0.11105174592754155</v>
      </c>
      <c r="H62" s="18"/>
      <c r="I62" s="4" t="s">
        <v>127</v>
      </c>
      <c r="J62" s="47"/>
      <c r="K62" s="52">
        <f>'Standard Vorgaben'!F89+'Standard Vorgaben'!G89</f>
        <v>30</v>
      </c>
      <c r="L62" s="63">
        <f>'Standard Vorgaben'!$C$27</f>
        <v>41.4</v>
      </c>
      <c r="M62" s="61">
        <f>K62*L62</f>
        <v>1242</v>
      </c>
      <c r="N62" s="44">
        <f t="shared" si="64"/>
        <v>0.10839520677636949</v>
      </c>
      <c r="O62" s="3"/>
      <c r="P62" s="4" t="s">
        <v>127</v>
      </c>
      <c r="Q62" s="47"/>
      <c r="R62" s="52">
        <f>'Standard Vorgaben'!$F$87+'Standard Vorgaben'!$G$87</f>
        <v>50</v>
      </c>
      <c r="S62" s="63">
        <f>'Standard Vorgaben'!$C$27</f>
        <v>41.4</v>
      </c>
      <c r="T62" s="61">
        <f t="shared" si="49"/>
        <v>2070</v>
      </c>
      <c r="U62" s="44">
        <f t="shared" si="65"/>
        <v>2.8846326302145675E-2</v>
      </c>
      <c r="V62" s="18"/>
      <c r="W62" s="4" t="s">
        <v>127</v>
      </c>
      <c r="X62" s="47"/>
      <c r="Y62" s="52">
        <f>'Standard Vorgaben'!$F$87+'Standard Vorgaben'!$G$87</f>
        <v>50</v>
      </c>
      <c r="Z62" s="63">
        <f>'Standard Vorgaben'!$C$27</f>
        <v>41.4</v>
      </c>
      <c r="AA62" s="61">
        <f t="shared" si="50"/>
        <v>2070</v>
      </c>
      <c r="AB62" s="44">
        <f t="shared" si="66"/>
        <v>5.9768928912384334E-2</v>
      </c>
      <c r="AC62" s="18"/>
      <c r="AD62" s="4" t="s">
        <v>127</v>
      </c>
      <c r="AE62" s="47"/>
      <c r="AF62" s="52">
        <f>'Standard Vorgaben'!$F$87+'Standard Vorgaben'!$G$87</f>
        <v>50</v>
      </c>
      <c r="AG62" s="63">
        <f>'Standard Vorgaben'!$C$27</f>
        <v>41.4</v>
      </c>
      <c r="AH62" s="61">
        <f t="shared" si="51"/>
        <v>2070</v>
      </c>
      <c r="AI62" s="44">
        <f t="shared" si="67"/>
        <v>3.7582335546213992E-2</v>
      </c>
      <c r="AJ62" s="18"/>
      <c r="AK62" s="4" t="s">
        <v>127</v>
      </c>
      <c r="AL62" s="47"/>
      <c r="AM62" s="52">
        <f>'Standard Vorgaben'!$F$87+'Standard Vorgaben'!$G$87</f>
        <v>50</v>
      </c>
      <c r="AN62" s="63">
        <f>'Standard Vorgaben'!$C$27</f>
        <v>41.4</v>
      </c>
      <c r="AO62" s="61">
        <f t="shared" si="52"/>
        <v>2070</v>
      </c>
      <c r="AP62" s="44">
        <f t="shared" si="68"/>
        <v>3.265006739469737E-2</v>
      </c>
      <c r="AQ62" s="18"/>
      <c r="AR62" s="4" t="s">
        <v>127</v>
      </c>
      <c r="AS62" s="47"/>
      <c r="AT62" s="52">
        <f>'Standard Vorgaben'!$F$87+'Standard Vorgaben'!$G$87</f>
        <v>50</v>
      </c>
      <c r="AU62" s="63">
        <f>'Standard Vorgaben'!$C$27</f>
        <v>41.4</v>
      </c>
      <c r="AV62" s="61">
        <f t="shared" si="53"/>
        <v>2070</v>
      </c>
      <c r="AW62" s="44">
        <f t="shared" si="69"/>
        <v>2.8986520266840805E-2</v>
      </c>
      <c r="AX62" s="18"/>
      <c r="AY62" s="4" t="s">
        <v>127</v>
      </c>
      <c r="AZ62" s="47"/>
      <c r="BA62" s="52">
        <f>'Standard Vorgaben'!$F$87+'Standard Vorgaben'!$G$87</f>
        <v>50</v>
      </c>
      <c r="BB62" s="63">
        <f>'Standard Vorgaben'!$C$27</f>
        <v>41.4</v>
      </c>
      <c r="BC62" s="61">
        <f t="shared" si="54"/>
        <v>2070</v>
      </c>
      <c r="BD62" s="44">
        <f t="shared" si="70"/>
        <v>2.92271123245798E-2</v>
      </c>
      <c r="BE62" s="18"/>
      <c r="BF62" s="4" t="s">
        <v>127</v>
      </c>
      <c r="BG62" s="47"/>
      <c r="BH62" s="52">
        <f>'Standard Vorgaben'!$F$87+'Standard Vorgaben'!$G$87</f>
        <v>50</v>
      </c>
      <c r="BI62" s="63">
        <f>'Standard Vorgaben'!$C$27</f>
        <v>41.4</v>
      </c>
      <c r="BJ62" s="61">
        <f t="shared" si="55"/>
        <v>2070</v>
      </c>
      <c r="BK62" s="44">
        <f t="shared" si="71"/>
        <v>2.9282574770390826E-2</v>
      </c>
      <c r="BL62" s="18"/>
      <c r="BM62" s="4" t="s">
        <v>127</v>
      </c>
      <c r="BN62" s="47"/>
      <c r="BO62" s="52">
        <f>'Standard Vorgaben'!$F$87+'Standard Vorgaben'!$G$87</f>
        <v>50</v>
      </c>
      <c r="BP62" s="63">
        <f>'Standard Vorgaben'!$C$27</f>
        <v>41.4</v>
      </c>
      <c r="BQ62" s="61">
        <f t="shared" si="56"/>
        <v>2070</v>
      </c>
      <c r="BR62" s="44">
        <f t="shared" si="72"/>
        <v>1.7447556817764595E-2</v>
      </c>
      <c r="BS62" s="18"/>
      <c r="BT62" s="4" t="s">
        <v>127</v>
      </c>
      <c r="BU62" s="47"/>
      <c r="BV62" s="52">
        <f>'Standard Vorgaben'!$F$87+'Standard Vorgaben'!$G$87</f>
        <v>50</v>
      </c>
      <c r="BW62" s="63">
        <f>'Standard Vorgaben'!$C$27</f>
        <v>41.4</v>
      </c>
      <c r="BX62" s="61">
        <f t="shared" si="57"/>
        <v>2070</v>
      </c>
      <c r="BY62" s="44">
        <f t="shared" si="73"/>
        <v>3.0587570024923367E-2</v>
      </c>
      <c r="BZ62" s="18"/>
      <c r="CA62" s="4" t="s">
        <v>127</v>
      </c>
      <c r="CB62" s="47"/>
      <c r="CC62" s="52">
        <f>'Standard Vorgaben'!$F$87+'Standard Vorgaben'!$G$87</f>
        <v>50</v>
      </c>
      <c r="CD62" s="63">
        <f>'Standard Vorgaben'!$C$27</f>
        <v>41.4</v>
      </c>
      <c r="CE62" s="61">
        <f t="shared" si="58"/>
        <v>2070</v>
      </c>
      <c r="CF62" s="44">
        <f t="shared" si="74"/>
        <v>3.0636503218849299E-2</v>
      </c>
      <c r="CG62" s="18"/>
      <c r="CH62" s="4" t="s">
        <v>127</v>
      </c>
      <c r="CI62" s="47"/>
      <c r="CJ62" s="52">
        <f>'Standard Vorgaben'!$F$87+'Standard Vorgaben'!$G$87</f>
        <v>50</v>
      </c>
      <c r="CK62" s="63">
        <f>'Standard Vorgaben'!$C$27</f>
        <v>41.4</v>
      </c>
      <c r="CL62" s="61">
        <f t="shared" si="59"/>
        <v>2070</v>
      </c>
      <c r="CM62" s="44">
        <f t="shared" si="75"/>
        <v>3.0505150315750084E-2</v>
      </c>
      <c r="CN62" s="18"/>
      <c r="CO62" s="4" t="s">
        <v>127</v>
      </c>
      <c r="CP62" s="47"/>
      <c r="CQ62" s="52">
        <f>'Standard Vorgaben'!$F$87+'Standard Vorgaben'!$G$87</f>
        <v>50</v>
      </c>
      <c r="CR62" s="63">
        <f>'Standard Vorgaben'!$C$27</f>
        <v>41.4</v>
      </c>
      <c r="CS62" s="61">
        <f t="shared" si="60"/>
        <v>2070</v>
      </c>
      <c r="CT62" s="44">
        <f t="shared" si="76"/>
        <v>3.073453378821257E-2</v>
      </c>
      <c r="CU62" s="18"/>
      <c r="CV62" s="4" t="s">
        <v>127</v>
      </c>
      <c r="CW62" s="47"/>
      <c r="CX62" s="52">
        <f>'Standard Vorgaben'!$F$87+'Standard Vorgaben'!$G$87</f>
        <v>50</v>
      </c>
      <c r="CY62" s="63">
        <f>'Standard Vorgaben'!$C$27</f>
        <v>41.4</v>
      </c>
      <c r="CZ62" s="61">
        <f t="shared" si="61"/>
        <v>2070</v>
      </c>
      <c r="DA62" s="44">
        <f t="shared" si="77"/>
        <v>3.2311874137448036E-2</v>
      </c>
      <c r="DB62" s="18"/>
      <c r="DC62" s="4" t="s">
        <v>127</v>
      </c>
      <c r="DD62" s="47"/>
      <c r="DE62" s="52">
        <f>'Standard Vorgaben'!$F$87+'Standard Vorgaben'!$G$87</f>
        <v>50</v>
      </c>
      <c r="DF62" s="63">
        <f>'Standard Vorgaben'!$C$27</f>
        <v>41.4</v>
      </c>
      <c r="DG62" s="61">
        <f t="shared" si="62"/>
        <v>2070</v>
      </c>
      <c r="DH62" s="44">
        <f t="shared" si="78"/>
        <v>3.0987959553021034E-2</v>
      </c>
    </row>
    <row r="63" spans="1:112" ht="13.5" thickBot="1" x14ac:dyDescent="0.35">
      <c r="B63" s="64" t="s">
        <v>13</v>
      </c>
      <c r="C63" s="863">
        <f>'Standard Vorgaben'!$F$65</f>
        <v>12</v>
      </c>
      <c r="D63" s="752">
        <f>D12/C63</f>
        <v>0</v>
      </c>
      <c r="E63" s="63">
        <f>'Standard Vorgaben'!$C$30</f>
        <v>22.62</v>
      </c>
      <c r="F63" s="208">
        <f>D63*E63</f>
        <v>0</v>
      </c>
      <c r="G63" s="44">
        <f t="shared" si="63"/>
        <v>0</v>
      </c>
      <c r="H63" s="18"/>
      <c r="I63" s="3" t="s">
        <v>13</v>
      </c>
      <c r="J63" s="863">
        <f>'Standard Vorgaben'!$F$66</f>
        <v>12</v>
      </c>
      <c r="K63" s="752">
        <f>K12/J63</f>
        <v>0</v>
      </c>
      <c r="L63" s="63">
        <f>'Standard Vorgaben'!$C$30</f>
        <v>22.62</v>
      </c>
      <c r="M63" s="208">
        <f>K63*L63</f>
        <v>0</v>
      </c>
      <c r="N63" s="44">
        <f t="shared" si="64"/>
        <v>0</v>
      </c>
      <c r="O63" s="3"/>
      <c r="P63" s="64" t="s">
        <v>13</v>
      </c>
      <c r="Q63" s="863">
        <f>'Standard Vorgaben'!$F$67</f>
        <v>12</v>
      </c>
      <c r="R63" s="752">
        <f>R12/Q63</f>
        <v>85.763293310463112</v>
      </c>
      <c r="S63" s="63">
        <f>'Standard Vorgaben'!$C$30</f>
        <v>22.62</v>
      </c>
      <c r="T63" s="208">
        <f t="shared" si="49"/>
        <v>1939.9656946826756</v>
      </c>
      <c r="U63" s="44">
        <f t="shared" si="65"/>
        <v>2.7034243209558054E-2</v>
      </c>
      <c r="V63" s="18"/>
      <c r="W63" s="64" t="s">
        <v>13</v>
      </c>
      <c r="X63" s="863">
        <f>'Standard Vorgaben'!$F$68</f>
        <v>12</v>
      </c>
      <c r="Y63" s="752">
        <f>Y12/X63</f>
        <v>343.05317324185245</v>
      </c>
      <c r="Z63" s="63">
        <f>'Standard Vorgaben'!$C$30</f>
        <v>22.62</v>
      </c>
      <c r="AA63" s="208">
        <f>Y63*Z63</f>
        <v>7759.8627787307023</v>
      </c>
      <c r="AB63" s="44">
        <f t="shared" si="66"/>
        <v>0.22405733661440219</v>
      </c>
      <c r="AC63" s="18"/>
      <c r="AD63" s="64" t="s">
        <v>13</v>
      </c>
      <c r="AE63" s="863">
        <f>'Standard Vorgaben'!$F$69</f>
        <v>12</v>
      </c>
      <c r="AF63" s="752">
        <f>AF12/AE63</f>
        <v>770.15437392795866</v>
      </c>
      <c r="AG63" s="63">
        <f>'Standard Vorgaben'!$C$30</f>
        <v>22.62</v>
      </c>
      <c r="AH63" s="208">
        <f t="shared" si="51"/>
        <v>17420.891938250425</v>
      </c>
      <c r="AI63" s="44">
        <f t="shared" si="67"/>
        <v>0.31628879533220372</v>
      </c>
      <c r="AJ63" s="18"/>
      <c r="AK63" s="64" t="s">
        <v>13</v>
      </c>
      <c r="AL63" s="863">
        <f>'Standard Vorgaben'!$F$70</f>
        <v>12</v>
      </c>
      <c r="AM63" s="752">
        <f>AM12/AL63</f>
        <v>994.85420240137216</v>
      </c>
      <c r="AN63" s="63">
        <f>'Standard Vorgaben'!$C$30</f>
        <v>22.62</v>
      </c>
      <c r="AO63" s="208">
        <f t="shared" si="52"/>
        <v>22503.60205831904</v>
      </c>
      <c r="AP63" s="44">
        <f t="shared" si="68"/>
        <v>0.35494885209061217</v>
      </c>
      <c r="AQ63" s="18"/>
      <c r="AR63" s="64" t="s">
        <v>13</v>
      </c>
      <c r="AS63" s="863">
        <f>'Standard Vorgaben'!$F$71</f>
        <v>12</v>
      </c>
      <c r="AT63" s="752">
        <f>AT12/AS63</f>
        <v>1200.6861063464835</v>
      </c>
      <c r="AU63" s="63">
        <f>'Standard Vorgaben'!$C$30</f>
        <v>22.62</v>
      </c>
      <c r="AV63" s="208">
        <f t="shared" si="53"/>
        <v>27159.519725557457</v>
      </c>
      <c r="AW63" s="44">
        <f t="shared" si="69"/>
        <v>0.38031882558576513</v>
      </c>
      <c r="AX63" s="18"/>
      <c r="AY63" s="64" t="s">
        <v>13</v>
      </c>
      <c r="AZ63" s="863">
        <f>'Standard Vorgaben'!$F$72</f>
        <v>12</v>
      </c>
      <c r="BA63" s="752">
        <f>BA12/AZ63</f>
        <v>1200.6861063464835</v>
      </c>
      <c r="BB63" s="63">
        <f>'Standard Vorgaben'!$C$30</f>
        <v>22.62</v>
      </c>
      <c r="BC63" s="208">
        <f>BA63*BB63</f>
        <v>27159.519725557457</v>
      </c>
      <c r="BD63" s="44">
        <f t="shared" si="70"/>
        <v>0.38347552352681574</v>
      </c>
      <c r="BE63" s="18"/>
      <c r="BF63" s="64" t="s">
        <v>13</v>
      </c>
      <c r="BG63" s="863">
        <f>'Standard Vorgaben'!$F$73</f>
        <v>12</v>
      </c>
      <c r="BH63" s="752">
        <f>BH12/BG63</f>
        <v>1200.6861063464835</v>
      </c>
      <c r="BI63" s="63">
        <f>'Standard Vorgaben'!$C$30</f>
        <v>22.62</v>
      </c>
      <c r="BJ63" s="208">
        <f t="shared" si="55"/>
        <v>27159.519725557457</v>
      </c>
      <c r="BK63" s="44">
        <f t="shared" si="71"/>
        <v>0.38420322081716946</v>
      </c>
      <c r="BL63" s="18"/>
      <c r="BM63" s="64" t="s">
        <v>13</v>
      </c>
      <c r="BN63" s="863">
        <f>'Standard Vorgaben'!$F$74</f>
        <v>12</v>
      </c>
      <c r="BO63" s="752">
        <f>BO12/BN63</f>
        <v>1200.6861063464835</v>
      </c>
      <c r="BP63" s="63">
        <f>'Standard Vorgaben'!$C$30</f>
        <v>22.62</v>
      </c>
      <c r="BQ63" s="208">
        <f t="shared" si="56"/>
        <v>27159.519725557457</v>
      </c>
      <c r="BR63" s="44">
        <f t="shared" si="72"/>
        <v>0.22892138335983675</v>
      </c>
      <c r="BS63" s="18"/>
      <c r="BT63" s="64" t="s">
        <v>13</v>
      </c>
      <c r="BU63" s="863">
        <f>'Standard Vorgaben'!$F$75</f>
        <v>12</v>
      </c>
      <c r="BV63" s="752">
        <f>BV12/BU63</f>
        <v>1114.9228130360204</v>
      </c>
      <c r="BW63" s="63">
        <f>'Standard Vorgaben'!$C$30</f>
        <v>22.62</v>
      </c>
      <c r="BX63" s="208">
        <f t="shared" si="57"/>
        <v>25219.554030874784</v>
      </c>
      <c r="BY63" s="44">
        <f t="shared" si="73"/>
        <v>0.37265935986315019</v>
      </c>
      <c r="BZ63" s="18"/>
      <c r="CA63" s="64" t="s">
        <v>13</v>
      </c>
      <c r="CB63" s="863">
        <f>'Standard Vorgaben'!$F$76</f>
        <v>12</v>
      </c>
      <c r="CC63" s="752">
        <f>CC12/CB63</f>
        <v>1114.9228130360204</v>
      </c>
      <c r="CD63" s="63">
        <f>'Standard Vorgaben'!$C$30</f>
        <v>22.62</v>
      </c>
      <c r="CE63" s="208">
        <f t="shared" si="58"/>
        <v>25219.554030874784</v>
      </c>
      <c r="CF63" s="44">
        <f t="shared" si="74"/>
        <v>0.37325553055306238</v>
      </c>
      <c r="CG63" s="18"/>
      <c r="CH63" s="64" t="s">
        <v>13</v>
      </c>
      <c r="CI63" s="863">
        <f>'Standard Vorgaben'!$F$77</f>
        <v>12</v>
      </c>
      <c r="CJ63" s="752">
        <f>CJ12/CI63</f>
        <v>1114.9228130360204</v>
      </c>
      <c r="CK63" s="63">
        <f>'Standard Vorgaben'!$C$30</f>
        <v>22.62</v>
      </c>
      <c r="CL63" s="208">
        <f t="shared" si="59"/>
        <v>25219.554030874784</v>
      </c>
      <c r="CM63" s="44">
        <f t="shared" si="75"/>
        <v>0.37165521092174697</v>
      </c>
      <c r="CN63" s="18"/>
      <c r="CO63" s="64" t="s">
        <v>13</v>
      </c>
      <c r="CP63" s="863">
        <f>'Standard Vorgaben'!$F$78</f>
        <v>12</v>
      </c>
      <c r="CQ63" s="752">
        <f>CQ12/CP63</f>
        <v>1114.9228130360204</v>
      </c>
      <c r="CR63" s="63">
        <f>'Standard Vorgaben'!$C$30</f>
        <v>22.62</v>
      </c>
      <c r="CS63" s="208">
        <f t="shared" si="60"/>
        <v>25219.554030874784</v>
      </c>
      <c r="CT63" s="44">
        <f t="shared" si="76"/>
        <v>0.37444987221525294</v>
      </c>
      <c r="CU63" s="18"/>
      <c r="CV63" s="64" t="s">
        <v>13</v>
      </c>
      <c r="CW63" s="863">
        <f>'Standard Vorgaben'!$F$79</f>
        <v>12</v>
      </c>
      <c r="CX63" s="752">
        <f>CX12/CW63</f>
        <v>1029.1595197255574</v>
      </c>
      <c r="CY63" s="63">
        <f>'Standard Vorgaben'!$C$30</f>
        <v>22.62</v>
      </c>
      <c r="CZ63" s="208">
        <f t="shared" si="61"/>
        <v>23279.588336192108</v>
      </c>
      <c r="DA63" s="44">
        <f t="shared" si="77"/>
        <v>0.36338508613074527</v>
      </c>
      <c r="DB63" s="18"/>
      <c r="DC63" s="64" t="s">
        <v>13</v>
      </c>
      <c r="DD63" s="863">
        <f>'Standard Vorgaben'!$F$80</f>
        <v>12</v>
      </c>
      <c r="DE63" s="752">
        <f>DE12/DD63</f>
        <v>943.39622641509425</v>
      </c>
      <c r="DF63" s="63">
        <f>'Standard Vorgaben'!$C$30</f>
        <v>22.62</v>
      </c>
      <c r="DG63" s="208">
        <f t="shared" si="62"/>
        <v>21339.622641509432</v>
      </c>
      <c r="DH63" s="44">
        <f t="shared" si="78"/>
        <v>0.3194547648752783</v>
      </c>
    </row>
    <row r="64" spans="1:112" x14ac:dyDescent="0.3">
      <c r="A64" s="135" t="s">
        <v>113</v>
      </c>
      <c r="B64" s="591">
        <f>('Standard Vorgaben'!$F$29*D58)+('Standard Vorgaben'!$F$29*D63)</f>
        <v>0</v>
      </c>
      <c r="C64" s="160" t="s">
        <v>111</v>
      </c>
      <c r="D64" s="590">
        <f>SUM(D54:D63)</f>
        <v>136</v>
      </c>
      <c r="E64" s="63"/>
      <c r="F64" s="82">
        <f>SUM(F54:F63)</f>
        <v>4708.2000000000007</v>
      </c>
      <c r="G64" s="668">
        <f t="shared" si="63"/>
        <v>0.42097731898232782</v>
      </c>
      <c r="H64" s="135" t="s">
        <v>113</v>
      </c>
      <c r="I64" s="591">
        <f>('Standard Vorgaben'!$F$29*K58)+('Standard Vorgaben'!$F$29*K63)</f>
        <v>1.8</v>
      </c>
      <c r="J64" s="160" t="s">
        <v>111</v>
      </c>
      <c r="K64" s="590">
        <f>SUM(K54:K63)</f>
        <v>141</v>
      </c>
      <c r="L64" s="63"/>
      <c r="M64" s="82">
        <f>SUM(M54:M63)</f>
        <v>4851.54</v>
      </c>
      <c r="N64" s="668">
        <f t="shared" si="64"/>
        <v>0.42341681278891113</v>
      </c>
      <c r="O64" s="160" t="s">
        <v>113</v>
      </c>
      <c r="P64" s="591">
        <f>('Standard Vorgaben'!$F$29*R58)+('Standard Vorgaben'!$F$29*R63)</f>
        <v>79.886963979416805</v>
      </c>
      <c r="Q64" s="160" t="s">
        <v>111</v>
      </c>
      <c r="R64" s="590">
        <f>SUM(R54:R63)</f>
        <v>489.7632933104631</v>
      </c>
      <c r="S64" s="63"/>
      <c r="T64" s="82">
        <f>SUM(T54:T63)</f>
        <v>13640.325694682675</v>
      </c>
      <c r="U64" s="668">
        <f t="shared" si="65"/>
        <v>0.19008371297408616</v>
      </c>
      <c r="V64" s="135" t="s">
        <v>113</v>
      </c>
      <c r="W64" s="591">
        <f>('Standard Vorgaben'!$F$29*Y58)+('Standard Vorgaben'!$F$29*Y63)</f>
        <v>311.4478559176672</v>
      </c>
      <c r="X64" s="160" t="s">
        <v>111</v>
      </c>
      <c r="Y64" s="590">
        <f>SUM(Y54:Y63)</f>
        <v>618.05317324185239</v>
      </c>
      <c r="Z64" s="63"/>
      <c r="AA64" s="82">
        <f>SUM(AA54:AA63)</f>
        <v>16454.222778730702</v>
      </c>
      <c r="AB64" s="668">
        <f t="shared" si="66"/>
        <v>0.475097232642749</v>
      </c>
      <c r="AC64" s="135" t="s">
        <v>113</v>
      </c>
      <c r="AD64" s="591">
        <f>('Standard Vorgaben'!$F$29*AF58)+('Standard Vorgaben'!$F$29*AF63)</f>
        <v>695.83893653516282</v>
      </c>
      <c r="AE64" s="160" t="s">
        <v>111</v>
      </c>
      <c r="AF64" s="590">
        <f>SUM(AF54:AF63)</f>
        <v>1044.1543739279587</v>
      </c>
      <c r="AG64" s="63"/>
      <c r="AH64" s="82">
        <f>SUM(AH54:AH63)</f>
        <v>26115.251938250425</v>
      </c>
      <c r="AI64" s="668">
        <f t="shared" si="67"/>
        <v>0.4741411406846584</v>
      </c>
      <c r="AJ64" s="135" t="s">
        <v>113</v>
      </c>
      <c r="AK64" s="591">
        <f>('Standard Vorgaben'!$F$29*AM58)+('Standard Vorgaben'!$F$29*AM63)</f>
        <v>898.06878216123505</v>
      </c>
      <c r="AL64" s="160" t="s">
        <v>111</v>
      </c>
      <c r="AM64" s="590">
        <f>SUM(AM54:AM63)</f>
        <v>1268.8542024013723</v>
      </c>
      <c r="AN64" s="63"/>
      <c r="AO64" s="82">
        <f>SUM(AO54:AO63)</f>
        <v>31197.962058319041</v>
      </c>
      <c r="AP64" s="668">
        <f t="shared" si="68"/>
        <v>0.49208481342093152</v>
      </c>
      <c r="AQ64" s="135" t="s">
        <v>113</v>
      </c>
      <c r="AR64" s="591">
        <f>('Standard Vorgaben'!$F$29*AT58)+('Standard Vorgaben'!$F$29*AT63)</f>
        <v>1083.3174957118351</v>
      </c>
      <c r="AS64" s="160" t="s">
        <v>111</v>
      </c>
      <c r="AT64" s="590">
        <f>SUM(AT54:AT63)</f>
        <v>1475.6861063464835</v>
      </c>
      <c r="AU64" s="63"/>
      <c r="AV64" s="82">
        <f>SUM(AV54:AV63)</f>
        <v>35853.879725557461</v>
      </c>
      <c r="AW64" s="668">
        <f t="shared" si="69"/>
        <v>0.50206725184045597</v>
      </c>
      <c r="AX64" s="135" t="s">
        <v>113</v>
      </c>
      <c r="AY64" s="591">
        <f>('Standard Vorgaben'!$F$29*BA58)+('Standard Vorgaben'!$F$29*BA63)</f>
        <v>1083.3174957118351</v>
      </c>
      <c r="AZ64" s="160" t="s">
        <v>111</v>
      </c>
      <c r="BA64" s="590">
        <f>SUM(BA54:BA63)</f>
        <v>1474.6861063464835</v>
      </c>
      <c r="BB64" s="63"/>
      <c r="BC64" s="82">
        <f>SUM(BC54:BC63)</f>
        <v>35853.879725557461</v>
      </c>
      <c r="BD64" s="668">
        <f t="shared" si="70"/>
        <v>0.50623447826610735</v>
      </c>
      <c r="BE64" s="135" t="s">
        <v>113</v>
      </c>
      <c r="BF64" s="591">
        <f>('Standard Vorgaben'!$F$29*BH58)+('Standard Vorgaben'!$F$29*BH63)</f>
        <v>1083.3174957118351</v>
      </c>
      <c r="BG64" s="160" t="s">
        <v>111</v>
      </c>
      <c r="BH64" s="590">
        <f>SUM(BH54:BH63)</f>
        <v>1474.6861063464835</v>
      </c>
      <c r="BI64" s="63"/>
      <c r="BJ64" s="82">
        <f>SUM(BJ54:BJ63)</f>
        <v>35853.879725557461</v>
      </c>
      <c r="BK64" s="668">
        <f t="shared" si="71"/>
        <v>0.50719512747451012</v>
      </c>
      <c r="BL64" s="135" t="s">
        <v>113</v>
      </c>
      <c r="BM64" s="591">
        <f>('Standard Vorgaben'!$F$29*BO58)+('Standard Vorgaben'!$F$29*BO63)</f>
        <v>1083.3174957118351</v>
      </c>
      <c r="BN64" s="160" t="s">
        <v>111</v>
      </c>
      <c r="BO64" s="590">
        <f>SUM(BO54:BO63)</f>
        <v>1604.6861063464835</v>
      </c>
      <c r="BP64" s="63"/>
      <c r="BQ64" s="82">
        <f>SUM(BQ54:BQ63)</f>
        <v>38794.479725557452</v>
      </c>
      <c r="BR64" s="668">
        <f t="shared" si="72"/>
        <v>0.32698980155907265</v>
      </c>
      <c r="BS64" s="135" t="s">
        <v>113</v>
      </c>
      <c r="BT64" s="591">
        <f>('Standard Vorgaben'!$F$29*BV58)+('Standard Vorgaben'!$F$29*BV63)</f>
        <v>1006.1305317324185</v>
      </c>
      <c r="BU64" s="160" t="s">
        <v>111</v>
      </c>
      <c r="BV64" s="590">
        <f>SUM(BV54:BV63)</f>
        <v>1388.9228130360204</v>
      </c>
      <c r="BW64" s="63"/>
      <c r="BX64" s="82">
        <f>SUM(BX54:BX63)</f>
        <v>33913.914030874788</v>
      </c>
      <c r="BY64" s="668">
        <f t="shared" si="73"/>
        <v>0.50113247354522406</v>
      </c>
      <c r="BZ64" s="135" t="s">
        <v>113</v>
      </c>
      <c r="CA64" s="591">
        <f>('Standard Vorgaben'!$F$29*CC58)+('Standard Vorgaben'!$F$29*CC63)</f>
        <v>1006.1305317324185</v>
      </c>
      <c r="CB64" s="160" t="s">
        <v>111</v>
      </c>
      <c r="CC64" s="590">
        <f>SUM(CC54:CC63)</f>
        <v>1388.9228130360204</v>
      </c>
      <c r="CD64" s="63"/>
      <c r="CE64" s="82">
        <f>SUM(CE54:CE63)</f>
        <v>33913.914030874788</v>
      </c>
      <c r="CF64" s="668">
        <f t="shared" si="74"/>
        <v>0.50193417215974589</v>
      </c>
      <c r="CG64" s="135" t="s">
        <v>113</v>
      </c>
      <c r="CH64" s="591">
        <f>('Standard Vorgaben'!$F$29*CJ58)+('Standard Vorgaben'!$F$29*CJ63)</f>
        <v>1006.1305317324185</v>
      </c>
      <c r="CI64" s="160" t="s">
        <v>111</v>
      </c>
      <c r="CJ64" s="590">
        <f>SUM(CJ54:CJ63)</f>
        <v>1388.9228130360204</v>
      </c>
      <c r="CK64" s="63"/>
      <c r="CL64" s="82">
        <f>SUM(CL54:CL63)</f>
        <v>33913.914030874788</v>
      </c>
      <c r="CM64" s="668">
        <f t="shared" si="75"/>
        <v>0.49978214749143057</v>
      </c>
      <c r="CN64" s="135" t="s">
        <v>113</v>
      </c>
      <c r="CO64" s="591">
        <f>('Standard Vorgaben'!$F$29*CQ58)+('Standard Vorgaben'!$F$29*CQ63)</f>
        <v>1006.1305317324185</v>
      </c>
      <c r="CP64" s="160" t="s">
        <v>111</v>
      </c>
      <c r="CQ64" s="590">
        <f>SUM(CQ54:CQ63)</f>
        <v>1388.9228130360204</v>
      </c>
      <c r="CR64" s="63"/>
      <c r="CS64" s="82">
        <f>SUM(CS54:CS63)</f>
        <v>33913.914030874788</v>
      </c>
      <c r="CT64" s="668">
        <f t="shared" si="76"/>
        <v>0.50354025926205681</v>
      </c>
      <c r="CU64" s="135" t="s">
        <v>113</v>
      </c>
      <c r="CV64" s="591">
        <f>('Standard Vorgaben'!$F$29*CX58)+('Standard Vorgaben'!$F$29*CX63)</f>
        <v>928.94356775300173</v>
      </c>
      <c r="CW64" s="160" t="s">
        <v>111</v>
      </c>
      <c r="CX64" s="590">
        <f>SUM(CX54:CX63)</f>
        <v>1303.1595197255574</v>
      </c>
      <c r="CY64" s="63"/>
      <c r="CZ64" s="82">
        <f>SUM(CZ54:CZ63)</f>
        <v>31973.948336192108</v>
      </c>
      <c r="DA64" s="668">
        <f t="shared" si="77"/>
        <v>0.49910057696439875</v>
      </c>
      <c r="DB64" s="135" t="s">
        <v>113</v>
      </c>
      <c r="DC64" s="591">
        <f>('Standard Vorgaben'!$F$29*DE58)+('Standard Vorgaben'!$F$29*DE63)</f>
        <v>851.75660377358486</v>
      </c>
      <c r="DD64" s="160" t="s">
        <v>111</v>
      </c>
      <c r="DE64" s="590">
        <f>SUM(DE54:DE63)</f>
        <v>1217.3962264150941</v>
      </c>
      <c r="DF64" s="63"/>
      <c r="DG64" s="82">
        <f>SUM(DG54:DG63)</f>
        <v>30033.982641509432</v>
      </c>
      <c r="DH64" s="668">
        <f t="shared" si="78"/>
        <v>0.4496095842083237</v>
      </c>
    </row>
    <row r="65" spans="1:112" ht="18" customHeight="1" x14ac:dyDescent="0.3">
      <c r="A65" s="18" t="s">
        <v>79</v>
      </c>
      <c r="B65" s="21" t="s">
        <v>77</v>
      </c>
      <c r="C65" s="47"/>
      <c r="D65" s="47"/>
      <c r="E65" s="63"/>
      <c r="F65" s="120">
        <f>'Standard Vorgaben'!$C$37</f>
        <v>660</v>
      </c>
      <c r="G65" s="670">
        <f t="shared" si="63"/>
        <v>5.9013005082268456E-2</v>
      </c>
      <c r="H65" s="18" t="s">
        <v>79</v>
      </c>
      <c r="I65" s="4" t="s">
        <v>77</v>
      </c>
      <c r="J65" s="47"/>
      <c r="K65" s="47"/>
      <c r="L65" s="63"/>
      <c r="M65" s="120">
        <f>'Standard Vorgaben'!$C$37</f>
        <v>660</v>
      </c>
      <c r="N65" s="670">
        <f t="shared" si="64"/>
        <v>5.7601317610631135E-2</v>
      </c>
      <c r="O65" s="3" t="s">
        <v>79</v>
      </c>
      <c r="P65" s="4" t="s">
        <v>77</v>
      </c>
      <c r="Q65" s="47"/>
      <c r="R65" s="47"/>
      <c r="S65" s="63"/>
      <c r="T65" s="120">
        <f>'Standard Vorgaben'!$C$37</f>
        <v>660</v>
      </c>
      <c r="U65" s="670">
        <f t="shared" si="65"/>
        <v>9.1973794006841286E-3</v>
      </c>
      <c r="V65" s="18" t="s">
        <v>79</v>
      </c>
      <c r="W65" s="4" t="s">
        <v>77</v>
      </c>
      <c r="X65" s="47"/>
      <c r="Y65" s="47"/>
      <c r="Z65" s="63"/>
      <c r="AA65" s="120">
        <f>'Standard Vorgaben'!$C$37</f>
        <v>660</v>
      </c>
      <c r="AB65" s="670">
        <f t="shared" si="66"/>
        <v>1.9056759943079062E-2</v>
      </c>
      <c r="AC65" s="18" t="s">
        <v>79</v>
      </c>
      <c r="AD65" s="4" t="s">
        <v>77</v>
      </c>
      <c r="AE65" s="47"/>
      <c r="AF65" s="47"/>
      <c r="AG65" s="63"/>
      <c r="AH65" s="120">
        <f>'Standard Vorgaben'!$C$37</f>
        <v>660</v>
      </c>
      <c r="AI65" s="670">
        <f t="shared" si="67"/>
        <v>1.1982773652416056E-2</v>
      </c>
      <c r="AJ65" s="18" t="s">
        <v>79</v>
      </c>
      <c r="AK65" s="4" t="s">
        <v>77</v>
      </c>
      <c r="AL65" s="47"/>
      <c r="AM65" s="47"/>
      <c r="AN65" s="63"/>
      <c r="AO65" s="120">
        <f>'Standard Vorgaben'!$C$37</f>
        <v>660</v>
      </c>
      <c r="AP65" s="670">
        <f t="shared" si="68"/>
        <v>1.0410166415700611E-2</v>
      </c>
      <c r="AQ65" s="18" t="s">
        <v>79</v>
      </c>
      <c r="AR65" s="4" t="s">
        <v>77</v>
      </c>
      <c r="AS65" s="47"/>
      <c r="AT65" s="47"/>
      <c r="AU65" s="63"/>
      <c r="AV65" s="120">
        <f>'Standard Vorgaben'!$C$37</f>
        <v>660</v>
      </c>
      <c r="AW65" s="670">
        <f t="shared" si="69"/>
        <v>9.2420789256593867E-3</v>
      </c>
      <c r="AX65" s="18" t="s">
        <v>79</v>
      </c>
      <c r="AY65" s="4" t="s">
        <v>77</v>
      </c>
      <c r="AZ65" s="47"/>
      <c r="BA65" s="47"/>
      <c r="BB65" s="63"/>
      <c r="BC65" s="120">
        <f>'Standard Vorgaben'!$C$37</f>
        <v>660</v>
      </c>
      <c r="BD65" s="670">
        <f t="shared" si="70"/>
        <v>9.3187894368225443E-3</v>
      </c>
      <c r="BE65" s="18" t="s">
        <v>79</v>
      </c>
      <c r="BF65" s="4" t="s">
        <v>77</v>
      </c>
      <c r="BG65" s="47"/>
      <c r="BH65" s="47"/>
      <c r="BI65" s="63"/>
      <c r="BJ65" s="120">
        <f>'Standard Vorgaben'!$C$37</f>
        <v>660</v>
      </c>
      <c r="BK65" s="670">
        <f t="shared" si="71"/>
        <v>9.3364731151970737E-3</v>
      </c>
      <c r="BL65" s="18" t="s">
        <v>79</v>
      </c>
      <c r="BM65" s="4" t="s">
        <v>77</v>
      </c>
      <c r="BN65" s="47"/>
      <c r="BO65" s="47"/>
      <c r="BP65" s="63"/>
      <c r="BQ65" s="120">
        <f>'Standard Vorgaben'!$C$37</f>
        <v>660</v>
      </c>
      <c r="BR65" s="670">
        <f t="shared" si="72"/>
        <v>5.5629891303017555E-3</v>
      </c>
      <c r="BS65" s="18" t="s">
        <v>79</v>
      </c>
      <c r="BT65" s="4" t="s">
        <v>77</v>
      </c>
      <c r="BU65" s="47"/>
      <c r="BV65" s="47"/>
      <c r="BW65" s="63"/>
      <c r="BX65" s="120">
        <f>'Standard Vorgaben'!$C$37</f>
        <v>660</v>
      </c>
      <c r="BY65" s="670">
        <f t="shared" si="73"/>
        <v>9.7525585586712184E-3</v>
      </c>
      <c r="BZ65" s="18" t="s">
        <v>79</v>
      </c>
      <c r="CA65" s="4" t="s">
        <v>77</v>
      </c>
      <c r="CB65" s="47"/>
      <c r="CC65" s="47"/>
      <c r="CD65" s="63"/>
      <c r="CE65" s="120">
        <f>'Standard Vorgaben'!$C$37</f>
        <v>660</v>
      </c>
      <c r="CF65" s="670">
        <f t="shared" si="74"/>
        <v>9.7681604465896313E-3</v>
      </c>
      <c r="CG65" s="18" t="s">
        <v>79</v>
      </c>
      <c r="CH65" s="4" t="s">
        <v>77</v>
      </c>
      <c r="CI65" s="47"/>
      <c r="CJ65" s="47"/>
      <c r="CK65" s="63"/>
      <c r="CL65" s="120">
        <f>'Standard Vorgaben'!$C$37</f>
        <v>660</v>
      </c>
      <c r="CM65" s="670">
        <f t="shared" si="75"/>
        <v>9.7262798108188678E-3</v>
      </c>
      <c r="CN65" s="18" t="s">
        <v>79</v>
      </c>
      <c r="CO65" s="4" t="s">
        <v>77</v>
      </c>
      <c r="CP65" s="47"/>
      <c r="CQ65" s="47"/>
      <c r="CR65" s="63"/>
      <c r="CS65" s="120">
        <f>'Standard Vorgaben'!$C$37</f>
        <v>660</v>
      </c>
      <c r="CT65" s="670">
        <f t="shared" si="76"/>
        <v>9.7994165701547325E-3</v>
      </c>
      <c r="CU65" s="18" t="s">
        <v>79</v>
      </c>
      <c r="CV65" s="4" t="s">
        <v>77</v>
      </c>
      <c r="CW65" s="47"/>
      <c r="CX65" s="47"/>
      <c r="CY65" s="63"/>
      <c r="CZ65" s="120">
        <f>'Standard Vorgaben'!$C$37</f>
        <v>660</v>
      </c>
      <c r="DA65" s="670">
        <f t="shared" si="77"/>
        <v>1.030233668150517E-2</v>
      </c>
      <c r="DB65" s="18" t="s">
        <v>79</v>
      </c>
      <c r="DC65" s="4" t="s">
        <v>77</v>
      </c>
      <c r="DD65" s="47"/>
      <c r="DE65" s="47"/>
      <c r="DF65" s="63"/>
      <c r="DG65" s="120">
        <f>'Standard Vorgaben'!$C$37</f>
        <v>660</v>
      </c>
      <c r="DH65" s="670">
        <f t="shared" si="78"/>
        <v>9.8802189879197491E-3</v>
      </c>
    </row>
    <row r="66" spans="1:112" thickBot="1" x14ac:dyDescent="0.3">
      <c r="A66"/>
      <c r="B66" t="s">
        <v>259</v>
      </c>
      <c r="C66" s="242">
        <f>'Standard Vorgaben'!$C$36</f>
        <v>0.6</v>
      </c>
      <c r="D66" s="243">
        <f>'Standard Vorgaben'!$C$35</f>
        <v>1.4999999999999999E-2</v>
      </c>
      <c r="E66" s="120">
        <f>(F72)*(-1)</f>
        <v>83750.049866666683</v>
      </c>
      <c r="F66" s="663">
        <f>D66*E66*C66</f>
        <v>753.75044880000007</v>
      </c>
      <c r="G66" s="44">
        <f t="shared" si="63"/>
        <v>6.739557434211596E-2</v>
      </c>
      <c r="H66"/>
      <c r="I66" s="1" t="s">
        <v>259</v>
      </c>
      <c r="J66" s="242">
        <f>'Standard Vorgaben'!$C$36</f>
        <v>0.6</v>
      </c>
      <c r="K66" s="243">
        <f>'Standard Vorgaben'!$C$35</f>
        <v>1.4999999999999999E-2</v>
      </c>
      <c r="L66" s="120">
        <f>(M72)*(-1)</f>
        <v>93834.025315466686</v>
      </c>
      <c r="M66" s="663">
        <f>K66*L66*J66</f>
        <v>844.50622783920016</v>
      </c>
      <c r="N66" s="44">
        <f t="shared" si="64"/>
        <v>7.370404765745725E-2</v>
      </c>
      <c r="O66" s="1"/>
      <c r="P66" s="1" t="s">
        <v>259</v>
      </c>
      <c r="Q66" s="242">
        <f>'Standard Vorgaben'!$C$36</f>
        <v>0.6</v>
      </c>
      <c r="R66" s="243">
        <f>'Standard Vorgaben'!$C$35</f>
        <v>1.4999999999999999E-2</v>
      </c>
      <c r="S66" s="120">
        <f>(T72)*(-1)</f>
        <v>104192.09654330589</v>
      </c>
      <c r="T66" s="663">
        <f>R66*S66*Q66</f>
        <v>937.7288688897529</v>
      </c>
      <c r="U66" s="44">
        <f t="shared" si="65"/>
        <v>1.3067648760838548E-2</v>
      </c>
      <c r="W66" s="1" t="s">
        <v>259</v>
      </c>
      <c r="X66" s="242">
        <f>'Standard Vorgaben'!$C$36</f>
        <v>0.6</v>
      </c>
      <c r="Y66" s="243">
        <f>'Standard Vorgaben'!$C$35</f>
        <v>1.4999999999999999E-2</v>
      </c>
      <c r="Z66" s="120">
        <f>(AA72)*(-1)</f>
        <v>168806.69325953699</v>
      </c>
      <c r="AA66" s="663">
        <f>Y66*Z66*X66</f>
        <v>1519.2602393358327</v>
      </c>
      <c r="AB66" s="44">
        <f t="shared" si="66"/>
        <v>4.3866935866799711E-2</v>
      </c>
      <c r="AD66" s="1" t="s">
        <v>259</v>
      </c>
      <c r="AE66" s="242">
        <f>'Standard Vorgaben'!$C$36</f>
        <v>0.6</v>
      </c>
      <c r="AF66" s="243">
        <f>'Standard Vorgaben'!$C$35</f>
        <v>1.4999999999999999E-2</v>
      </c>
      <c r="AG66" s="120">
        <f>(AH72)*(-1)</f>
        <v>178160.17572014211</v>
      </c>
      <c r="AH66" s="663">
        <f>AF66*AG66*AE66</f>
        <v>1603.4415814812789</v>
      </c>
      <c r="AI66" s="44">
        <f t="shared" si="67"/>
        <v>2.9111632629942732E-2</v>
      </c>
      <c r="AK66" s="1" t="s">
        <v>259</v>
      </c>
      <c r="AL66" s="242">
        <f>'Standard Vorgaben'!$C$36</f>
        <v>0.6</v>
      </c>
      <c r="AM66" s="243">
        <f>'Standard Vorgaben'!$C$35</f>
        <v>1.4999999999999999E-2</v>
      </c>
      <c r="AN66" s="120">
        <f>(AO72)*(-1)</f>
        <v>177855.37436337298</v>
      </c>
      <c r="AO66" s="663">
        <f>AM66*AN66*AL66</f>
        <v>1600.6983692703566</v>
      </c>
      <c r="AP66" s="44">
        <f t="shared" si="68"/>
        <v>2.5247782432492427E-2</v>
      </c>
      <c r="AR66" s="1" t="s">
        <v>259</v>
      </c>
      <c r="AS66" s="242">
        <f>'Standard Vorgaben'!$C$36</f>
        <v>0.6</v>
      </c>
      <c r="AT66" s="243">
        <f>'Standard Vorgaben'!$C$35</f>
        <v>1.4999999999999999E-2</v>
      </c>
      <c r="AU66" s="120">
        <f>(AV72)*(-1)</f>
        <v>170033.2356743243</v>
      </c>
      <c r="AV66" s="663">
        <f>AT66*AU66*AS66</f>
        <v>1530.2991210689186</v>
      </c>
      <c r="AW66" s="44">
        <f t="shared" si="69"/>
        <v>2.1429007964827478E-2</v>
      </c>
      <c r="AY66" s="1" t="s">
        <v>259</v>
      </c>
      <c r="AZ66" s="242">
        <f>'Standard Vorgaben'!$C$36</f>
        <v>0.6</v>
      </c>
      <c r="BA66" s="243">
        <f>'Standard Vorgaben'!$C$35</f>
        <v>1.4999999999999999E-2</v>
      </c>
      <c r="BB66" s="120">
        <f>(BC72)*(-1)</f>
        <v>155716.10006983578</v>
      </c>
      <c r="BC66" s="663">
        <f>BA66*BB66*AZ66</f>
        <v>1401.444900628522</v>
      </c>
      <c r="BD66" s="44">
        <f t="shared" si="70"/>
        <v>1.9787530206463472E-2</v>
      </c>
      <c r="BF66" s="1" t="s">
        <v>259</v>
      </c>
      <c r="BG66" s="242">
        <f>'Standard Vorgaben'!$C$36</f>
        <v>0.6</v>
      </c>
      <c r="BH66" s="243">
        <f>'Standard Vorgaben'!$C$35</f>
        <v>1.4999999999999999E-2</v>
      </c>
      <c r="BI66" s="120">
        <f>(BJ72)*(-1)</f>
        <v>140811.11024490686</v>
      </c>
      <c r="BJ66" s="663">
        <f>BH66*BI66*BG66</f>
        <v>1267.2999922041618</v>
      </c>
      <c r="BK66" s="44">
        <f t="shared" si="71"/>
        <v>1.7927442888035786E-2</v>
      </c>
      <c r="BM66" s="1" t="s">
        <v>259</v>
      </c>
      <c r="BN66" s="242">
        <f>'Standard Vorgaben'!$C$36</f>
        <v>0.6</v>
      </c>
      <c r="BO66" s="243">
        <f>'Standard Vorgaben'!$C$35</f>
        <v>1.4999999999999999E-2</v>
      </c>
      <c r="BP66" s="120">
        <f>(BQ72)*(-1)</f>
        <v>125771.97551155357</v>
      </c>
      <c r="BQ66" s="663">
        <f>BO66*BP66*BN66</f>
        <v>1131.9477796039821</v>
      </c>
      <c r="BR66" s="44">
        <f t="shared" si="72"/>
        <v>9.5409290818275136E-3</v>
      </c>
      <c r="BT66" s="1" t="s">
        <v>259</v>
      </c>
      <c r="BU66" s="242">
        <f>'Standard Vorgaben'!$C$36</f>
        <v>0.6</v>
      </c>
      <c r="BV66" s="243">
        <f>'Standard Vorgaben'!$C$35</f>
        <v>1.4999999999999999E-2</v>
      </c>
      <c r="BW66" s="120">
        <f>(BX72)*(-1)</f>
        <v>158683.5885656001</v>
      </c>
      <c r="BX66" s="663">
        <f>BV66*BW66*BU66</f>
        <v>1428.1522970904009</v>
      </c>
      <c r="BY66" s="44">
        <f t="shared" si="73"/>
        <v>2.110324076981053E-2</v>
      </c>
      <c r="CA66" s="1" t="s">
        <v>259</v>
      </c>
      <c r="CB66" s="242">
        <f>'Standard Vorgaben'!$C$36</f>
        <v>0.6</v>
      </c>
      <c r="CC66" s="243">
        <f>'Standard Vorgaben'!$C$35</f>
        <v>1.4999999999999999E-2</v>
      </c>
      <c r="CD66" s="120">
        <f>(CE72)*(-1)</f>
        <v>146673.47183181572</v>
      </c>
      <c r="CE66" s="663">
        <f>CC66*CD66*CB66</f>
        <v>1320.0612464863416</v>
      </c>
      <c r="CF66" s="44">
        <f t="shared" si="74"/>
        <v>1.9537227356066195E-2</v>
      </c>
      <c r="CH66" s="1" t="s">
        <v>259</v>
      </c>
      <c r="CI66" s="242">
        <f>'Standard Vorgaben'!$C$36</f>
        <v>0.6</v>
      </c>
      <c r="CJ66" s="243">
        <f>'Standard Vorgaben'!$C$35</f>
        <v>1.4999999999999999E-2</v>
      </c>
      <c r="CK66" s="120">
        <f>(CL72)*(-1)</f>
        <v>134555.26404742728</v>
      </c>
      <c r="CL66" s="663">
        <f>CJ66*CK66*CI66</f>
        <v>1210.9973764268454</v>
      </c>
      <c r="CM66" s="44">
        <f t="shared" si="75"/>
        <v>1.7846211111053098E-2</v>
      </c>
      <c r="CO66" s="1" t="s">
        <v>259</v>
      </c>
      <c r="CP66" s="242">
        <f>'Standard Vorgaben'!$C$36</f>
        <v>0.6</v>
      </c>
      <c r="CQ66" s="243">
        <f>'Standard Vorgaben'!$C$35</f>
        <v>1.4999999999999999E-2</v>
      </c>
      <c r="CR66" s="120">
        <f>(CS72)*(-1)</f>
        <v>122727.99239297934</v>
      </c>
      <c r="CS66" s="663">
        <f>CQ66*CR66*CP66</f>
        <v>1104.551931536814</v>
      </c>
      <c r="CT66" s="44">
        <f t="shared" si="76"/>
        <v>1.6399946212876167E-2</v>
      </c>
      <c r="CV66" s="1" t="s">
        <v>259</v>
      </c>
      <c r="CW66" s="242">
        <f>'Standard Vorgaben'!$C$36</f>
        <v>0.6</v>
      </c>
      <c r="CX66" s="243">
        <f>'Standard Vorgaben'!$C$35</f>
        <v>1.4999999999999999E-2</v>
      </c>
      <c r="CY66" s="120">
        <f>(CZ72)*(-1)</f>
        <v>110394.27529364139</v>
      </c>
      <c r="CZ66" s="663">
        <f>CX66*CY66*CW66</f>
        <v>993.54847764277247</v>
      </c>
      <c r="DA66" s="44">
        <f t="shared" si="77"/>
        <v>1.5508895342534476E-2</v>
      </c>
      <c r="DC66" s="1" t="s">
        <v>259</v>
      </c>
      <c r="DD66" s="242">
        <f>'Standard Vorgaben'!$C$36</f>
        <v>0.6</v>
      </c>
      <c r="DE66" s="243">
        <f>'Standard Vorgaben'!$C$35</f>
        <v>1.4999999999999999E-2</v>
      </c>
      <c r="DF66" s="120">
        <f>(DG72)*(-1)</f>
        <v>100817.72043509205</v>
      </c>
      <c r="DG66" s="663">
        <f>DE66*DF66*DD66</f>
        <v>907.35948391582838</v>
      </c>
      <c r="DH66" s="44">
        <f t="shared" si="78"/>
        <v>1.3583197578567019E-2</v>
      </c>
    </row>
    <row r="67" spans="1:112" x14ac:dyDescent="0.3">
      <c r="A67"/>
      <c r="B67"/>
      <c r="C67" s="242"/>
      <c r="D67" s="243"/>
      <c r="E67" s="245"/>
      <c r="F67" s="121">
        <f>SUM(F65:F66)</f>
        <v>1413.7504488</v>
      </c>
      <c r="G67" s="668">
        <f t="shared" si="63"/>
        <v>0.12640857942438441</v>
      </c>
      <c r="H67"/>
      <c r="I67" s="1"/>
      <c r="J67" s="242"/>
      <c r="K67" s="243"/>
      <c r="L67" s="245"/>
      <c r="M67" s="121">
        <f>SUM(M65:M66)</f>
        <v>1504.5062278392002</v>
      </c>
      <c r="N67" s="668">
        <f t="shared" si="64"/>
        <v>0.13130536526808839</v>
      </c>
      <c r="O67" s="1"/>
      <c r="P67" s="1"/>
      <c r="Q67" s="242"/>
      <c r="R67" s="243"/>
      <c r="S67" s="245"/>
      <c r="T67" s="121">
        <f>SUM(T65:T66)</f>
        <v>1597.7288688897529</v>
      </c>
      <c r="U67" s="668">
        <f t="shared" si="65"/>
        <v>2.2265028161522676E-2</v>
      </c>
      <c r="W67" s="1"/>
      <c r="X67" s="242"/>
      <c r="Y67" s="243"/>
      <c r="Z67" s="245"/>
      <c r="AA67" s="121">
        <f>SUM(AA65:AA66)</f>
        <v>2179.2602393358329</v>
      </c>
      <c r="AB67" s="668">
        <f t="shared" si="66"/>
        <v>6.2923695809878777E-2</v>
      </c>
      <c r="AE67" s="242"/>
      <c r="AF67" s="243"/>
      <c r="AG67" s="245"/>
      <c r="AH67" s="121">
        <f>SUM(AH65:AH66)</f>
        <v>2263.4415814812792</v>
      </c>
      <c r="AI67" s="668">
        <f t="shared" si="67"/>
        <v>4.1094406282358789E-2</v>
      </c>
      <c r="AL67" s="242"/>
      <c r="AM67" s="243"/>
      <c r="AN67" s="245"/>
      <c r="AO67" s="121">
        <f>SUM(AO65:AO66)</f>
        <v>2260.6983692703566</v>
      </c>
      <c r="AP67" s="668">
        <f t="shared" si="68"/>
        <v>3.5657948848193038E-2</v>
      </c>
      <c r="AS67" s="242"/>
      <c r="AT67" s="243"/>
      <c r="AU67" s="245"/>
      <c r="AV67" s="121">
        <f>SUM(AV65:AV66)</f>
        <v>2190.2991210689188</v>
      </c>
      <c r="AW67" s="668">
        <f t="shared" si="69"/>
        <v>3.0671086890486868E-2</v>
      </c>
      <c r="AZ67" s="242"/>
      <c r="BA67" s="243"/>
      <c r="BB67" s="245"/>
      <c r="BC67" s="121">
        <f>SUM(BC65:BC66)</f>
        <v>2061.4449006285222</v>
      </c>
      <c r="BD67" s="668">
        <f t="shared" si="70"/>
        <v>2.910631964328602E-2</v>
      </c>
      <c r="BF67" s="1"/>
      <c r="BG67" s="242"/>
      <c r="BH67" s="243"/>
      <c r="BI67" s="245"/>
      <c r="BJ67" s="121">
        <f>SUM(BJ65:BJ66)</f>
        <v>1927.2999922041618</v>
      </c>
      <c r="BK67" s="668">
        <f t="shared" si="71"/>
        <v>2.7263916003232861E-2</v>
      </c>
      <c r="BN67" s="242"/>
      <c r="BO67" s="243"/>
      <c r="BP67" s="245"/>
      <c r="BQ67" s="121">
        <f>SUM(BQ65:BQ66)</f>
        <v>1791.9477796039821</v>
      </c>
      <c r="BR67" s="668">
        <f t="shared" si="72"/>
        <v>1.510391821212927E-2</v>
      </c>
      <c r="BT67" s="1"/>
      <c r="BU67" s="242"/>
      <c r="BV67" s="243"/>
      <c r="BW67" s="245"/>
      <c r="BX67" s="121">
        <f>SUM(BX65:BX66)</f>
        <v>2088.1522970904007</v>
      </c>
      <c r="BY67" s="668">
        <f t="shared" si="73"/>
        <v>3.0855799328481745E-2</v>
      </c>
      <c r="CB67" s="242"/>
      <c r="CC67" s="243"/>
      <c r="CD67" s="245"/>
      <c r="CE67" s="121">
        <f>SUM(CE65:CE66)</f>
        <v>1980.0612464863416</v>
      </c>
      <c r="CF67" s="668">
        <f t="shared" si="74"/>
        <v>2.9305387802655826E-2</v>
      </c>
      <c r="CH67" s="1"/>
      <c r="CI67" s="242"/>
      <c r="CJ67" s="243"/>
      <c r="CK67" s="245"/>
      <c r="CL67" s="121">
        <f>SUM(CL65:CL66)</f>
        <v>1870.9973764268454</v>
      </c>
      <c r="CM67" s="668">
        <f t="shared" si="75"/>
        <v>2.7572490921871966E-2</v>
      </c>
      <c r="CP67" s="242"/>
      <c r="CQ67" s="243"/>
      <c r="CR67" s="245"/>
      <c r="CS67" s="121">
        <f>SUM(CS65:CS66)</f>
        <v>1764.551931536814</v>
      </c>
      <c r="CT67" s="668">
        <f t="shared" si="76"/>
        <v>2.6199362783030897E-2</v>
      </c>
      <c r="CV67" s="1"/>
      <c r="CW67" s="242"/>
      <c r="CX67" s="243"/>
      <c r="CY67" s="245"/>
      <c r="CZ67" s="121">
        <f>SUM(CZ65:CZ66)</f>
        <v>1653.5484776427725</v>
      </c>
      <c r="DA67" s="668">
        <f t="shared" si="77"/>
        <v>2.5811232024039649E-2</v>
      </c>
      <c r="DC67" s="1"/>
      <c r="DD67" s="242"/>
      <c r="DE67" s="243"/>
      <c r="DF67" s="245"/>
      <c r="DG67" s="121">
        <f>SUM(DG65:DG66)</f>
        <v>1567.3594839158284</v>
      </c>
      <c r="DH67" s="668">
        <f t="shared" si="78"/>
        <v>2.3463416566486768E-2</v>
      </c>
    </row>
    <row r="68" spans="1:112" ht="13.5" thickBot="1" x14ac:dyDescent="0.35">
      <c r="A68" s="604" t="s">
        <v>42</v>
      </c>
      <c r="B68" s="605"/>
      <c r="C68" s="606"/>
      <c r="D68" s="607"/>
      <c r="E68" s="608"/>
      <c r="F68" s="609">
        <f>F67+F64+F52+F39</f>
        <v>8360.8504487999999</v>
      </c>
      <c r="G68" s="410">
        <f t="shared" si="63"/>
        <v>0.74757410610169828</v>
      </c>
      <c r="H68" s="604" t="s">
        <v>42</v>
      </c>
      <c r="I68" s="605"/>
      <c r="J68" s="606"/>
      <c r="K68" s="607"/>
      <c r="L68" s="608"/>
      <c r="M68" s="609">
        <f>M67+M64+M52+M39</f>
        <v>8494.9462278392002</v>
      </c>
      <c r="N68" s="410">
        <f t="shared" si="64"/>
        <v>0.74139408447727062</v>
      </c>
      <c r="O68" s="604" t="s">
        <v>42</v>
      </c>
      <c r="P68" s="605"/>
      <c r="Q68" s="606"/>
      <c r="R68" s="607"/>
      <c r="S68" s="608"/>
      <c r="T68" s="609">
        <f>T67+T64+T52+T39</f>
        <v>20956.992299421487</v>
      </c>
      <c r="U68" s="410">
        <f t="shared" si="65"/>
        <v>0.2920445595075683</v>
      </c>
      <c r="V68" s="604" t="s">
        <v>42</v>
      </c>
      <c r="W68" s="605"/>
      <c r="X68" s="606"/>
      <c r="Y68" s="607"/>
      <c r="Z68" s="608"/>
      <c r="AA68" s="609">
        <f>AA67+AA64+AA52+AA39</f>
        <v>26109.533961462759</v>
      </c>
      <c r="AB68" s="410">
        <f t="shared" si="66"/>
        <v>0.75388351655949382</v>
      </c>
      <c r="AC68" s="604" t="s">
        <v>42</v>
      </c>
      <c r="AD68" s="605"/>
      <c r="AE68" s="606"/>
      <c r="AF68" s="607"/>
      <c r="AG68" s="608"/>
      <c r="AH68" s="609">
        <f>AH67+AH64+AH52+AH39</f>
        <v>38614.612387656234</v>
      </c>
      <c r="AI68" s="410">
        <f t="shared" si="67"/>
        <v>0.7010759998743421</v>
      </c>
      <c r="AJ68" s="604" t="s">
        <v>42</v>
      </c>
      <c r="AK68" s="605"/>
      <c r="AL68" s="606"/>
      <c r="AM68" s="607"/>
      <c r="AN68" s="608"/>
      <c r="AO68" s="609">
        <f>AO67+AO64+AO52+AO39</f>
        <v>45177.598163438452</v>
      </c>
      <c r="AP68" s="410">
        <f t="shared" si="68"/>
        <v>0.71258532597431001</v>
      </c>
      <c r="AQ68" s="604" t="s">
        <v>42</v>
      </c>
      <c r="AR68" s="605"/>
      <c r="AS68" s="606"/>
      <c r="AT68" s="607"/>
      <c r="AU68" s="608"/>
      <c r="AV68" s="609">
        <f>AV67+AV64+AV52+AV39</f>
        <v>51180.607148513169</v>
      </c>
      <c r="AW68" s="410">
        <f t="shared" si="69"/>
        <v>0.71668971322685715</v>
      </c>
      <c r="AX68" s="604" t="s">
        <v>42</v>
      </c>
      <c r="AY68" s="605"/>
      <c r="AZ68" s="606"/>
      <c r="BA68" s="607"/>
      <c r="BB68" s="608"/>
      <c r="BC68" s="609">
        <f>BC67+BC64+BC52+BC39</f>
        <v>50992.752928072776</v>
      </c>
      <c r="BD68" s="410">
        <f t="shared" si="70"/>
        <v>0.7199859505161007</v>
      </c>
      <c r="BE68" s="604" t="s">
        <v>42</v>
      </c>
      <c r="BF68" s="605"/>
      <c r="BG68" s="606"/>
      <c r="BH68" s="607"/>
      <c r="BI68" s="608"/>
      <c r="BJ68" s="609">
        <f>BJ67+BJ64+BJ52+BJ39</f>
        <v>50858.608019648411</v>
      </c>
      <c r="BK68" s="410">
        <f t="shared" si="71"/>
        <v>0.71945458553302077</v>
      </c>
      <c r="BL68" s="604" t="s">
        <v>42</v>
      </c>
      <c r="BM68" s="605"/>
      <c r="BN68" s="606"/>
      <c r="BO68" s="607"/>
      <c r="BP68" s="608"/>
      <c r="BQ68" s="609">
        <f>BQ67+BQ64+BQ52+BQ39</f>
        <v>53663.855807048225</v>
      </c>
      <c r="BR68" s="410">
        <f t="shared" si="72"/>
        <v>0.45232037355256061</v>
      </c>
      <c r="BS68" s="604" t="s">
        <v>42</v>
      </c>
      <c r="BT68" s="605"/>
      <c r="BU68" s="606"/>
      <c r="BV68" s="607"/>
      <c r="BW68" s="608"/>
      <c r="BX68" s="609">
        <f>BX67+BX64+BX52+BX39</f>
        <v>48513.456894002928</v>
      </c>
      <c r="BY68" s="410">
        <f t="shared" si="73"/>
        <v>0.71686413521565984</v>
      </c>
      <c r="BZ68" s="604" t="s">
        <v>42</v>
      </c>
      <c r="CA68" s="605"/>
      <c r="CB68" s="606"/>
      <c r="CC68" s="607"/>
      <c r="CD68" s="608"/>
      <c r="CE68" s="609">
        <f>CE67+CE64+CE52+CE39</f>
        <v>48405.365843398868</v>
      </c>
      <c r="CF68" s="410">
        <f t="shared" si="74"/>
        <v>0.7164111818699842</v>
      </c>
      <c r="CG68" s="604" t="s">
        <v>42</v>
      </c>
      <c r="CH68" s="605"/>
      <c r="CI68" s="606"/>
      <c r="CJ68" s="607"/>
      <c r="CK68" s="608"/>
      <c r="CL68" s="609">
        <f>CL67+CL64+CL52+CL39</f>
        <v>48296.301973339367</v>
      </c>
      <c r="CM68" s="410">
        <f t="shared" si="75"/>
        <v>0.71173234366742744</v>
      </c>
      <c r="CN68" s="604" t="s">
        <v>42</v>
      </c>
      <c r="CO68" s="605"/>
      <c r="CP68" s="606"/>
      <c r="CQ68" s="607"/>
      <c r="CR68" s="608"/>
      <c r="CS68" s="609">
        <f>CS67+CS64+CS52+CS39</f>
        <v>48189.856528449338</v>
      </c>
      <c r="CT68" s="410">
        <f t="shared" si="76"/>
        <v>0.7155037554216146</v>
      </c>
      <c r="CU68" s="604" t="s">
        <v>42</v>
      </c>
      <c r="CV68" s="605"/>
      <c r="CW68" s="606"/>
      <c r="CX68" s="607"/>
      <c r="CY68" s="608"/>
      <c r="CZ68" s="609">
        <f>CZ67+CZ64+CZ52+CZ39</f>
        <v>45572.849644023561</v>
      </c>
      <c r="DA68" s="410">
        <f t="shared" si="77"/>
        <v>0.7113740008611269</v>
      </c>
      <c r="DB68" s="604" t="s">
        <v>42</v>
      </c>
      <c r="DC68" s="605"/>
      <c r="DD68" s="606"/>
      <c r="DE68" s="607"/>
      <c r="DF68" s="608"/>
      <c r="DG68" s="609">
        <f>DG67+DG64+DG52+DG39</f>
        <v>42980.657219764878</v>
      </c>
      <c r="DH68" s="410">
        <f t="shared" si="78"/>
        <v>0.64342167511513793</v>
      </c>
    </row>
    <row r="69" spans="1:112" ht="16" thickBot="1" x14ac:dyDescent="0.4">
      <c r="A69" s="475" t="s">
        <v>329</v>
      </c>
      <c r="B69" s="476"/>
      <c r="C69" s="597"/>
      <c r="D69" s="477"/>
      <c r="E69" s="478"/>
      <c r="F69" s="598">
        <f>F68+F38</f>
        <v>11183.9754488</v>
      </c>
      <c r="G69" s="410">
        <f t="shared" si="63"/>
        <v>1</v>
      </c>
      <c r="H69" s="475" t="s">
        <v>344</v>
      </c>
      <c r="I69" s="476"/>
      <c r="J69" s="597"/>
      <c r="K69" s="477"/>
      <c r="L69" s="478"/>
      <c r="M69" s="598">
        <f>M68+M38</f>
        <v>11458.0712278392</v>
      </c>
      <c r="N69" s="410">
        <f t="shared" si="64"/>
        <v>1</v>
      </c>
      <c r="O69" s="475" t="s">
        <v>343</v>
      </c>
      <c r="P69" s="476"/>
      <c r="Q69" s="597"/>
      <c r="R69" s="477"/>
      <c r="S69" s="478"/>
      <c r="T69" s="598">
        <f>T68+T38</f>
        <v>71759.570987243089</v>
      </c>
      <c r="U69" s="410">
        <f t="shared" si="65"/>
        <v>1</v>
      </c>
      <c r="V69" s="475" t="s">
        <v>342</v>
      </c>
      <c r="W69" s="476"/>
      <c r="X69" s="597"/>
      <c r="Y69" s="477"/>
      <c r="Z69" s="478"/>
      <c r="AA69" s="598">
        <f>AA68+AA38</f>
        <v>34633.379544653151</v>
      </c>
      <c r="AB69" s="410">
        <f t="shared" si="66"/>
        <v>1</v>
      </c>
      <c r="AC69" s="475" t="s">
        <v>341</v>
      </c>
      <c r="AD69" s="476"/>
      <c r="AE69" s="597"/>
      <c r="AF69" s="477"/>
      <c r="AG69" s="478"/>
      <c r="AH69" s="598">
        <f>AH68+AH38</f>
        <v>55079.06759691867</v>
      </c>
      <c r="AI69" s="410">
        <f t="shared" si="67"/>
        <v>1</v>
      </c>
      <c r="AJ69" s="475" t="s">
        <v>340</v>
      </c>
      <c r="AK69" s="476"/>
      <c r="AL69" s="597"/>
      <c r="AM69" s="477"/>
      <c r="AN69" s="478"/>
      <c r="AO69" s="598">
        <f>AO68+AO38</f>
        <v>63399.562854690594</v>
      </c>
      <c r="AP69" s="410">
        <f t="shared" si="68"/>
        <v>1</v>
      </c>
      <c r="AQ69" s="475" t="s">
        <v>339</v>
      </c>
      <c r="AR69" s="476"/>
      <c r="AS69" s="597"/>
      <c r="AT69" s="477"/>
      <c r="AU69" s="478"/>
      <c r="AV69" s="598">
        <f>AV68+AV38</f>
        <v>71412.504189679545</v>
      </c>
      <c r="AW69" s="410">
        <f t="shared" si="69"/>
        <v>1</v>
      </c>
      <c r="AX69" s="475" t="s">
        <v>338</v>
      </c>
      <c r="AY69" s="476"/>
      <c r="AZ69" s="597"/>
      <c r="BA69" s="477"/>
      <c r="BB69" s="478"/>
      <c r="BC69" s="598">
        <f>BC68+BC38</f>
        <v>70824.649969239152</v>
      </c>
      <c r="BD69" s="410">
        <f t="shared" si="70"/>
        <v>1</v>
      </c>
      <c r="BE69" s="475" t="s">
        <v>337</v>
      </c>
      <c r="BF69" s="476"/>
      <c r="BG69" s="597"/>
      <c r="BH69" s="477"/>
      <c r="BI69" s="478"/>
      <c r="BJ69" s="598">
        <f>BJ68+BJ38</f>
        <v>70690.505060814787</v>
      </c>
      <c r="BK69" s="410">
        <f t="shared" si="71"/>
        <v>1</v>
      </c>
      <c r="BL69" s="475" t="s">
        <v>336</v>
      </c>
      <c r="BM69" s="476"/>
      <c r="BN69" s="597"/>
      <c r="BO69" s="477"/>
      <c r="BP69" s="478"/>
      <c r="BQ69" s="598">
        <f>BQ68+BQ38</f>
        <v>118641.2528482146</v>
      </c>
      <c r="BR69" s="410">
        <f t="shared" si="72"/>
        <v>1</v>
      </c>
      <c r="BS69" s="475" t="s">
        <v>335</v>
      </c>
      <c r="BT69" s="476"/>
      <c r="BU69" s="597"/>
      <c r="BV69" s="477"/>
      <c r="BW69" s="478"/>
      <c r="BX69" s="598">
        <f>BX68+BX38</f>
        <v>67674.548789371707</v>
      </c>
      <c r="BY69" s="410">
        <f t="shared" si="73"/>
        <v>1</v>
      </c>
      <c r="BZ69" s="475" t="s">
        <v>334</v>
      </c>
      <c r="CA69" s="476"/>
      <c r="CB69" s="597"/>
      <c r="CC69" s="477"/>
      <c r="CD69" s="478"/>
      <c r="CE69" s="598">
        <f>CE68+CE38</f>
        <v>67566.45773876764</v>
      </c>
      <c r="CF69" s="410">
        <f t="shared" si="74"/>
        <v>1</v>
      </c>
      <c r="CG69" s="475" t="s">
        <v>333</v>
      </c>
      <c r="CH69" s="476"/>
      <c r="CI69" s="597"/>
      <c r="CJ69" s="477"/>
      <c r="CK69" s="478"/>
      <c r="CL69" s="598">
        <f>CL68+CL38</f>
        <v>67857.393868708139</v>
      </c>
      <c r="CM69" s="410">
        <f t="shared" si="75"/>
        <v>1</v>
      </c>
      <c r="CN69" s="475" t="s">
        <v>332</v>
      </c>
      <c r="CO69" s="476"/>
      <c r="CP69" s="597"/>
      <c r="CQ69" s="477"/>
      <c r="CR69" s="478"/>
      <c r="CS69" s="598">
        <f>CS68+CS38</f>
        <v>67350.948423818118</v>
      </c>
      <c r="CT69" s="410">
        <f t="shared" si="76"/>
        <v>1</v>
      </c>
      <c r="CU69" s="475" t="s">
        <v>331</v>
      </c>
      <c r="CV69" s="476"/>
      <c r="CW69" s="597"/>
      <c r="CX69" s="477"/>
      <c r="CY69" s="478"/>
      <c r="CZ69" s="598">
        <f>CZ68+CZ38</f>
        <v>64063.136393594745</v>
      </c>
      <c r="DA69" s="410">
        <f t="shared" si="77"/>
        <v>1</v>
      </c>
      <c r="DB69" s="475" t="s">
        <v>330</v>
      </c>
      <c r="DC69" s="476"/>
      <c r="DD69" s="597"/>
      <c r="DE69" s="477"/>
      <c r="DF69" s="478"/>
      <c r="DG69" s="598">
        <f>DG68+DG38+DC75</f>
        <v>66800.138823538466</v>
      </c>
      <c r="DH69" s="410">
        <f t="shared" si="78"/>
        <v>1</v>
      </c>
    </row>
    <row r="70" spans="1:112" x14ac:dyDescent="0.3">
      <c r="A70" s="339" t="s">
        <v>358</v>
      </c>
      <c r="B70"/>
      <c r="C70"/>
      <c r="D70"/>
      <c r="E70"/>
      <c r="F70" s="40">
        <f>F14</f>
        <v>1100</v>
      </c>
      <c r="G70" s="13"/>
      <c r="H70" s="339" t="s">
        <v>358</v>
      </c>
      <c r="I70"/>
      <c r="M70" s="40">
        <f>M14</f>
        <v>1100</v>
      </c>
      <c r="N70" s="13"/>
      <c r="O70" s="339" t="s">
        <v>358</v>
      </c>
      <c r="R70"/>
      <c r="T70" s="40">
        <f>T14</f>
        <v>7144.9742710120063</v>
      </c>
      <c r="U70" s="13"/>
      <c r="V70" s="339" t="s">
        <v>358</v>
      </c>
      <c r="AA70" s="40">
        <f>AA14</f>
        <v>25279.897084048025</v>
      </c>
      <c r="AB70" s="13"/>
      <c r="AC70" s="339" t="s">
        <v>358</v>
      </c>
      <c r="AH70" s="40">
        <f>AH14</f>
        <v>55383.868953687808</v>
      </c>
      <c r="AI70" s="13"/>
      <c r="AJ70" s="339" t="s">
        <v>358</v>
      </c>
      <c r="AO70" s="40">
        <f>AO14</f>
        <v>71221.701543739269</v>
      </c>
      <c r="AP70" s="13"/>
      <c r="AQ70" s="339" t="s">
        <v>358</v>
      </c>
      <c r="AV70" s="40">
        <f>AV14</f>
        <v>85729.639794168077</v>
      </c>
      <c r="AW70" s="13"/>
      <c r="AX70" s="339" t="s">
        <v>358</v>
      </c>
      <c r="BC70" s="40">
        <f>BC14</f>
        <v>85729.639794168077</v>
      </c>
      <c r="BD70" s="13"/>
      <c r="BE70" s="339" t="s">
        <v>358</v>
      </c>
      <c r="BJ70" s="40">
        <f>BJ14</f>
        <v>85729.639794168077</v>
      </c>
      <c r="BK70" s="13"/>
      <c r="BL70" s="339" t="s">
        <v>358</v>
      </c>
      <c r="BQ70" s="40">
        <f>BQ14</f>
        <v>85729.639794168077</v>
      </c>
      <c r="BR70" s="13"/>
      <c r="BS70" s="339" t="s">
        <v>358</v>
      </c>
      <c r="BX70" s="40">
        <f>BX14</f>
        <v>79684.665523156073</v>
      </c>
      <c r="BY70" s="13"/>
      <c r="BZ70" s="339" t="s">
        <v>358</v>
      </c>
      <c r="CE70" s="40">
        <f>CE14</f>
        <v>79684.665523156073</v>
      </c>
      <c r="CF70" s="13"/>
      <c r="CG70" s="339" t="s">
        <v>358</v>
      </c>
      <c r="CL70" s="40">
        <f>CL14</f>
        <v>79684.665523156073</v>
      </c>
      <c r="CM70" s="13"/>
      <c r="CN70" s="339" t="s">
        <v>358</v>
      </c>
      <c r="CS70" s="40">
        <f>CS14</f>
        <v>79684.665523156073</v>
      </c>
      <c r="CT70" s="13"/>
      <c r="CU70" s="339" t="s">
        <v>358</v>
      </c>
      <c r="CZ70" s="40">
        <f>CZ14</f>
        <v>73639.691252144083</v>
      </c>
      <c r="DA70" s="13"/>
      <c r="DB70" s="339" t="s">
        <v>358</v>
      </c>
      <c r="DG70" s="40">
        <f>DG14</f>
        <v>67594.716981132078</v>
      </c>
      <c r="DH70" s="13"/>
    </row>
    <row r="71" spans="1:112" x14ac:dyDescent="0.3">
      <c r="A71" s="23" t="s">
        <v>360</v>
      </c>
      <c r="F71" s="33">
        <f>F70-F69</f>
        <v>-10083.9754488</v>
      </c>
      <c r="G71" s="51"/>
      <c r="H71" s="23" t="s">
        <v>360</v>
      </c>
      <c r="I71" s="21"/>
      <c r="J71" s="12"/>
      <c r="K71" s="12"/>
      <c r="L71" s="32"/>
      <c r="M71" s="33">
        <f>M70-M69</f>
        <v>-10358.0712278392</v>
      </c>
      <c r="N71" s="51"/>
      <c r="O71" s="23" t="s">
        <v>360</v>
      </c>
      <c r="P71" s="21"/>
      <c r="Q71" s="12"/>
      <c r="R71" s="12"/>
      <c r="S71" s="32"/>
      <c r="T71" s="33">
        <f>T70-T69</f>
        <v>-64614.596716231084</v>
      </c>
      <c r="U71" s="51"/>
      <c r="V71" s="23" t="s">
        <v>360</v>
      </c>
      <c r="W71" s="21"/>
      <c r="X71" s="12"/>
      <c r="Y71" s="12"/>
      <c r="Z71" s="32"/>
      <c r="AA71" s="33">
        <f>AA70-AA69</f>
        <v>-9353.4824606051261</v>
      </c>
      <c r="AB71" s="51"/>
      <c r="AC71" s="23" t="s">
        <v>360</v>
      </c>
      <c r="AD71" s="21"/>
      <c r="AE71" s="12"/>
      <c r="AF71" s="12"/>
      <c r="AG71" s="32"/>
      <c r="AH71" s="33">
        <f>AH70-AH69</f>
        <v>304.80135676913778</v>
      </c>
      <c r="AI71" s="51"/>
      <c r="AJ71" s="23" t="s">
        <v>360</v>
      </c>
      <c r="AK71" s="21"/>
      <c r="AL71" s="12"/>
      <c r="AM71" s="12"/>
      <c r="AN71" s="32"/>
      <c r="AO71" s="33">
        <f>AO70-AO69</f>
        <v>7822.1386890486756</v>
      </c>
      <c r="AP71" s="51"/>
      <c r="AQ71" s="23" t="s">
        <v>360</v>
      </c>
      <c r="AR71" s="21"/>
      <c r="AS71" s="12"/>
      <c r="AT71" s="12"/>
      <c r="AU71" s="32"/>
      <c r="AV71" s="33">
        <f>AV70-AV69</f>
        <v>14317.135604488532</v>
      </c>
      <c r="AW71" s="51"/>
      <c r="AX71" s="23" t="s">
        <v>360</v>
      </c>
      <c r="AY71" s="21"/>
      <c r="AZ71" s="12"/>
      <c r="BA71" s="12"/>
      <c r="BB71" s="32"/>
      <c r="BC71" s="33">
        <f>BC70-BC69</f>
        <v>14904.989824928925</v>
      </c>
      <c r="BD71" s="51"/>
      <c r="BE71" s="23" t="s">
        <v>360</v>
      </c>
      <c r="BF71" s="21"/>
      <c r="BG71" s="12"/>
      <c r="BH71" s="12"/>
      <c r="BI71" s="32"/>
      <c r="BJ71" s="33">
        <f>BJ70-BJ69</f>
        <v>15039.13473335329</v>
      </c>
      <c r="BK71" s="51"/>
      <c r="BL71" s="23" t="s">
        <v>360</v>
      </c>
      <c r="BM71" s="21"/>
      <c r="BN71" s="12"/>
      <c r="BO71" s="12"/>
      <c r="BP71" s="32"/>
      <c r="BQ71" s="33">
        <f>BQ70-BQ69</f>
        <v>-32911.613054046524</v>
      </c>
      <c r="BR71" s="51"/>
      <c r="BS71" s="23" t="s">
        <v>360</v>
      </c>
      <c r="BT71" s="21"/>
      <c r="BU71" s="12"/>
      <c r="BV71" s="12"/>
      <c r="BW71" s="32"/>
      <c r="BX71" s="33">
        <f>BX70-BX69</f>
        <v>12010.116733784365</v>
      </c>
      <c r="BY71" s="51"/>
      <c r="BZ71" s="23" t="s">
        <v>360</v>
      </c>
      <c r="CA71" s="21"/>
      <c r="CB71" s="12"/>
      <c r="CC71" s="12"/>
      <c r="CD71" s="32"/>
      <c r="CE71" s="33">
        <f>CE70-CE69</f>
        <v>12118.207784388433</v>
      </c>
      <c r="CF71" s="51"/>
      <c r="CG71" s="23" t="s">
        <v>360</v>
      </c>
      <c r="CH71" s="21"/>
      <c r="CI71" s="12"/>
      <c r="CJ71" s="12"/>
      <c r="CK71" s="32"/>
      <c r="CL71" s="33">
        <f>CL70-CL69</f>
        <v>11827.271654447934</v>
      </c>
      <c r="CM71" s="51"/>
      <c r="CN71" s="23" t="s">
        <v>360</v>
      </c>
      <c r="CO71" s="21"/>
      <c r="CP71" s="12"/>
      <c r="CQ71" s="12"/>
      <c r="CR71" s="32"/>
      <c r="CS71" s="33">
        <f>CS70-CS69</f>
        <v>12333.717099337955</v>
      </c>
      <c r="CT71" s="51"/>
      <c r="CU71" s="23" t="s">
        <v>360</v>
      </c>
      <c r="CV71" s="21"/>
      <c r="CW71" s="12"/>
      <c r="CX71" s="12"/>
      <c r="CY71" s="32"/>
      <c r="CZ71" s="33">
        <f>CZ70-CZ69</f>
        <v>9576.554858549338</v>
      </c>
      <c r="DA71" s="51"/>
      <c r="DB71" s="23" t="s">
        <v>360</v>
      </c>
      <c r="DC71" s="21"/>
      <c r="DD71" s="12"/>
      <c r="DE71" s="12"/>
      <c r="DF71" s="32"/>
      <c r="DG71" s="33">
        <f>DG70-DG69</f>
        <v>794.57815759361256</v>
      </c>
      <c r="DH71" s="51"/>
    </row>
    <row r="72" spans="1:112" x14ac:dyDescent="0.3">
      <c r="A72" s="64" t="s">
        <v>363</v>
      </c>
      <c r="F72" s="342">
        <f>'Standard Erstellung'!E83*(-1)</f>
        <v>-83750.049866666683</v>
      </c>
      <c r="G72" s="51"/>
      <c r="H72" s="64" t="s">
        <v>361</v>
      </c>
      <c r="I72" s="21"/>
      <c r="J72" s="12"/>
      <c r="K72" s="12"/>
      <c r="L72" s="32"/>
      <c r="M72" s="342">
        <f>F73</f>
        <v>-93834.025315466686</v>
      </c>
      <c r="N72" s="51"/>
      <c r="O72" s="64" t="s">
        <v>362</v>
      </c>
      <c r="P72" s="21"/>
      <c r="Q72" s="12"/>
      <c r="R72" s="12"/>
      <c r="S72" s="32"/>
      <c r="T72" s="342">
        <f>M73</f>
        <v>-104192.09654330589</v>
      </c>
      <c r="U72" s="51"/>
      <c r="V72" s="64" t="s">
        <v>377</v>
      </c>
      <c r="W72" s="21"/>
      <c r="X72" s="12"/>
      <c r="Y72" s="12"/>
      <c r="Z72" s="32"/>
      <c r="AA72" s="342">
        <f>T73</f>
        <v>-168806.69325953699</v>
      </c>
      <c r="AB72" s="51"/>
      <c r="AC72" s="64" t="s">
        <v>376</v>
      </c>
      <c r="AD72" s="21"/>
      <c r="AE72" s="12"/>
      <c r="AF72" s="12"/>
      <c r="AG72" s="32"/>
      <c r="AH72" s="342">
        <f>AA73</f>
        <v>-178160.17572014211</v>
      </c>
      <c r="AI72" s="51"/>
      <c r="AJ72" s="64" t="s">
        <v>375</v>
      </c>
      <c r="AK72" s="21"/>
      <c r="AL72" s="12"/>
      <c r="AM72" s="12"/>
      <c r="AN72" s="32"/>
      <c r="AO72" s="342">
        <f>AH73</f>
        <v>-177855.37436337298</v>
      </c>
      <c r="AP72" s="51"/>
      <c r="AQ72" s="64" t="s">
        <v>374</v>
      </c>
      <c r="AR72" s="21"/>
      <c r="AS72" s="12"/>
      <c r="AT72" s="12"/>
      <c r="AU72" s="32"/>
      <c r="AV72" s="342">
        <f>AO73</f>
        <v>-170033.2356743243</v>
      </c>
      <c r="AW72" s="51"/>
      <c r="AX72" s="64" t="s">
        <v>373</v>
      </c>
      <c r="AY72" s="21"/>
      <c r="AZ72" s="12"/>
      <c r="BA72" s="12"/>
      <c r="BB72" s="32"/>
      <c r="BC72" s="342">
        <f>AV73</f>
        <v>-155716.10006983578</v>
      </c>
      <c r="BD72" s="51"/>
      <c r="BE72" s="64" t="s">
        <v>372</v>
      </c>
      <c r="BF72" s="21"/>
      <c r="BG72" s="12"/>
      <c r="BH72" s="12"/>
      <c r="BI72" s="32"/>
      <c r="BJ72" s="342">
        <f>BC73</f>
        <v>-140811.11024490686</v>
      </c>
      <c r="BK72" s="51"/>
      <c r="BL72" s="64" t="s">
        <v>371</v>
      </c>
      <c r="BM72" s="21"/>
      <c r="BN72" s="12"/>
      <c r="BO72" s="12"/>
      <c r="BP72" s="32"/>
      <c r="BQ72" s="342">
        <f>BJ73</f>
        <v>-125771.97551155357</v>
      </c>
      <c r="BR72" s="51"/>
      <c r="BS72" s="64" t="s">
        <v>370</v>
      </c>
      <c r="BT72" s="21"/>
      <c r="BU72" s="12"/>
      <c r="BV72" s="12"/>
      <c r="BW72" s="32"/>
      <c r="BX72" s="342">
        <f>BQ73</f>
        <v>-158683.5885656001</v>
      </c>
      <c r="BY72" s="51"/>
      <c r="BZ72" s="64" t="s">
        <v>369</v>
      </c>
      <c r="CA72" s="21"/>
      <c r="CB72" s="12"/>
      <c r="CC72" s="12"/>
      <c r="CD72" s="32"/>
      <c r="CE72" s="342">
        <f>BX73</f>
        <v>-146673.47183181572</v>
      </c>
      <c r="CF72" s="51"/>
      <c r="CG72" s="64" t="s">
        <v>368</v>
      </c>
      <c r="CH72" s="21"/>
      <c r="CI72" s="12"/>
      <c r="CJ72" s="12"/>
      <c r="CK72" s="32"/>
      <c r="CL72" s="342">
        <f>CE73</f>
        <v>-134555.26404742728</v>
      </c>
      <c r="CM72" s="51"/>
      <c r="CN72" s="64" t="s">
        <v>367</v>
      </c>
      <c r="CO72" s="21"/>
      <c r="CP72" s="12"/>
      <c r="CQ72" s="12"/>
      <c r="CR72" s="32"/>
      <c r="CS72" s="342">
        <f>CL73</f>
        <v>-122727.99239297934</v>
      </c>
      <c r="CT72" s="51"/>
      <c r="CU72" s="64" t="s">
        <v>366</v>
      </c>
      <c r="CV72" s="21"/>
      <c r="CW72" s="12"/>
      <c r="CX72" s="12"/>
      <c r="CY72" s="32"/>
      <c r="CZ72" s="342">
        <f>CS73</f>
        <v>-110394.27529364139</v>
      </c>
      <c r="DA72" s="51"/>
      <c r="DB72" s="64" t="s">
        <v>365</v>
      </c>
      <c r="DC72" s="21"/>
      <c r="DD72" s="12"/>
      <c r="DE72" s="12"/>
      <c r="DF72" s="32"/>
      <c r="DG72" s="342">
        <f>CZ73</f>
        <v>-100817.72043509205</v>
      </c>
      <c r="DH72" s="51"/>
    </row>
    <row r="73" spans="1:112" ht="21" customHeight="1" x14ac:dyDescent="0.35">
      <c r="A73" s="67" t="s">
        <v>361</v>
      </c>
      <c r="B73" s="68"/>
      <c r="C73" s="68"/>
      <c r="D73" s="68"/>
      <c r="E73" s="68"/>
      <c r="F73" s="164">
        <f>((F69)*(-1))+F72+F70</f>
        <v>-93834.025315466686</v>
      </c>
      <c r="G73" s="69"/>
      <c r="H73" s="67" t="s">
        <v>362</v>
      </c>
      <c r="I73" s="68"/>
      <c r="J73" s="68"/>
      <c r="K73" s="68"/>
      <c r="L73" s="68"/>
      <c r="M73" s="164">
        <f>((M69)*(-1))+M72+M70</f>
        <v>-104192.09654330589</v>
      </c>
      <c r="N73" s="69"/>
      <c r="O73" s="67" t="s">
        <v>377</v>
      </c>
      <c r="P73" s="68"/>
      <c r="Q73" s="68"/>
      <c r="R73" s="68"/>
      <c r="S73" s="68"/>
      <c r="T73" s="164">
        <f>((T69)*(-1))+T72+T70</f>
        <v>-168806.69325953699</v>
      </c>
      <c r="U73" s="69"/>
      <c r="V73" s="67" t="s">
        <v>376</v>
      </c>
      <c r="W73" s="68"/>
      <c r="X73" s="68"/>
      <c r="Y73" s="68"/>
      <c r="Z73" s="68"/>
      <c r="AA73" s="164">
        <f>((AA69)*(-1))+AA72+AA70</f>
        <v>-178160.17572014211</v>
      </c>
      <c r="AB73" s="69"/>
      <c r="AC73" s="67" t="s">
        <v>375</v>
      </c>
      <c r="AD73" s="68"/>
      <c r="AE73" s="68"/>
      <c r="AF73" s="68"/>
      <c r="AG73" s="68"/>
      <c r="AH73" s="164">
        <f>((AH69)*(-1))+AH72+AH70</f>
        <v>-177855.37436337298</v>
      </c>
      <c r="AI73" s="69"/>
      <c r="AJ73" s="67" t="s">
        <v>374</v>
      </c>
      <c r="AK73" s="68"/>
      <c r="AL73" s="68"/>
      <c r="AM73" s="68"/>
      <c r="AN73" s="68"/>
      <c r="AO73" s="164">
        <f>((AO69)*(-1))+AO72+AO70</f>
        <v>-170033.2356743243</v>
      </c>
      <c r="AP73" s="69"/>
      <c r="AQ73" s="67" t="s">
        <v>373</v>
      </c>
      <c r="AR73" s="68"/>
      <c r="AS73" s="68"/>
      <c r="AT73" s="68"/>
      <c r="AU73" s="68"/>
      <c r="AV73" s="164">
        <f>((AV69)*(-1))+AV72+AV70</f>
        <v>-155716.10006983578</v>
      </c>
      <c r="AW73" s="69"/>
      <c r="AX73" s="67" t="s">
        <v>372</v>
      </c>
      <c r="AY73" s="68"/>
      <c r="AZ73" s="68"/>
      <c r="BA73" s="68"/>
      <c r="BB73" s="68"/>
      <c r="BC73" s="164">
        <f>((BC69)*(-1))+BC72+BC70</f>
        <v>-140811.11024490686</v>
      </c>
      <c r="BD73" s="69"/>
      <c r="BE73" s="67" t="s">
        <v>371</v>
      </c>
      <c r="BF73" s="68"/>
      <c r="BG73" s="68"/>
      <c r="BH73" s="68"/>
      <c r="BI73" s="68"/>
      <c r="BJ73" s="164">
        <f>((BJ69)*(-1))+BJ72+BJ70</f>
        <v>-125771.97551155357</v>
      </c>
      <c r="BK73" s="69"/>
      <c r="BL73" s="67" t="s">
        <v>370</v>
      </c>
      <c r="BM73" s="68"/>
      <c r="BN73" s="68"/>
      <c r="BO73" s="68"/>
      <c r="BP73" s="68"/>
      <c r="BQ73" s="164">
        <f>((BQ69)*(-1))+BQ72+BQ70</f>
        <v>-158683.5885656001</v>
      </c>
      <c r="BR73" s="69"/>
      <c r="BS73" s="67" t="s">
        <v>369</v>
      </c>
      <c r="BT73" s="68"/>
      <c r="BU73" s="68"/>
      <c r="BV73" s="68"/>
      <c r="BW73" s="68"/>
      <c r="BX73" s="164">
        <f>((BX69)*(-1))+BX72+BX70</f>
        <v>-146673.47183181572</v>
      </c>
      <c r="BY73" s="69"/>
      <c r="BZ73" s="67" t="s">
        <v>368</v>
      </c>
      <c r="CA73" s="68"/>
      <c r="CB73" s="68"/>
      <c r="CC73" s="68"/>
      <c r="CD73" s="68"/>
      <c r="CE73" s="164">
        <f>((CE69)*(-1))+CE72+CE70</f>
        <v>-134555.26404742728</v>
      </c>
      <c r="CF73" s="69"/>
      <c r="CG73" s="67" t="s">
        <v>367</v>
      </c>
      <c r="CH73" s="68"/>
      <c r="CI73" s="68"/>
      <c r="CJ73" s="68"/>
      <c r="CK73" s="68"/>
      <c r="CL73" s="164">
        <f>((CL69)*(-1))+CL72+CL70</f>
        <v>-122727.99239297934</v>
      </c>
      <c r="CM73" s="69"/>
      <c r="CN73" s="67" t="s">
        <v>366</v>
      </c>
      <c r="CO73" s="68"/>
      <c r="CP73" s="68"/>
      <c r="CQ73" s="68"/>
      <c r="CR73" s="68"/>
      <c r="CS73" s="164">
        <f>((CS69)*(-1))+CS72+CS70</f>
        <v>-110394.27529364139</v>
      </c>
      <c r="CT73" s="69"/>
      <c r="CU73" s="67" t="s">
        <v>365</v>
      </c>
      <c r="CV73" s="68"/>
      <c r="CW73" s="68"/>
      <c r="CX73" s="68"/>
      <c r="CY73" s="68"/>
      <c r="CZ73" s="164">
        <f>((CZ69)*(-1))+CZ72+CZ70</f>
        <v>-100817.72043509205</v>
      </c>
      <c r="DA73" s="69"/>
      <c r="DB73" s="67" t="s">
        <v>364</v>
      </c>
      <c r="DC73" s="68"/>
      <c r="DD73" s="68"/>
      <c r="DE73" s="68"/>
      <c r="DF73" s="68"/>
      <c r="DG73" s="164">
        <f>((DG69)*(-1))+DG72+DG70</f>
        <v>-100023.14227749844</v>
      </c>
      <c r="DH73" s="69"/>
    </row>
    <row r="74" spans="1:112" x14ac:dyDescent="0.3">
      <c r="A74" s="340" t="s">
        <v>78</v>
      </c>
      <c r="B74" s="168"/>
      <c r="C74" s="166"/>
      <c r="D74" s="166"/>
      <c r="E74" s="166"/>
      <c r="F74" s="166">
        <f>F73*(-1)</f>
        <v>93834.025315466686</v>
      </c>
      <c r="G74" s="166"/>
      <c r="H74" s="340" t="s">
        <v>78</v>
      </c>
      <c r="I74" s="168"/>
      <c r="J74" s="166"/>
      <c r="K74" s="166"/>
      <c r="L74" s="166"/>
      <c r="M74" s="166">
        <f>M73*(-1)</f>
        <v>104192.09654330589</v>
      </c>
      <c r="N74" s="166"/>
      <c r="O74" s="340" t="s">
        <v>78</v>
      </c>
      <c r="P74" s="168"/>
      <c r="Q74" s="166"/>
      <c r="R74" s="166"/>
      <c r="S74" s="166"/>
      <c r="T74" s="166">
        <f>T73*(-1)</f>
        <v>168806.69325953699</v>
      </c>
      <c r="U74" s="166"/>
      <c r="V74" s="341" t="s">
        <v>78</v>
      </c>
      <c r="W74" s="168"/>
      <c r="X74" s="166"/>
      <c r="Y74" s="166"/>
      <c r="Z74" s="166"/>
      <c r="AA74" s="250">
        <f>(AA73)*(-1)</f>
        <v>178160.17572014211</v>
      </c>
      <c r="AB74" s="166"/>
      <c r="AC74" s="341" t="s">
        <v>78</v>
      </c>
      <c r="AD74" s="168"/>
      <c r="AE74" s="166"/>
      <c r="AF74" s="166"/>
      <c r="AG74" s="166"/>
      <c r="AH74" s="251">
        <f>(AA74)-($AA$74/'Standard Vorgaben'!$B$24)</f>
        <v>163313.49441013028</v>
      </c>
      <c r="AI74" s="166"/>
      <c r="AJ74" s="341" t="s">
        <v>78</v>
      </c>
      <c r="AK74" s="168"/>
      <c r="AL74" s="166"/>
      <c r="AM74" s="166"/>
      <c r="AN74" s="166"/>
      <c r="AO74" s="251">
        <f>(AH74)-($AA$74/'Standard Vorgaben'!$B$24)</f>
        <v>148466.81310011845</v>
      </c>
      <c r="AP74" s="166"/>
      <c r="AQ74" s="341" t="s">
        <v>78</v>
      </c>
      <c r="AR74" s="168"/>
      <c r="AS74" s="166"/>
      <c r="AT74" s="166"/>
      <c r="AU74" s="166"/>
      <c r="AV74" s="251">
        <f>(AO74)-($AA$74/'Standard Vorgaben'!$B$24)</f>
        <v>133620.13179010662</v>
      </c>
      <c r="AW74" s="166"/>
      <c r="AX74" s="341" t="s">
        <v>78</v>
      </c>
      <c r="AY74" s="168"/>
      <c r="AZ74" s="166"/>
      <c r="BA74" s="166"/>
      <c r="BB74" s="166"/>
      <c r="BC74" s="251">
        <f>(AV74)-($AA$74/'Standard Vorgaben'!$B$24)</f>
        <v>118773.45048009478</v>
      </c>
      <c r="BD74" s="166"/>
      <c r="BE74" s="341" t="s">
        <v>78</v>
      </c>
      <c r="BF74" s="168"/>
      <c r="BG74" s="166"/>
      <c r="BH74" s="166"/>
      <c r="BI74" s="166"/>
      <c r="BJ74" s="251">
        <f>(BC74)-($AA$74/'Standard Vorgaben'!$B$24)</f>
        <v>103926.76917008293</v>
      </c>
      <c r="BK74" s="166"/>
      <c r="BL74" s="341" t="s">
        <v>78</v>
      </c>
      <c r="BM74" s="168"/>
      <c r="BN74" s="166"/>
      <c r="BO74" s="166"/>
      <c r="BP74" s="166"/>
      <c r="BQ74" s="251">
        <f>(BJ74)-($AA$74/'Standard Vorgaben'!$B$24)</f>
        <v>89080.087860071086</v>
      </c>
      <c r="BR74" s="166"/>
      <c r="BS74" s="341" t="s">
        <v>78</v>
      </c>
      <c r="BT74" s="168"/>
      <c r="BU74" s="166"/>
      <c r="BV74" s="166"/>
      <c r="BW74" s="166"/>
      <c r="BX74" s="251">
        <f>(BQ74)-($AA$74/'Standard Vorgaben'!$B$24)</f>
        <v>74233.406550059241</v>
      </c>
      <c r="BY74" s="166"/>
      <c r="BZ74" s="341" t="s">
        <v>78</v>
      </c>
      <c r="CA74" s="168"/>
      <c r="CB74" s="166"/>
      <c r="CC74" s="166"/>
      <c r="CD74" s="166"/>
      <c r="CE74" s="251">
        <f>(BX74)-($AA$74/'Standard Vorgaben'!$B$24)</f>
        <v>59386.725240047395</v>
      </c>
      <c r="CF74" s="166"/>
      <c r="CG74" s="341" t="s">
        <v>78</v>
      </c>
      <c r="CH74" s="168"/>
      <c r="CI74" s="166"/>
      <c r="CJ74" s="166"/>
      <c r="CK74" s="166"/>
      <c r="CL74" s="251">
        <f>(CE74)-($AA$74/'Standard Vorgaben'!$B$24)</f>
        <v>44540.04393003555</v>
      </c>
      <c r="CM74" s="166"/>
      <c r="CN74" s="341" t="s">
        <v>78</v>
      </c>
      <c r="CO74" s="168"/>
      <c r="CP74" s="166"/>
      <c r="CQ74" s="166"/>
      <c r="CR74" s="166"/>
      <c r="CS74" s="251">
        <f>(CL74)-($AA$74/'Standard Vorgaben'!$B$24)</f>
        <v>29693.362620023705</v>
      </c>
      <c r="CT74" s="166"/>
      <c r="CU74" s="341" t="s">
        <v>78</v>
      </c>
      <c r="CV74" s="168"/>
      <c r="CW74" s="166"/>
      <c r="CX74" s="166"/>
      <c r="CY74" s="166"/>
      <c r="CZ74" s="251">
        <f>(CS74)-($AA$74/'Standard Vorgaben'!$B$24)</f>
        <v>14846.681310011862</v>
      </c>
      <c r="DA74" s="166"/>
      <c r="DB74" s="169" t="s">
        <v>78</v>
      </c>
      <c r="DC74" s="168"/>
      <c r="DD74" s="166"/>
      <c r="DE74" s="166"/>
      <c r="DF74" s="166"/>
      <c r="DG74" s="251">
        <f>(CZ74)-($AA$74/'Standard Vorgaben'!$B$24)</f>
        <v>1.8189894035458565E-11</v>
      </c>
      <c r="DH74" s="166"/>
    </row>
    <row r="75" spans="1:112" x14ac:dyDescent="0.3">
      <c r="A75"/>
      <c r="B75"/>
      <c r="C75"/>
      <c r="D75"/>
      <c r="E75"/>
      <c r="F75"/>
      <c r="G75"/>
      <c r="H75"/>
      <c r="I75"/>
      <c r="R75"/>
      <c r="DA75"/>
      <c r="DB75" s="125" t="s">
        <v>177</v>
      </c>
      <c r="DC75">
        <f>'Standard Vorgaben'!C33</f>
        <v>6000</v>
      </c>
      <c r="DH75"/>
    </row>
    <row r="76" spans="1:112" ht="12.5" x14ac:dyDescent="0.25">
      <c r="A76"/>
      <c r="B76"/>
      <c r="C76"/>
      <c r="D76"/>
      <c r="E76"/>
      <c r="F76"/>
      <c r="G76"/>
      <c r="H76"/>
      <c r="I76"/>
      <c r="R76"/>
      <c r="DA76"/>
      <c r="DH76"/>
    </row>
    <row r="77" spans="1:112" ht="12.5" x14ac:dyDescent="0.25">
      <c r="A77"/>
      <c r="B77"/>
      <c r="C77"/>
      <c r="D77"/>
      <c r="E77"/>
      <c r="F77"/>
      <c r="G77"/>
      <c r="H77"/>
      <c r="I77"/>
      <c r="R77"/>
      <c r="DA77"/>
      <c r="DH77"/>
    </row>
    <row r="78" spans="1:112" ht="20.25" customHeight="1" x14ac:dyDescent="0.25">
      <c r="A78"/>
      <c r="B78"/>
      <c r="C78"/>
      <c r="D78"/>
      <c r="E78"/>
      <c r="F78"/>
      <c r="G78"/>
      <c r="H78"/>
      <c r="I78"/>
      <c r="R78"/>
      <c r="DA78"/>
      <c r="DH78"/>
    </row>
    <row r="79" spans="1:112" ht="12.5" x14ac:dyDescent="0.25">
      <c r="A79"/>
      <c r="B79"/>
      <c r="C79"/>
      <c r="D79"/>
      <c r="E79"/>
      <c r="F79"/>
      <c r="G79"/>
      <c r="H79"/>
      <c r="I79"/>
      <c r="R79"/>
      <c r="DA79"/>
      <c r="DH79"/>
    </row>
    <row r="80" spans="1:112" ht="12.5" x14ac:dyDescent="0.25">
      <c r="A80"/>
      <c r="B80"/>
      <c r="C80"/>
      <c r="D80"/>
      <c r="E80"/>
      <c r="F80"/>
      <c r="G80"/>
      <c r="H80"/>
      <c r="I80"/>
      <c r="R80"/>
      <c r="DA80"/>
      <c r="DH80"/>
    </row>
    <row r="81" spans="1:112" ht="12.5" x14ac:dyDescent="0.25">
      <c r="A81"/>
      <c r="B81"/>
      <c r="C81"/>
      <c r="D81"/>
      <c r="E81"/>
      <c r="F81"/>
      <c r="G81"/>
      <c r="H81"/>
      <c r="I81"/>
      <c r="R81"/>
      <c r="DA81"/>
      <c r="DH81"/>
    </row>
    <row r="82" spans="1:112" ht="12.5" x14ac:dyDescent="0.25">
      <c r="A82"/>
      <c r="B82"/>
      <c r="C82"/>
      <c r="D82"/>
      <c r="E82"/>
      <c r="F82"/>
      <c r="G82"/>
      <c r="H82"/>
      <c r="I82"/>
      <c r="R82"/>
      <c r="DA82"/>
      <c r="DH82"/>
    </row>
    <row r="83" spans="1:112" ht="12.5" x14ac:dyDescent="0.25">
      <c r="A83"/>
      <c r="B83"/>
      <c r="C83"/>
      <c r="D83"/>
      <c r="E83"/>
      <c r="F83"/>
      <c r="G83"/>
      <c r="H83"/>
      <c r="I83"/>
      <c r="R83"/>
      <c r="DA83"/>
      <c r="DH83"/>
    </row>
    <row r="84" spans="1:112" ht="12.5" x14ac:dyDescent="0.25">
      <c r="A84"/>
      <c r="B84"/>
      <c r="C84"/>
      <c r="D84"/>
      <c r="E84"/>
      <c r="F84"/>
      <c r="G84"/>
      <c r="H84"/>
      <c r="I84"/>
      <c r="R84"/>
      <c r="DA84"/>
      <c r="DH84"/>
    </row>
    <row r="85" spans="1:112" ht="12.5" x14ac:dyDescent="0.25">
      <c r="A85"/>
      <c r="B85"/>
      <c r="C85"/>
      <c r="D85"/>
      <c r="E85"/>
      <c r="F85"/>
      <c r="G85"/>
      <c r="H85"/>
      <c r="I85"/>
      <c r="R85"/>
      <c r="DA85"/>
      <c r="DH85"/>
    </row>
    <row r="86" spans="1:112" ht="12.5" x14ac:dyDescent="0.25">
      <c r="A86"/>
      <c r="B86"/>
      <c r="C86"/>
      <c r="D86"/>
      <c r="E86"/>
      <c r="F86"/>
      <c r="G86"/>
      <c r="H86"/>
      <c r="I86"/>
      <c r="R86"/>
      <c r="DA86"/>
      <c r="DH86"/>
    </row>
    <row r="87" spans="1:112" ht="12.5" x14ac:dyDescent="0.25">
      <c r="A87"/>
      <c r="B87"/>
      <c r="C87"/>
      <c r="D87"/>
      <c r="E87"/>
      <c r="F87"/>
      <c r="G87"/>
      <c r="H87"/>
      <c r="I87"/>
      <c r="R87"/>
      <c r="DA87"/>
      <c r="DH87"/>
    </row>
    <row r="88" spans="1:112" ht="12.5" x14ac:dyDescent="0.25">
      <c r="A88"/>
      <c r="B88"/>
      <c r="C88"/>
      <c r="D88"/>
      <c r="E88"/>
      <c r="F88"/>
      <c r="G88"/>
      <c r="H88"/>
      <c r="I88"/>
      <c r="R88"/>
      <c r="DA88"/>
      <c r="DH88"/>
    </row>
    <row r="89" spans="1:112" ht="12.5" x14ac:dyDescent="0.25">
      <c r="A89"/>
      <c r="B89"/>
      <c r="C89"/>
      <c r="D89"/>
      <c r="E89"/>
      <c r="F89"/>
      <c r="G89"/>
      <c r="H89"/>
      <c r="I89"/>
      <c r="R89"/>
      <c r="DA89"/>
      <c r="DH89"/>
    </row>
    <row r="90" spans="1:112" ht="12.5" x14ac:dyDescent="0.25">
      <c r="A90"/>
      <c r="B90"/>
      <c r="C90"/>
      <c r="D90"/>
      <c r="E90"/>
      <c r="F90"/>
      <c r="G90"/>
      <c r="H90"/>
      <c r="I90"/>
      <c r="R90"/>
      <c r="DA90"/>
      <c r="DH90"/>
    </row>
    <row r="91" spans="1:112" ht="12.5" x14ac:dyDescent="0.25">
      <c r="A91"/>
      <c r="B91"/>
      <c r="C91"/>
      <c r="D91"/>
      <c r="E91"/>
      <c r="F91"/>
      <c r="G91"/>
      <c r="H91"/>
      <c r="I91"/>
      <c r="R91"/>
      <c r="DA91"/>
      <c r="DH91"/>
    </row>
    <row r="92" spans="1:112" x14ac:dyDescent="0.3">
      <c r="A92" s="53"/>
      <c r="B92" s="283"/>
      <c r="C92" s="59"/>
      <c r="D92" s="59"/>
      <c r="E92" s="60"/>
      <c r="F92" s="61"/>
      <c r="G92" s="59"/>
      <c r="H92" s="59"/>
      <c r="I92" s="59"/>
      <c r="J92" s="25"/>
      <c r="K92" s="25"/>
      <c r="L92" s="25"/>
      <c r="M92" s="25"/>
      <c r="N92" s="25"/>
      <c r="O92" s="59"/>
      <c r="P92" s="59"/>
      <c r="Q92" s="25"/>
      <c r="R92" s="52"/>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row>
    <row r="93" spans="1:112" x14ac:dyDescent="0.3">
      <c r="A93" s="53"/>
      <c r="B93" s="283"/>
      <c r="C93" s="59"/>
      <c r="D93" s="59"/>
      <c r="E93" s="60"/>
      <c r="F93" s="61"/>
      <c r="G93" s="59"/>
      <c r="H93" s="59"/>
      <c r="I93" s="59"/>
      <c r="J93" s="25"/>
      <c r="K93" s="25"/>
      <c r="L93" s="25"/>
      <c r="M93" s="25"/>
      <c r="N93" s="25"/>
      <c r="O93" s="59"/>
      <c r="P93" s="59"/>
      <c r="Q93" s="25"/>
      <c r="R93" s="52"/>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row>
    <row r="94" spans="1:112" x14ac:dyDescent="0.3">
      <c r="A94" s="53"/>
      <c r="B94" s="283"/>
      <c r="C94" s="59"/>
      <c r="D94" s="59"/>
      <c r="E94" s="60"/>
      <c r="F94" s="61"/>
      <c r="G94" s="59"/>
      <c r="H94" s="59"/>
      <c r="I94" s="59"/>
      <c r="J94" s="25"/>
      <c r="K94" s="25"/>
      <c r="L94" s="25"/>
      <c r="M94" s="25"/>
      <c r="N94" s="25"/>
      <c r="O94" s="59"/>
      <c r="P94" s="59"/>
      <c r="Q94" s="25"/>
      <c r="R94" s="52"/>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row>
    <row r="95" spans="1:112" x14ac:dyDescent="0.3">
      <c r="A95" s="53"/>
      <c r="B95" s="283"/>
      <c r="C95" s="59"/>
      <c r="D95" s="59"/>
      <c r="E95" s="60"/>
      <c r="F95" s="61"/>
      <c r="G95" s="59"/>
      <c r="H95" s="59"/>
      <c r="I95" s="59"/>
      <c r="J95" s="25"/>
      <c r="K95" s="25"/>
      <c r="L95" s="25"/>
      <c r="M95" s="25"/>
      <c r="N95" s="25"/>
      <c r="O95" s="59"/>
      <c r="P95" s="59"/>
      <c r="Q95" s="25"/>
      <c r="R95" s="52"/>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row>
    <row r="96" spans="1:112" x14ac:dyDescent="0.3">
      <c r="A96" s="53"/>
      <c r="B96" s="283"/>
      <c r="C96" s="59"/>
      <c r="D96" s="59"/>
      <c r="E96" s="62"/>
      <c r="F96" s="61"/>
      <c r="G96" s="59"/>
      <c r="H96" s="59"/>
      <c r="I96" s="59"/>
      <c r="J96" s="25"/>
      <c r="K96" s="25"/>
      <c r="L96" s="25"/>
      <c r="M96" s="25"/>
      <c r="N96" s="25"/>
      <c r="O96" s="59"/>
      <c r="P96" s="59"/>
      <c r="Q96" s="25"/>
      <c r="R96" s="52"/>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row>
    <row r="97" spans="1:112" x14ac:dyDescent="0.3">
      <c r="A97" s="53"/>
      <c r="B97" s="283"/>
      <c r="C97" s="59"/>
      <c r="D97" s="59"/>
      <c r="E97" s="60"/>
      <c r="F97" s="61"/>
      <c r="G97" s="59"/>
      <c r="H97" s="59"/>
      <c r="I97" s="59"/>
      <c r="J97" s="25"/>
      <c r="K97" s="25"/>
      <c r="L97" s="25"/>
      <c r="M97" s="25"/>
      <c r="N97" s="25"/>
      <c r="O97" s="59"/>
      <c r="P97" s="59"/>
      <c r="Q97" s="25"/>
      <c r="R97" s="52"/>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row>
    <row r="98" spans="1:112" x14ac:dyDescent="0.3">
      <c r="A98" s="53"/>
      <c r="B98" s="283"/>
      <c r="C98" s="59"/>
      <c r="D98" s="59"/>
      <c r="E98" s="60"/>
      <c r="F98" s="61"/>
      <c r="G98" s="59"/>
      <c r="H98" s="59"/>
      <c r="I98" s="59"/>
      <c r="J98" s="25"/>
      <c r="K98" s="25"/>
      <c r="L98" s="25"/>
      <c r="M98" s="25"/>
      <c r="N98" s="25"/>
      <c r="O98" s="59"/>
      <c r="P98" s="59"/>
      <c r="Q98" s="25"/>
      <c r="R98" s="52"/>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row>
    <row r="99" spans="1:112" x14ac:dyDescent="0.3">
      <c r="A99" s="53"/>
      <c r="B99" s="283"/>
      <c r="C99" s="59"/>
      <c r="D99" s="59"/>
      <c r="E99" s="60"/>
      <c r="F99" s="61"/>
      <c r="G99" s="59"/>
      <c r="H99" s="59"/>
      <c r="I99" s="59"/>
      <c r="J99" s="25"/>
      <c r="K99" s="25"/>
      <c r="L99" s="25"/>
      <c r="M99" s="25"/>
      <c r="N99" s="25"/>
      <c r="O99" s="59"/>
      <c r="P99" s="59"/>
      <c r="Q99" s="25"/>
      <c r="R99" s="52"/>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row>
    <row r="100" spans="1:112" x14ac:dyDescent="0.3">
      <c r="A100" s="53"/>
      <c r="B100" s="55"/>
      <c r="C100" s="59"/>
      <c r="D100" s="59"/>
      <c r="E100" s="60"/>
      <c r="F100" s="61"/>
      <c r="G100" s="59"/>
      <c r="H100" s="59"/>
      <c r="I100" s="59"/>
      <c r="J100" s="25"/>
      <c r="K100" s="25"/>
      <c r="L100" s="25"/>
      <c r="M100" s="25"/>
      <c r="N100" s="25"/>
      <c r="O100" s="59"/>
      <c r="P100" s="59"/>
      <c r="Q100" s="25"/>
      <c r="R100" s="52"/>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row>
    <row r="101" spans="1:112" x14ac:dyDescent="0.3">
      <c r="A101" s="53"/>
      <c r="B101" s="54"/>
      <c r="C101" s="59"/>
      <c r="D101" s="59"/>
      <c r="E101" s="60"/>
      <c r="F101" s="61"/>
      <c r="G101" s="59"/>
      <c r="H101" s="59"/>
      <c r="I101" s="59"/>
      <c r="J101" s="25"/>
      <c r="K101" s="25"/>
      <c r="L101" s="25"/>
      <c r="M101" s="25"/>
      <c r="N101" s="25"/>
      <c r="O101" s="59"/>
      <c r="P101" s="59"/>
      <c r="Q101" s="25"/>
      <c r="R101" s="52"/>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row>
    <row r="102" spans="1:112" x14ac:dyDescent="0.3">
      <c r="A102" s="53"/>
      <c r="B102" s="54"/>
      <c r="C102" s="59"/>
      <c r="D102" s="59"/>
      <c r="E102" s="60"/>
      <c r="F102" s="61"/>
      <c r="G102" s="59"/>
      <c r="H102" s="59"/>
      <c r="I102" s="59"/>
      <c r="J102" s="25"/>
      <c r="K102" s="25"/>
      <c r="L102" s="25"/>
      <c r="M102" s="25"/>
      <c r="N102" s="25"/>
      <c r="O102" s="59"/>
      <c r="P102" s="59"/>
      <c r="Q102" s="25"/>
      <c r="R102" s="52"/>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row>
    <row r="103" spans="1:112" x14ac:dyDescent="0.3">
      <c r="A103" s="53"/>
      <c r="B103" s="54"/>
      <c r="C103" s="59"/>
      <c r="D103" s="59"/>
      <c r="E103" s="60"/>
      <c r="F103" s="61"/>
      <c r="G103" s="59"/>
      <c r="H103" s="59"/>
      <c r="I103" s="59"/>
      <c r="J103" s="25"/>
      <c r="K103" s="25"/>
      <c r="L103" s="25"/>
      <c r="M103" s="25"/>
      <c r="N103" s="25"/>
      <c r="O103" s="59"/>
      <c r="P103" s="59"/>
      <c r="Q103" s="25"/>
      <c r="R103" s="52"/>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row>
    <row r="104" spans="1:112" x14ac:dyDescent="0.3">
      <c r="A104" s="53"/>
      <c r="B104" s="54"/>
      <c r="C104" s="59"/>
      <c r="D104" s="59"/>
      <c r="E104" s="60"/>
      <c r="F104" s="61"/>
      <c r="G104" s="59"/>
      <c r="H104" s="59"/>
      <c r="I104" s="59"/>
      <c r="J104" s="25"/>
      <c r="K104" s="25"/>
      <c r="L104" s="25"/>
      <c r="M104" s="25"/>
      <c r="N104" s="25"/>
      <c r="O104" s="59"/>
      <c r="P104" s="59"/>
      <c r="Q104" s="25"/>
      <c r="R104" s="52"/>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row>
    <row r="105" spans="1:112" x14ac:dyDescent="0.3">
      <c r="A105" s="53"/>
      <c r="B105" s="54"/>
      <c r="C105" s="59"/>
      <c r="D105" s="59"/>
      <c r="E105" s="60"/>
      <c r="F105" s="61"/>
      <c r="G105" s="59"/>
      <c r="H105" s="59"/>
      <c r="I105" s="59"/>
      <c r="J105" s="25"/>
      <c r="K105" s="25"/>
      <c r="L105" s="25"/>
      <c r="M105" s="25"/>
      <c r="N105" s="25"/>
      <c r="O105" s="59"/>
      <c r="P105" s="59"/>
      <c r="Q105" s="25"/>
      <c r="R105" s="52"/>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row>
    <row r="106" spans="1:112" x14ac:dyDescent="0.3">
      <c r="A106" s="53"/>
      <c r="B106" s="54"/>
      <c r="C106" s="59"/>
      <c r="D106" s="59"/>
      <c r="E106" s="60"/>
      <c r="F106" s="61"/>
      <c r="G106" s="59"/>
      <c r="H106" s="59"/>
      <c r="I106" s="59"/>
      <c r="J106" s="25"/>
      <c r="K106" s="25"/>
      <c r="L106" s="25"/>
      <c r="M106" s="25"/>
      <c r="N106" s="25"/>
      <c r="O106" s="59"/>
      <c r="P106" s="59"/>
      <c r="Q106" s="25"/>
      <c r="R106" s="52"/>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row>
    <row r="107" spans="1:112" x14ac:dyDescent="0.3">
      <c r="O107" s="12"/>
      <c r="P107" s="12"/>
    </row>
    <row r="108" spans="1:112" x14ac:dyDescent="0.3">
      <c r="O108" s="12"/>
      <c r="P108" s="12"/>
    </row>
    <row r="109" spans="1:112" x14ac:dyDescent="0.3">
      <c r="O109" s="12"/>
      <c r="P109" s="12"/>
    </row>
    <row r="110" spans="1:112" x14ac:dyDescent="0.3">
      <c r="O110" s="12"/>
      <c r="P110" s="12"/>
    </row>
    <row r="111" spans="1:112" x14ac:dyDescent="0.3">
      <c r="O111" s="12"/>
      <c r="P111" s="12"/>
    </row>
    <row r="112" spans="1:112" x14ac:dyDescent="0.3">
      <c r="O112" s="12"/>
      <c r="P112" s="12"/>
    </row>
    <row r="113" spans="15:16" x14ac:dyDescent="0.3">
      <c r="O113" s="12"/>
      <c r="P113" s="12"/>
    </row>
    <row r="114" spans="15:16" x14ac:dyDescent="0.3">
      <c r="O114" s="12"/>
      <c r="P114" s="12"/>
    </row>
    <row r="115" spans="15:16" x14ac:dyDescent="0.3">
      <c r="O115" s="12"/>
      <c r="P115" s="12"/>
    </row>
    <row r="116" spans="15:16" x14ac:dyDescent="0.3">
      <c r="O116" s="12"/>
      <c r="P116" s="12"/>
    </row>
    <row r="117" spans="15:16" x14ac:dyDescent="0.3">
      <c r="O117" s="12"/>
      <c r="P117" s="12"/>
    </row>
    <row r="118" spans="15:16" x14ac:dyDescent="0.3">
      <c r="O118" s="12"/>
      <c r="P118" s="12"/>
    </row>
    <row r="119" spans="15:16" x14ac:dyDescent="0.3">
      <c r="O119" s="12"/>
      <c r="P119" s="12"/>
    </row>
    <row r="120" spans="15:16" x14ac:dyDescent="0.3">
      <c r="O120" s="12"/>
      <c r="P120" s="12"/>
    </row>
    <row r="121" spans="15:16" x14ac:dyDescent="0.3">
      <c r="O121" s="12"/>
      <c r="P121" s="12"/>
    </row>
    <row r="122" spans="15:16" x14ac:dyDescent="0.3">
      <c r="O122" s="12"/>
      <c r="P122" s="12"/>
    </row>
    <row r="123" spans="15:16" x14ac:dyDescent="0.3">
      <c r="O123" s="12"/>
      <c r="P123" s="12"/>
    </row>
    <row r="124" spans="15:16" x14ac:dyDescent="0.3">
      <c r="O124" s="12"/>
      <c r="P124" s="12"/>
    </row>
    <row r="125" spans="15:16" x14ac:dyDescent="0.3">
      <c r="O125" s="12"/>
      <c r="P125" s="12"/>
    </row>
    <row r="126" spans="15:16" x14ac:dyDescent="0.3">
      <c r="O126" s="12"/>
      <c r="P126" s="12"/>
    </row>
    <row r="127" spans="15:16" x14ac:dyDescent="0.3">
      <c r="O127" s="12"/>
      <c r="P127" s="12"/>
    </row>
    <row r="128" spans="15:16" x14ac:dyDescent="0.3">
      <c r="O128" s="12"/>
      <c r="P128" s="12"/>
    </row>
    <row r="129" spans="15:16" x14ac:dyDescent="0.3">
      <c r="O129" s="12"/>
      <c r="P129" s="12"/>
    </row>
    <row r="130" spans="15:16" x14ac:dyDescent="0.3">
      <c r="O130" s="12"/>
      <c r="P130" s="12"/>
    </row>
    <row r="131" spans="15:16" x14ac:dyDescent="0.3">
      <c r="O131" s="12"/>
      <c r="P131" s="12"/>
    </row>
    <row r="132" spans="15:16" x14ac:dyDescent="0.3">
      <c r="O132" s="12"/>
      <c r="P132" s="12"/>
    </row>
    <row r="133" spans="15:16" x14ac:dyDescent="0.3">
      <c r="O133" s="12"/>
      <c r="P133" s="12"/>
    </row>
    <row r="134" spans="15:16" x14ac:dyDescent="0.3">
      <c r="O134" s="12"/>
      <c r="P134" s="12"/>
    </row>
    <row r="135" spans="15:16" x14ac:dyDescent="0.3">
      <c r="O135" s="12"/>
      <c r="P135" s="12"/>
    </row>
    <row r="136" spans="15:16" x14ac:dyDescent="0.3">
      <c r="O136" s="12"/>
      <c r="P136" s="12"/>
    </row>
    <row r="137" spans="15:16" x14ac:dyDescent="0.3">
      <c r="O137" s="12"/>
      <c r="P137" s="12"/>
    </row>
    <row r="138" spans="15:16" x14ac:dyDescent="0.3">
      <c r="O138" s="12"/>
      <c r="P138" s="12"/>
    </row>
    <row r="139" spans="15:16" x14ac:dyDescent="0.3">
      <c r="O139" s="12"/>
      <c r="P139" s="12"/>
    </row>
    <row r="140" spans="15:16" x14ac:dyDescent="0.3">
      <c r="O140" s="12"/>
      <c r="P140" s="12"/>
    </row>
    <row r="141" spans="15:16" x14ac:dyDescent="0.3">
      <c r="O141" s="12"/>
      <c r="P141" s="12"/>
    </row>
    <row r="142" spans="15:16" x14ac:dyDescent="0.3">
      <c r="O142" s="12"/>
      <c r="P142" s="12"/>
    </row>
    <row r="143" spans="15:16" x14ac:dyDescent="0.3">
      <c r="O143" s="12"/>
      <c r="P143" s="12"/>
    </row>
    <row r="144" spans="15:16" x14ac:dyDescent="0.3">
      <c r="O144" s="12"/>
      <c r="P144" s="12"/>
    </row>
    <row r="145" spans="15:16" x14ac:dyDescent="0.3">
      <c r="O145" s="12"/>
      <c r="P145" s="12"/>
    </row>
    <row r="146" spans="15:16" x14ac:dyDescent="0.3">
      <c r="O146" s="12"/>
      <c r="P146" s="12"/>
    </row>
    <row r="147" spans="15:16" x14ac:dyDescent="0.3">
      <c r="O147" s="12"/>
      <c r="P147" s="12"/>
    </row>
    <row r="148" spans="15:16" x14ac:dyDescent="0.3">
      <c r="O148" s="12"/>
      <c r="P148" s="12"/>
    </row>
    <row r="149" spans="15:16" x14ac:dyDescent="0.3">
      <c r="O149" s="12"/>
      <c r="P149" s="12"/>
    </row>
    <row r="150" spans="15:16" x14ac:dyDescent="0.3">
      <c r="O150" s="12"/>
      <c r="P150" s="12"/>
    </row>
    <row r="151" spans="15:16" x14ac:dyDescent="0.3">
      <c r="O151" s="12"/>
      <c r="P151" s="12"/>
    </row>
    <row r="152" spans="15:16" x14ac:dyDescent="0.3">
      <c r="O152" s="12"/>
      <c r="P152" s="12"/>
    </row>
    <row r="153" spans="15:16" x14ac:dyDescent="0.3">
      <c r="O153" s="12"/>
      <c r="P153" s="12"/>
    </row>
    <row r="154" spans="15:16" x14ac:dyDescent="0.3">
      <c r="O154" s="12"/>
      <c r="P154" s="12"/>
    </row>
    <row r="155" spans="15:16" x14ac:dyDescent="0.3">
      <c r="O155" s="12"/>
      <c r="P155" s="12"/>
    </row>
    <row r="156" spans="15:16" x14ac:dyDescent="0.3">
      <c r="O156" s="12"/>
      <c r="P156" s="12"/>
    </row>
    <row r="157" spans="15:16" x14ac:dyDescent="0.3">
      <c r="O157" s="12"/>
      <c r="P157" s="12"/>
    </row>
    <row r="158" spans="15:16" x14ac:dyDescent="0.3">
      <c r="O158" s="12"/>
      <c r="P158" s="12"/>
    </row>
    <row r="159" spans="15:16" x14ac:dyDescent="0.3">
      <c r="O159" s="12"/>
      <c r="P159" s="12"/>
    </row>
    <row r="160" spans="15:16" x14ac:dyDescent="0.3">
      <c r="O160" s="12"/>
      <c r="P160" s="12"/>
    </row>
    <row r="161" spans="15:16" x14ac:dyDescent="0.3">
      <c r="O161" s="12"/>
      <c r="P161" s="12"/>
    </row>
    <row r="162" spans="15:16" x14ac:dyDescent="0.3">
      <c r="O162" s="12"/>
      <c r="P162" s="12"/>
    </row>
  </sheetData>
  <phoneticPr fontId="25" type="noConversion"/>
  <printOptions gridLines="1" gridLinesSet="0"/>
  <pageMargins left="0.78740157480314965" right="0.59055118110236227" top="0.39370078740157483" bottom="0.39370078740157483" header="0.51181102362204722" footer="0.51181102362204722"/>
  <pageSetup paperSize="9" scale="70" orientation="portrait" copies="2" r:id="rId1"/>
  <headerFooter alignWithMargins="0">
    <oddFooter>&amp;L&amp;6&amp;F&amp;C&amp;6&amp;A  &amp;R&amp;6Kontakt: matthias.zuercher@faw.admin.ch</oddFooter>
  </headerFooter>
  <colBreaks count="4" manualBreakCount="4">
    <brk id="7" max="1048575" man="1"/>
    <brk id="14" max="1048575" man="1"/>
    <brk id="21" max="1048575" man="1"/>
    <brk id="42" max="1048575" man="1"/>
  </colBreaks>
  <cellWatches>
    <cellWatch r="T73"/>
  </cellWatche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tragsphase">
    <tabColor rgb="FF00359E"/>
  </sheetPr>
  <dimension ref="A1:O173"/>
  <sheetViews>
    <sheetView topLeftCell="A62" zoomScale="75" workbookViewId="0">
      <selection activeCell="F76" sqref="F76"/>
    </sheetView>
  </sheetViews>
  <sheetFormatPr baseColWidth="10" defaultColWidth="11.36328125" defaultRowHeight="12.5" x14ac:dyDescent="0.25"/>
  <cols>
    <col min="1" max="1" width="35.1796875" customWidth="1"/>
    <col min="2" max="2" width="31.81640625" customWidth="1"/>
    <col min="3" max="3" width="18.7265625" customWidth="1"/>
    <col min="4" max="4" width="13.54296875" customWidth="1"/>
    <col min="5" max="5" width="12.7265625" customWidth="1"/>
    <col min="6" max="6" width="16.26953125" customWidth="1"/>
    <col min="7" max="7" width="13.26953125" bestFit="1" customWidth="1"/>
    <col min="8" max="8" width="6.54296875" customWidth="1"/>
    <col min="9" max="9" width="15.54296875" customWidth="1"/>
    <col min="10" max="10" width="16.81640625" style="12" customWidth="1"/>
    <col min="11" max="11" width="11.36328125" style="20" customWidth="1"/>
  </cols>
  <sheetData>
    <row r="1" spans="1:9" ht="32.25" customHeight="1" x14ac:dyDescent="0.5">
      <c r="A1" s="369" t="str">
        <f>'Standard Vorgaben'!A1</f>
        <v>Arbokost 2023</v>
      </c>
      <c r="B1" s="625" t="str">
        <f>'Standard Erstellung'!B1</f>
        <v>Tafelkirsche</v>
      </c>
      <c r="C1" s="359"/>
      <c r="D1" s="359"/>
      <c r="E1" s="351"/>
      <c r="F1" s="351"/>
      <c r="G1" s="351"/>
      <c r="H1" s="71"/>
    </row>
    <row r="2" spans="1:9" ht="21.25" customHeight="1" x14ac:dyDescent="0.35">
      <c r="A2" s="286" t="str">
        <f>'Standard Vorgaben'!$A$2</f>
        <v>Standard 1ha</v>
      </c>
      <c r="B2" s="626">
        <f>'Standard Erstellung'!E16</f>
        <v>950</v>
      </c>
      <c r="C2" s="627"/>
      <c r="D2" s="627"/>
      <c r="E2" s="627"/>
      <c r="F2" s="351"/>
      <c r="G2" s="351"/>
      <c r="H2" s="1"/>
      <c r="I2" s="1"/>
    </row>
    <row r="3" spans="1:9" ht="18" customHeight="1" x14ac:dyDescent="0.35">
      <c r="A3" s="628"/>
      <c r="B3" s="626"/>
      <c r="C3" s="627"/>
      <c r="D3" s="627"/>
      <c r="E3" s="627"/>
      <c r="F3" s="351"/>
      <c r="G3" s="351"/>
      <c r="H3" s="1"/>
      <c r="I3" s="1"/>
    </row>
    <row r="4" spans="1:9" ht="21.25" customHeight="1" x14ac:dyDescent="0.35">
      <c r="A4" s="629"/>
      <c r="B4" s="626"/>
      <c r="C4" s="627"/>
      <c r="D4" s="627"/>
      <c r="E4" s="627"/>
      <c r="F4" s="422" t="s">
        <v>141</v>
      </c>
      <c r="G4" s="17"/>
      <c r="H4" s="1"/>
      <c r="I4" s="1"/>
    </row>
    <row r="5" spans="1:9" ht="23" x14ac:dyDescent="0.5">
      <c r="A5" s="616" t="s">
        <v>105</v>
      </c>
      <c r="B5" s="617" t="s">
        <v>400</v>
      </c>
      <c r="C5" s="523"/>
      <c r="D5" s="618"/>
      <c r="E5" s="619"/>
      <c r="F5" s="619"/>
      <c r="G5" s="823"/>
      <c r="H5" s="19"/>
    </row>
    <row r="6" spans="1:9" ht="13.5" customHeight="1" x14ac:dyDescent="0.35">
      <c r="B6" s="287"/>
      <c r="C6" s="36" t="s">
        <v>86</v>
      </c>
      <c r="D6" s="36" t="s">
        <v>64</v>
      </c>
      <c r="E6" s="37" t="s">
        <v>277</v>
      </c>
      <c r="F6" s="38" t="s">
        <v>66</v>
      </c>
      <c r="G6" s="817"/>
      <c r="H6" s="19"/>
    </row>
    <row r="7" spans="1:9" ht="15.5" x14ac:dyDescent="0.35">
      <c r="A7" s="379" t="s">
        <v>68</v>
      </c>
      <c r="B7" s="125" t="str">
        <f>'Standard Vorgaben'!B20</f>
        <v>28+ mm</v>
      </c>
      <c r="C7" s="116">
        <f>D7/$B$2</f>
        <v>6.1578947368421062</v>
      </c>
      <c r="D7" s="62">
        <f>D11*G7</f>
        <v>5850.0000000000009</v>
      </c>
      <c r="E7" s="60">
        <f>'Standard Vorgaben'!B41</f>
        <v>7.09</v>
      </c>
      <c r="F7" s="61">
        <f>D7*E7</f>
        <v>41476.500000000007</v>
      </c>
      <c r="G7" s="92">
        <f>'Standard Vorgaben'!B81</f>
        <v>0.45000000000000012</v>
      </c>
      <c r="H7" s="19"/>
    </row>
    <row r="8" spans="1:9" ht="13" x14ac:dyDescent="0.3">
      <c r="B8" s="107" t="str">
        <f>'Standard Vorgaben'!C20</f>
        <v>24+ mm</v>
      </c>
      <c r="C8" s="116">
        <f>D8/$B$2</f>
        <v>6.5684210526315798</v>
      </c>
      <c r="D8" s="62">
        <f>D11*G8</f>
        <v>6240.0000000000009</v>
      </c>
      <c r="E8" s="60">
        <f>'Standard Vorgaben'!C41</f>
        <v>5.59</v>
      </c>
      <c r="F8" s="61">
        <f>D8*E8</f>
        <v>34881.600000000006</v>
      </c>
      <c r="G8" s="92">
        <f>'Standard Vorgaben'!C81</f>
        <v>0.48000000000000015</v>
      </c>
      <c r="H8" s="19"/>
      <c r="I8" s="1"/>
    </row>
    <row r="9" spans="1:9" ht="13" x14ac:dyDescent="0.3">
      <c r="A9" s="23"/>
      <c r="B9" s="107" t="str">
        <f>'Standard Vorgaben'!D20</f>
        <v xml:space="preserve"> 22+ mm</v>
      </c>
      <c r="C9" s="116">
        <f>D9/$B$2</f>
        <v>0</v>
      </c>
      <c r="D9" s="62">
        <f>D11*G9</f>
        <v>0</v>
      </c>
      <c r="E9" s="60">
        <f>'Standard Vorgaben'!D41</f>
        <v>4</v>
      </c>
      <c r="F9" s="61">
        <f>D9*E9</f>
        <v>0</v>
      </c>
      <c r="G9" s="92">
        <f>'Standard Vorgaben'!D81</f>
        <v>0</v>
      </c>
      <c r="H9" s="19"/>
    </row>
    <row r="10" spans="1:9" ht="13.5" thickBot="1" x14ac:dyDescent="0.35">
      <c r="A10" s="23"/>
      <c r="B10" s="107" t="str">
        <f>'Standard Vorgaben'!E20</f>
        <v xml:space="preserve"> Abgang</v>
      </c>
      <c r="C10" s="671">
        <f>D10/$B$2</f>
        <v>0.95789473684210535</v>
      </c>
      <c r="D10" s="791">
        <f>D11*G10</f>
        <v>910.00000000000011</v>
      </c>
      <c r="E10" s="792">
        <f>'Standard Vorgaben'!E41</f>
        <v>0</v>
      </c>
      <c r="F10" s="208">
        <f>D10*E10</f>
        <v>0</v>
      </c>
      <c r="G10" s="92">
        <f>'Standard Vorgaben'!E81</f>
        <v>7.0000000000000021E-2</v>
      </c>
      <c r="H10" s="19"/>
    </row>
    <row r="11" spans="1:9" ht="15.75" customHeight="1" x14ac:dyDescent="0.35">
      <c r="A11" s="295" t="s">
        <v>66</v>
      </c>
      <c r="B11" s="125"/>
      <c r="C11" s="90">
        <f>SUM(C7:C9)</f>
        <v>12.726315789473686</v>
      </c>
      <c r="D11" s="437">
        <f>'Standard Vorgaben'!F59</f>
        <v>12999.999999999998</v>
      </c>
      <c r="E11" s="91">
        <f>(E7*G7)+(E8*G8)+(E9*G9)+(E10*G10)</f>
        <v>5.8737000000000013</v>
      </c>
      <c r="F11" s="118">
        <f>D11*E11</f>
        <v>76358.100000000006</v>
      </c>
      <c r="G11" s="918">
        <f>SUM(G7:G10)</f>
        <v>1.0000000000000002</v>
      </c>
      <c r="H11" s="19"/>
    </row>
    <row r="12" spans="1:9" ht="18" customHeight="1" x14ac:dyDescent="0.35">
      <c r="A12" s="295" t="str">
        <f>'Standard Vorgaben'!A34</f>
        <v>Direktzahlungen ÖLN</v>
      </c>
      <c r="B12" s="125"/>
      <c r="C12" s="89"/>
      <c r="D12" s="90"/>
      <c r="E12" s="91"/>
      <c r="F12" s="206">
        <f>'Standard Vorgaben'!$C$34</f>
        <v>1100</v>
      </c>
      <c r="G12" s="92"/>
      <c r="H12" s="25"/>
    </row>
    <row r="13" spans="1:9" ht="15.75" customHeight="1" thickBot="1" x14ac:dyDescent="0.4">
      <c r="A13" s="594" t="s">
        <v>104</v>
      </c>
      <c r="B13" s="595"/>
      <c r="C13" s="595"/>
      <c r="D13" s="595"/>
      <c r="E13" s="595"/>
      <c r="F13" s="596">
        <f>SUM(F11:F12)</f>
        <v>77458.100000000006</v>
      </c>
      <c r="G13" s="464"/>
      <c r="H13" s="19"/>
    </row>
    <row r="14" spans="1:9" x14ac:dyDescent="0.25">
      <c r="A14" s="4"/>
      <c r="B14" s="4"/>
      <c r="C14" s="36" t="s">
        <v>18</v>
      </c>
      <c r="D14" s="36" t="s">
        <v>196</v>
      </c>
      <c r="E14" s="37" t="s">
        <v>65</v>
      </c>
      <c r="F14" s="43" t="s">
        <v>20</v>
      </c>
      <c r="G14" s="817" t="s">
        <v>67</v>
      </c>
      <c r="H14" s="19"/>
    </row>
    <row r="15" spans="1:9" ht="15.5" x14ac:dyDescent="0.35">
      <c r="A15" s="2" t="s">
        <v>36</v>
      </c>
      <c r="B15" s="21" t="str">
        <f>'Standard Vorgaben'!B95</f>
        <v>Ammonsalpeter</v>
      </c>
      <c r="C15" s="70">
        <f>'Standard Vorgaben'!B107</f>
        <v>1</v>
      </c>
      <c r="D15" s="12">
        <f>'Standard Vorgaben'!B106</f>
        <v>200</v>
      </c>
      <c r="E15" s="32">
        <f>'Standard Vorgaben'!B96</f>
        <v>0.9</v>
      </c>
      <c r="F15" s="33">
        <f>D15*E15</f>
        <v>180</v>
      </c>
      <c r="G15" s="768">
        <f t="shared" ref="G15:G26" si="0">F15/$F$66</f>
        <v>2.0700363485451276E-3</v>
      </c>
      <c r="H15" s="19"/>
    </row>
    <row r="16" spans="1:9" ht="13.5" thickBot="1" x14ac:dyDescent="0.35">
      <c r="A16" s="3"/>
      <c r="B16" s="21" t="str">
        <f>'Standard Vorgaben'!C95</f>
        <v>Gründdunger (Terbona)</v>
      </c>
      <c r="C16" s="803">
        <f>'Standard Vorgaben'!C107</f>
        <v>1</v>
      </c>
      <c r="D16" s="12">
        <f>'Standard Vorgaben'!C106</f>
        <v>250</v>
      </c>
      <c r="E16" s="32">
        <f>'Standard Vorgaben'!C96</f>
        <v>1.05</v>
      </c>
      <c r="F16" s="666">
        <f>D16*E16</f>
        <v>262.5</v>
      </c>
      <c r="G16" s="768">
        <f t="shared" si="0"/>
        <v>3.0188030082949776E-3</v>
      </c>
      <c r="H16" s="19"/>
    </row>
    <row r="17" spans="1:15" ht="13" x14ac:dyDescent="0.3">
      <c r="A17" s="457"/>
      <c r="B17" s="21"/>
      <c r="C17" s="235">
        <f>SUM(C15:C16)</f>
        <v>2</v>
      </c>
      <c r="D17" s="12"/>
      <c r="E17" s="32"/>
      <c r="F17" s="35">
        <f>SUM(F15:F16)</f>
        <v>442.5</v>
      </c>
      <c r="G17" s="818">
        <f t="shared" si="0"/>
        <v>5.0888393568401047E-3</v>
      </c>
      <c r="H17" s="19"/>
    </row>
    <row r="18" spans="1:15" ht="18.75" customHeight="1" x14ac:dyDescent="0.3">
      <c r="A18" s="18" t="str">
        <f>'Standard Vorgaben'!$A$112</f>
        <v>Fungzide</v>
      </c>
      <c r="C18" s="12"/>
      <c r="D18" s="12"/>
      <c r="E18" s="33"/>
      <c r="F18" s="33">
        <f>'Standard Vorgaben'!$D$112</f>
        <v>900</v>
      </c>
      <c r="G18" s="768">
        <f t="shared" si="0"/>
        <v>1.0350181742725636E-2</v>
      </c>
      <c r="H18" s="19"/>
    </row>
    <row r="19" spans="1:15" ht="13" x14ac:dyDescent="0.3">
      <c r="A19" s="18" t="str">
        <f>'Standard Vorgaben'!$A$113</f>
        <v>Insektizide</v>
      </c>
      <c r="C19" s="12"/>
      <c r="D19" s="12"/>
      <c r="E19" s="33"/>
      <c r="F19" s="33">
        <f>'Standard Vorgaben'!$D$113</f>
        <v>900</v>
      </c>
      <c r="G19" s="768">
        <f t="shared" si="0"/>
        <v>1.0350181742725636E-2</v>
      </c>
      <c r="H19" s="19"/>
    </row>
    <row r="20" spans="1:15" ht="13" x14ac:dyDescent="0.3">
      <c r="A20" s="18" t="str">
        <f>'Standard Vorgaben'!$A$114</f>
        <v>Herbizide</v>
      </c>
      <c r="C20" s="12"/>
      <c r="D20" s="12"/>
      <c r="E20" s="33"/>
      <c r="F20" s="33">
        <f>'Standard Vorgaben'!$D$114</f>
        <v>500</v>
      </c>
      <c r="G20" s="768">
        <f t="shared" si="0"/>
        <v>5.7501009681809098E-3</v>
      </c>
      <c r="H20" s="103"/>
    </row>
    <row r="21" spans="1:15" ht="13" x14ac:dyDescent="0.3">
      <c r="A21" s="18" t="str">
        <f>'Standard Vorgaben'!$A$115</f>
        <v>Behangsregulierung</v>
      </c>
      <c r="B21" s="21"/>
      <c r="C21" s="12"/>
      <c r="D21" s="182"/>
      <c r="E21" s="33"/>
      <c r="F21" s="33">
        <f>'Standard Vorgaben'!$D$115</f>
        <v>100</v>
      </c>
      <c r="G21" s="768">
        <f t="shared" si="0"/>
        <v>1.1500201936361818E-3</v>
      </c>
      <c r="H21" s="19"/>
    </row>
    <row r="22" spans="1:15" ht="13.5" thickBot="1" x14ac:dyDescent="0.35">
      <c r="A22" s="18" t="str">
        <f>'Standard Vorgaben'!$A$116</f>
        <v>Blattdüngung</v>
      </c>
      <c r="C22" s="12"/>
      <c r="D22" s="673"/>
      <c r="E22" s="49"/>
      <c r="F22" s="666">
        <f>'Standard Vorgaben'!$D$116</f>
        <v>100</v>
      </c>
      <c r="G22" s="768">
        <f t="shared" si="0"/>
        <v>1.1500201936361818E-3</v>
      </c>
      <c r="H22" s="19"/>
    </row>
    <row r="23" spans="1:15" ht="13" x14ac:dyDescent="0.3">
      <c r="A23" s="237"/>
      <c r="B23" s="239"/>
      <c r="C23" s="12"/>
      <c r="D23" s="12"/>
      <c r="E23" s="32"/>
      <c r="F23" s="254">
        <f>SUM(F18:F22)</f>
        <v>2500</v>
      </c>
      <c r="G23" s="768">
        <f t="shared" si="0"/>
        <v>2.8750504840904547E-2</v>
      </c>
      <c r="H23" s="19"/>
    </row>
    <row r="24" spans="1:15" ht="15.5" x14ac:dyDescent="0.35">
      <c r="A24" s="2" t="s">
        <v>186</v>
      </c>
      <c r="B24" s="112"/>
      <c r="C24" s="108"/>
      <c r="D24" s="112"/>
      <c r="E24" s="252"/>
      <c r="F24" s="82">
        <f>'Standard Vorgaben'!E154</f>
        <v>400</v>
      </c>
      <c r="G24" s="818">
        <f t="shared" si="0"/>
        <v>4.6000807745447273E-3</v>
      </c>
      <c r="H24" s="19"/>
    </row>
    <row r="25" spans="1:15" ht="15.5" x14ac:dyDescent="0.35">
      <c r="A25" s="391" t="s">
        <v>529</v>
      </c>
      <c r="B25" s="1" t="str">
        <f>'Standard Vorgaben'!F33</f>
        <v>Tafelkirschen</v>
      </c>
      <c r="C25" s="4" t="s">
        <v>195</v>
      </c>
      <c r="D25" s="47"/>
      <c r="E25" s="63"/>
      <c r="F25" s="1272">
        <f>'Standard Vorgaben'!G33</f>
        <v>700</v>
      </c>
      <c r="G25" s="768">
        <f t="shared" si="0"/>
        <v>8.050141355453273E-3</v>
      </c>
      <c r="H25" s="19"/>
    </row>
    <row r="26" spans="1:15" ht="13" x14ac:dyDescent="0.3">
      <c r="A26" s="18"/>
      <c r="B26" s="1" t="str">
        <f>'Standard Vorgaben'!F34</f>
        <v>Brennkirschen</v>
      </c>
      <c r="C26" s="4" t="s">
        <v>71</v>
      </c>
      <c r="D26" s="47"/>
      <c r="E26" s="63">
        <f>'Standard Vorgaben'!G34</f>
        <v>2.57</v>
      </c>
      <c r="F26" s="281">
        <f>E26*D10/100</f>
        <v>23.387000000000004</v>
      </c>
      <c r="G26" s="768">
        <f t="shared" si="0"/>
        <v>2.6895522268569392E-4</v>
      </c>
      <c r="H26" s="19"/>
    </row>
    <row r="27" spans="1:15" ht="13.5" thickBot="1" x14ac:dyDescent="0.35">
      <c r="A27" s="18"/>
      <c r="B27" s="1" t="str">
        <f>'Standard Vorgaben'!$F$35</f>
        <v>Abzüge</v>
      </c>
      <c r="C27" s="4" t="s">
        <v>553</v>
      </c>
      <c r="D27" s="47"/>
      <c r="E27" s="63">
        <f>'Standard Vorgaben'!$G$35</f>
        <v>0.65</v>
      </c>
      <c r="F27" s="663">
        <f>D11*E27</f>
        <v>8450</v>
      </c>
      <c r="G27" s="768"/>
      <c r="H27" s="19"/>
    </row>
    <row r="28" spans="1:15" ht="12.75" customHeight="1" x14ac:dyDescent="0.3">
      <c r="A28" s="150"/>
      <c r="C28" s="1"/>
      <c r="D28" s="1"/>
      <c r="E28" s="63"/>
      <c r="F28" s="82">
        <f>SUM(F25:F27)</f>
        <v>9173.3870000000006</v>
      </c>
      <c r="G28" s="818">
        <f t="shared" ref="G28:G36" si="1">F28/$F$66</f>
        <v>0.10549580294039634</v>
      </c>
      <c r="H28" s="19"/>
    </row>
    <row r="29" spans="1:15" ht="55.5" customHeight="1" x14ac:dyDescent="0.3">
      <c r="A29" s="440" t="s">
        <v>461</v>
      </c>
      <c r="B29" s="253" t="s">
        <v>380</v>
      </c>
      <c r="C29" s="209">
        <f>'Standard 1.-16. Standjahr'!AA74</f>
        <v>178160.17572014211</v>
      </c>
      <c r="D29" s="280">
        <f>'Standard Vorgaben'!$B$24</f>
        <v>12</v>
      </c>
      <c r="E29" s="120"/>
      <c r="F29" s="120">
        <f>C29/D29</f>
        <v>14846.681310011843</v>
      </c>
      <c r="G29" s="768">
        <f t="shared" si="1"/>
        <v>0.17073983314994504</v>
      </c>
      <c r="H29" s="19"/>
      <c r="J29" s="253"/>
      <c r="K29" s="209"/>
      <c r="L29" s="280"/>
      <c r="M29" s="120"/>
      <c r="N29" s="120"/>
      <c r="O29" s="768"/>
    </row>
    <row r="30" spans="1:15" s="1" customFormat="1" ht="13" thickBot="1" x14ac:dyDescent="0.3">
      <c r="B30" s="100" t="s">
        <v>257</v>
      </c>
      <c r="C30" s="663">
        <f>'Standard Erstellung'!F122</f>
        <v>54724.332000000002</v>
      </c>
      <c r="D30" s="280">
        <f>'Standard Vorgaben'!$B$24</f>
        <v>12</v>
      </c>
      <c r="F30" s="663">
        <f>C30/D30</f>
        <v>4560.3609999999999</v>
      </c>
      <c r="G30" s="768">
        <f t="shared" si="1"/>
        <v>5.2445072402708917E-2</v>
      </c>
      <c r="H30" s="54"/>
      <c r="J30" s="12"/>
      <c r="K30" s="12"/>
      <c r="L30" s="12"/>
      <c r="M30" s="12"/>
      <c r="N30" s="12"/>
      <c r="O30" s="768"/>
    </row>
    <row r="31" spans="1:15" s="1" customFormat="1" ht="13" x14ac:dyDescent="0.3">
      <c r="B31" s="100"/>
      <c r="C31" s="209">
        <f>SUM(C29:C30)</f>
        <v>232884.50772014211</v>
      </c>
      <c r="D31" s="280"/>
      <c r="E31" s="281"/>
      <c r="F31" s="209">
        <f>SUM(F29:F30)</f>
        <v>19407.042310011842</v>
      </c>
      <c r="G31" s="818">
        <f t="shared" si="1"/>
        <v>0.22318490555265394</v>
      </c>
      <c r="H31" s="25"/>
      <c r="J31" s="12"/>
      <c r="K31" s="12"/>
      <c r="L31" s="12"/>
      <c r="M31" s="12"/>
      <c r="N31" s="12"/>
      <c r="O31" s="818"/>
    </row>
    <row r="32" spans="1:15" ht="15.5" x14ac:dyDescent="0.35">
      <c r="A32" s="391" t="s">
        <v>401</v>
      </c>
      <c r="B32" s="442">
        <f>'Standard Vorgaben'!$C$151</f>
        <v>498.75</v>
      </c>
      <c r="C32" s="443">
        <f>'Standard Vorgaben'!$D$151</f>
        <v>1.5</v>
      </c>
      <c r="D32" s="108" t="s">
        <v>230</v>
      </c>
      <c r="E32" s="63">
        <f>'Standard Vorgaben'!$E$152</f>
        <v>50</v>
      </c>
      <c r="F32" s="121">
        <f>(B32*C32)+E32</f>
        <v>798.125</v>
      </c>
      <c r="G32" s="818">
        <f t="shared" si="1"/>
        <v>9.1785986704587767E-3</v>
      </c>
      <c r="H32" s="19"/>
    </row>
    <row r="33" spans="1:11" s="78" customFormat="1" ht="15.5" x14ac:dyDescent="0.35">
      <c r="A33" s="441" t="s">
        <v>403</v>
      </c>
      <c r="B33" s="80"/>
      <c r="C33" s="424" t="s">
        <v>178</v>
      </c>
      <c r="D33" s="160"/>
      <c r="E33" s="767">
        <f>(PMT('Standard Vorgaben'!C35,'Standard Vorgaben'!B24,,'Standard Vorgaben'!C33))*(-1)</f>
        <v>460.07995743737365</v>
      </c>
      <c r="F33" s="1318">
        <f>600+E33</f>
        <v>1060.0799574373737</v>
      </c>
      <c r="G33" s="818">
        <f t="shared" si="1"/>
        <v>1.2191133579219639E-2</v>
      </c>
      <c r="H33" s="819"/>
      <c r="J33" s="185"/>
      <c r="K33" s="190"/>
    </row>
    <row r="34" spans="1:11" s="78" customFormat="1" ht="16" thickBot="1" x14ac:dyDescent="0.4">
      <c r="A34" s="441" t="str">
        <f>'Var Vorgaben'!A159</f>
        <v>Frostbekämpfung - Forstversicherung</v>
      </c>
      <c r="B34" s="80"/>
      <c r="C34" s="424"/>
      <c r="D34" s="160"/>
      <c r="E34" s="767"/>
      <c r="F34" s="1318">
        <f>'Standard Vorgaben'!B160</f>
        <v>5000</v>
      </c>
      <c r="G34" s="818">
        <f t="shared" si="1"/>
        <v>5.7501009681809094E-2</v>
      </c>
      <c r="H34" s="819"/>
      <c r="J34" s="185"/>
      <c r="K34" s="190"/>
    </row>
    <row r="35" spans="1:11" ht="19.5" customHeight="1" thickBot="1" x14ac:dyDescent="0.4">
      <c r="A35" s="475" t="s">
        <v>357</v>
      </c>
      <c r="B35" s="460"/>
      <c r="C35" s="600"/>
      <c r="D35" s="600"/>
      <c r="E35" s="461"/>
      <c r="F35" s="598">
        <f>F17+F23+F24+F28+F31+F32+F33+F34</f>
        <v>38781.134267449219</v>
      </c>
      <c r="G35" s="820">
        <f t="shared" si="1"/>
        <v>0.44599087539682719</v>
      </c>
      <c r="H35" s="19"/>
    </row>
    <row r="36" spans="1:11" ht="24" customHeight="1" x14ac:dyDescent="0.35">
      <c r="A36" s="391" t="s">
        <v>404</v>
      </c>
      <c r="C36" s="112" t="s">
        <v>72</v>
      </c>
      <c r="D36" s="151">
        <v>30</v>
      </c>
      <c r="E36" s="63">
        <v>15</v>
      </c>
      <c r="F36" s="82">
        <f>D36*E36</f>
        <v>450</v>
      </c>
      <c r="G36" s="818">
        <f t="shared" si="1"/>
        <v>5.1750908713628181E-3</v>
      </c>
      <c r="H36" s="19"/>
      <c r="J36" s="296" t="s">
        <v>156</v>
      </c>
    </row>
    <row r="37" spans="1:11" ht="18" customHeight="1" x14ac:dyDescent="0.25">
      <c r="C37" s="50" t="s">
        <v>18</v>
      </c>
      <c r="D37" s="123" t="s">
        <v>142</v>
      </c>
      <c r="E37" s="10" t="s">
        <v>145</v>
      </c>
      <c r="F37" s="124" t="s">
        <v>29</v>
      </c>
      <c r="G37" s="768"/>
      <c r="H37" s="19"/>
      <c r="J37" s="50" t="s">
        <v>145</v>
      </c>
      <c r="K37" s="191" t="s">
        <v>29</v>
      </c>
    </row>
    <row r="38" spans="1:11" ht="15.5" x14ac:dyDescent="0.35">
      <c r="A38" s="391" t="s">
        <v>133</v>
      </c>
      <c r="B38" s="21" t="str">
        <f>'Standard Vorgaben'!B131</f>
        <v>Anbaugebläsepritze 500 l</v>
      </c>
      <c r="C38" s="588">
        <f>'Standard Vorgaben'!D118</f>
        <v>16</v>
      </c>
      <c r="D38" s="48">
        <f>'Standard Vorgaben'!C131</f>
        <v>1</v>
      </c>
      <c r="E38" s="63">
        <f>'Standard Vorgaben'!D131</f>
        <v>37</v>
      </c>
      <c r="F38" s="45">
        <f>C38*D38*E38</f>
        <v>592</v>
      </c>
      <c r="G38" s="768">
        <f t="shared" ref="G38:G49" si="2">F38/$F$66</f>
        <v>6.8081195463261966E-3</v>
      </c>
      <c r="H38" s="19"/>
      <c r="J38" s="347">
        <f>'Standard Vorgaben'!H131</f>
        <v>11.67</v>
      </c>
      <c r="K38" s="20">
        <f>C38*D38*J38</f>
        <v>186.72</v>
      </c>
    </row>
    <row r="39" spans="1:11" ht="13" x14ac:dyDescent="0.3">
      <c r="A39" s="18"/>
      <c r="B39" s="21" t="str">
        <f>'Standard Vorgaben'!B132</f>
        <v>Anbaufeldspritze, 12 m Balken, 600 l Fass</v>
      </c>
      <c r="C39" s="374">
        <f>'Standard Vorgaben'!D119</f>
        <v>3</v>
      </c>
      <c r="D39" s="48">
        <f>'Standard Vorgaben'!C132</f>
        <v>1</v>
      </c>
      <c r="E39" s="63">
        <f>'Standard Vorgaben'!D132</f>
        <v>69</v>
      </c>
      <c r="F39" s="45">
        <f>C39*D39*E39</f>
        <v>207</v>
      </c>
      <c r="G39" s="768">
        <f t="shared" si="2"/>
        <v>2.3805418008268965E-3</v>
      </c>
      <c r="H39" s="19"/>
      <c r="J39" s="347">
        <f>'Standard Vorgaben'!H132</f>
        <v>13.22</v>
      </c>
      <c r="K39" s="20">
        <f>C39*D39*J39</f>
        <v>39.660000000000004</v>
      </c>
    </row>
    <row r="40" spans="1:11" ht="13" x14ac:dyDescent="0.3">
      <c r="A40" s="18"/>
      <c r="B40" s="21" t="str">
        <f>'Standard Vorgaben'!B133</f>
        <v>Düngerstreuer Einkasten 2.5 m</v>
      </c>
      <c r="C40" s="374">
        <f>C17</f>
        <v>2</v>
      </c>
      <c r="D40" s="48">
        <f>'Standard Vorgaben'!C133</f>
        <v>1</v>
      </c>
      <c r="E40" s="63">
        <f>'Standard Vorgaben'!D133</f>
        <v>18</v>
      </c>
      <c r="F40" s="45">
        <f>C40*D40*E40</f>
        <v>36</v>
      </c>
      <c r="G40" s="768">
        <f t="shared" si="2"/>
        <v>4.1400726970902549E-4</v>
      </c>
      <c r="H40" s="19"/>
      <c r="J40" s="347">
        <f>'Standard Vorgaben'!H133</f>
        <v>7.03</v>
      </c>
      <c r="K40" s="20">
        <f>C40*D40*J40</f>
        <v>14.06</v>
      </c>
    </row>
    <row r="41" spans="1:11" ht="13" x14ac:dyDescent="0.3">
      <c r="A41" s="18"/>
      <c r="B41" s="21" t="str">
        <f>'Standard Vorgaben'!B134</f>
        <v>Pneuwagen 2achsig, 3t (Ernte)</v>
      </c>
      <c r="C41" s="427">
        <f>'Standard Vorgaben'!C134</f>
        <v>0.1</v>
      </c>
      <c r="D41" s="48">
        <f>C41*C42</f>
        <v>108.33333333333333</v>
      </c>
      <c r="E41" s="63">
        <f>'Standard Vorgaben'!D134</f>
        <v>25</v>
      </c>
      <c r="F41" s="45">
        <f>D41*E41</f>
        <v>2708.333333333333</v>
      </c>
      <c r="G41" s="768">
        <f t="shared" si="2"/>
        <v>3.1146380244313255E-2</v>
      </c>
      <c r="H41" s="19"/>
      <c r="J41" s="347">
        <f>'Standard Vorgaben'!H134</f>
        <v>1.53</v>
      </c>
      <c r="K41" s="20">
        <f>D41*J41</f>
        <v>165.75</v>
      </c>
    </row>
    <row r="42" spans="1:11" ht="13" x14ac:dyDescent="0.3">
      <c r="A42" s="18"/>
      <c r="B42" s="241" t="s">
        <v>229</v>
      </c>
      <c r="C42" s="426">
        <f>D56</f>
        <v>1083.3333333333333</v>
      </c>
      <c r="D42" s="1"/>
      <c r="E42" s="240"/>
      <c r="F42" s="45"/>
      <c r="G42" s="768">
        <f t="shared" si="2"/>
        <v>0</v>
      </c>
      <c r="H42" s="19"/>
      <c r="J42" s="47"/>
    </row>
    <row r="43" spans="1:11" ht="13" x14ac:dyDescent="0.3">
      <c r="A43" s="18"/>
      <c r="B43" s="21" t="str">
        <f>'Standard Vorgaben'!B135</f>
        <v>Mulchgerät mit Schwenkarm, 2.8m</v>
      </c>
      <c r="C43" s="47">
        <f>'Standard Vorgaben'!E135</f>
        <v>6</v>
      </c>
      <c r="D43" s="52">
        <f>'Standard Vorgaben'!C135</f>
        <v>0.5</v>
      </c>
      <c r="E43" s="63">
        <f>'Standard Vorgaben'!D135</f>
        <v>42</v>
      </c>
      <c r="F43" s="45">
        <f>C43*D43*E43</f>
        <v>126</v>
      </c>
      <c r="G43" s="768">
        <f t="shared" si="2"/>
        <v>1.4490254439815892E-3</v>
      </c>
      <c r="H43" s="19"/>
      <c r="J43" s="347">
        <f>'Standard Vorgaben'!H135</f>
        <v>14.5</v>
      </c>
      <c r="K43" s="20">
        <f>C43*D43*J43</f>
        <v>43.5</v>
      </c>
    </row>
    <row r="44" spans="1:11" ht="13" x14ac:dyDescent="0.3">
      <c r="A44" s="18"/>
      <c r="B44" s="762" t="s">
        <v>687</v>
      </c>
      <c r="C44" s="47"/>
      <c r="D44" s="52">
        <f>'Standard Vorgaben'!C137</f>
        <v>100</v>
      </c>
      <c r="E44" s="63">
        <f>'Standard Vorgaben'!$I$137</f>
        <v>17.5</v>
      </c>
      <c r="F44" s="45">
        <f>D44*E44</f>
        <v>1750</v>
      </c>
      <c r="G44" s="768">
        <f t="shared" si="2"/>
        <v>2.0125353388633183E-2</v>
      </c>
      <c r="H44" s="19"/>
      <c r="J44" s="347"/>
    </row>
    <row r="45" spans="1:11" ht="13.5" thickBot="1" x14ac:dyDescent="0.35">
      <c r="A45" s="18"/>
      <c r="B45" s="21" t="str">
        <f>'Standard Vorgaben'!B136</f>
        <v>Schnittholzhacker</v>
      </c>
      <c r="C45" s="59">
        <f>'Standard Vorgaben'!E136</f>
        <v>1</v>
      </c>
      <c r="D45" s="428">
        <f>'Standard Vorgaben'!C136</f>
        <v>3</v>
      </c>
      <c r="E45" s="63">
        <f>'Standard Vorgaben'!D136</f>
        <v>68.3</v>
      </c>
      <c r="F45" s="208">
        <f>E45*D45*C45</f>
        <v>204.89999999999998</v>
      </c>
      <c r="G45" s="768">
        <f t="shared" si="2"/>
        <v>2.3563913767605366E-3</v>
      </c>
      <c r="H45" s="19"/>
      <c r="J45" s="347">
        <f>'Standard Vorgaben'!H136</f>
        <v>29.05</v>
      </c>
      <c r="K45" s="20">
        <f>C45*D45*J45</f>
        <v>87.15</v>
      </c>
    </row>
    <row r="46" spans="1:11" ht="13" x14ac:dyDescent="0.3">
      <c r="A46" s="18"/>
      <c r="B46" s="21" t="s">
        <v>146</v>
      </c>
      <c r="C46" s="47"/>
      <c r="D46" s="438">
        <f>(C38*D38)+(C39*D39)+(C40*D40)+(D41)+(C43*D43)+(C45*D45)</f>
        <v>135.33333333333331</v>
      </c>
      <c r="E46" s="63"/>
      <c r="F46" s="209">
        <f>SUM(F38:F45)</f>
        <v>5624.2333333333327</v>
      </c>
      <c r="G46" s="821">
        <f t="shared" si="2"/>
        <v>6.4679819070550676E-2</v>
      </c>
      <c r="H46" s="19"/>
      <c r="J46" s="347"/>
    </row>
    <row r="47" spans="1:11" ht="13" x14ac:dyDescent="0.3">
      <c r="A47" s="159"/>
      <c r="B47" s="64" t="str">
        <f>'Standard Vorgaben'!B127</f>
        <v>Obstbautraktor 4-Rad</v>
      </c>
      <c r="C47" s="47"/>
      <c r="D47" s="439">
        <f>D46</f>
        <v>135.33333333333331</v>
      </c>
      <c r="E47" s="63">
        <f>'Standard Vorgaben'!D127</f>
        <v>41</v>
      </c>
      <c r="F47" s="209">
        <f>D47*E47</f>
        <v>5548.6666666666661</v>
      </c>
      <c r="G47" s="768">
        <f t="shared" si="2"/>
        <v>6.3810787144226278E-2</v>
      </c>
      <c r="H47" s="769">
        <f>D41</f>
        <v>108.33333333333333</v>
      </c>
      <c r="I47" t="s">
        <v>147</v>
      </c>
      <c r="J47" s="770">
        <f>'Standard Vorgaben'!H142</f>
        <v>0</v>
      </c>
      <c r="K47" s="153">
        <f>D47*J47</f>
        <v>0</v>
      </c>
    </row>
    <row r="48" spans="1:11" ht="13.5" thickBot="1" x14ac:dyDescent="0.35">
      <c r="A48" s="149"/>
      <c r="B48" s="21" t="str">
        <f>'Standard Vorgaben'!B138</f>
        <v>Diverse Kleingeräte</v>
      </c>
      <c r="C48" s="47"/>
      <c r="D48" s="47"/>
      <c r="E48" s="63"/>
      <c r="F48" s="740">
        <f>'Standard Vorgaben'!D138</f>
        <v>500</v>
      </c>
      <c r="G48" s="768">
        <f t="shared" si="2"/>
        <v>5.7501009681809098E-3</v>
      </c>
      <c r="H48" s="19"/>
      <c r="K48" s="20">
        <f>F48</f>
        <v>500</v>
      </c>
    </row>
    <row r="49" spans="1:11" ht="13.5" thickBot="1" x14ac:dyDescent="0.35">
      <c r="A49" s="109"/>
      <c r="B49" s="21"/>
      <c r="C49" s="47"/>
      <c r="D49" s="47"/>
      <c r="E49" s="63"/>
      <c r="F49" s="82">
        <f>F48+F47+F46</f>
        <v>11672.899999999998</v>
      </c>
      <c r="G49" s="818">
        <f t="shared" si="2"/>
        <v>0.13424070718295786</v>
      </c>
      <c r="H49" s="19"/>
      <c r="I49" s="296" t="s">
        <v>156</v>
      </c>
      <c r="K49" s="298">
        <f>SUM(K38:K48)</f>
        <v>1036.8400000000001</v>
      </c>
    </row>
    <row r="50" spans="1:11" ht="13" thickTop="1" x14ac:dyDescent="0.25">
      <c r="B50" s="21"/>
      <c r="C50" s="59"/>
      <c r="D50" s="123" t="s">
        <v>34</v>
      </c>
      <c r="E50" s="126" t="s">
        <v>28</v>
      </c>
      <c r="F50" s="124" t="s">
        <v>29</v>
      </c>
      <c r="G50" s="768"/>
      <c r="H50" s="19"/>
    </row>
    <row r="51" spans="1:11" ht="16" thickBot="1" x14ac:dyDescent="0.4">
      <c r="A51" s="391" t="s">
        <v>76</v>
      </c>
      <c r="B51" s="21" t="s">
        <v>36</v>
      </c>
      <c r="C51" s="59"/>
      <c r="D51" s="429">
        <f>C40*D40</f>
        <v>2</v>
      </c>
      <c r="E51" s="63">
        <f>'Standard Vorgaben'!$C$31</f>
        <v>32.700000000000003</v>
      </c>
      <c r="F51" s="45">
        <f>D51*E51</f>
        <v>65.400000000000006</v>
      </c>
      <c r="G51" s="768">
        <f t="shared" ref="G51:G66" si="3">F51/$F$66</f>
        <v>7.52113206638063E-4</v>
      </c>
      <c r="H51" s="19"/>
      <c r="I51" s="297" t="s">
        <v>278</v>
      </c>
      <c r="K51" s="299">
        <f>F49-K49</f>
        <v>10636.059999999998</v>
      </c>
    </row>
    <row r="52" spans="1:11" ht="13.5" thickTop="1" x14ac:dyDescent="0.3">
      <c r="A52" s="18"/>
      <c r="B52" s="4" t="s">
        <v>223</v>
      </c>
      <c r="D52" s="142">
        <f>((C38*D38)+(C39*D39))+'Standard Vorgaben'!B87+'Standard Vorgaben'!C87</f>
        <v>39</v>
      </c>
      <c r="E52" s="63">
        <f>'Standard Vorgaben'!$C$31</f>
        <v>32.700000000000003</v>
      </c>
      <c r="F52" s="45">
        <f t="shared" ref="F52:F59" si="4">D52*E52</f>
        <v>1275.3000000000002</v>
      </c>
      <c r="G52" s="768">
        <f t="shared" si="3"/>
        <v>1.466620752944223E-2</v>
      </c>
      <c r="H52" s="19"/>
    </row>
    <row r="53" spans="1:11" x14ac:dyDescent="0.25">
      <c r="A53" s="87"/>
      <c r="B53" s="87" t="s">
        <v>399</v>
      </c>
      <c r="C53" s="47"/>
      <c r="D53" s="189">
        <f>'Standard Vorgaben'!D87</f>
        <v>100</v>
      </c>
      <c r="E53" s="63">
        <f>'Standard Vorgaben'!$C$31</f>
        <v>32.700000000000003</v>
      </c>
      <c r="F53" s="45">
        <f t="shared" si="4"/>
        <v>3270.0000000000005</v>
      </c>
      <c r="G53" s="768">
        <f t="shared" si="3"/>
        <v>3.760566033190315E-2</v>
      </c>
      <c r="H53" s="19"/>
    </row>
    <row r="54" spans="1:11" ht="13" x14ac:dyDescent="0.3">
      <c r="A54" s="18"/>
      <c r="B54" s="21" t="s">
        <v>128</v>
      </c>
      <c r="C54" s="47"/>
      <c r="D54" s="374">
        <f>(C43*D43)+(C45*D45)</f>
        <v>6</v>
      </c>
      <c r="E54" s="63">
        <f>'Standard Vorgaben'!$C$31</f>
        <v>32.700000000000003</v>
      </c>
      <c r="F54" s="45">
        <f t="shared" si="4"/>
        <v>196.20000000000002</v>
      </c>
      <c r="G54" s="768">
        <f t="shared" si="3"/>
        <v>2.256339619914189E-3</v>
      </c>
      <c r="H54" s="19"/>
    </row>
    <row r="55" spans="1:11" ht="13" x14ac:dyDescent="0.3">
      <c r="A55" s="18"/>
      <c r="B55" s="4" t="s">
        <v>524</v>
      </c>
      <c r="C55" s="1"/>
      <c r="D55" s="47">
        <f>'Standard Vorgaben'!E87+(C39*D39)</f>
        <v>3</v>
      </c>
      <c r="E55" s="63">
        <f>'Standard Vorgaben'!$C$31</f>
        <v>32.700000000000003</v>
      </c>
      <c r="F55" s="45">
        <f t="shared" si="4"/>
        <v>98.100000000000009</v>
      </c>
      <c r="G55" s="768">
        <f t="shared" si="3"/>
        <v>1.1281698099570945E-3</v>
      </c>
      <c r="H55" s="19"/>
    </row>
    <row r="56" spans="1:11" ht="13" x14ac:dyDescent="0.3">
      <c r="A56" s="18"/>
      <c r="B56" s="3" t="s">
        <v>203</v>
      </c>
      <c r="C56" s="912">
        <f>'Standard Vorgaben'!F81</f>
        <v>12</v>
      </c>
      <c r="D56" s="142">
        <f>D11/C56</f>
        <v>1083.3333333333333</v>
      </c>
      <c r="E56" s="63">
        <f>'Standard Vorgaben'!C30</f>
        <v>22.62</v>
      </c>
      <c r="F56" s="45">
        <f t="shared" si="4"/>
        <v>24505</v>
      </c>
      <c r="G56" s="768">
        <f t="shared" si="3"/>
        <v>0.28181244845054637</v>
      </c>
      <c r="H56" s="19"/>
    </row>
    <row r="57" spans="1:11" ht="13" x14ac:dyDescent="0.3">
      <c r="A57" s="18"/>
      <c r="B57" s="100" t="s">
        <v>254</v>
      </c>
      <c r="C57" s="1"/>
      <c r="D57" s="47">
        <f>'Standard Erstellung'!D124+'Standard Erstellung'!D125</f>
        <v>40</v>
      </c>
      <c r="E57" s="63">
        <f>'Standard Vorgaben'!$C$30</f>
        <v>22.62</v>
      </c>
      <c r="F57" s="45">
        <f t="shared" si="4"/>
        <v>904.80000000000007</v>
      </c>
      <c r="G57" s="768">
        <f t="shared" si="3"/>
        <v>1.0405382712020175E-2</v>
      </c>
      <c r="H57" s="19"/>
    </row>
    <row r="58" spans="1:11" ht="13" x14ac:dyDescent="0.3">
      <c r="A58" s="18"/>
      <c r="B58" s="1" t="s">
        <v>460</v>
      </c>
      <c r="C58" s="1"/>
      <c r="D58" s="47">
        <f>'Standard Erstellung'!$D$133</f>
        <v>20</v>
      </c>
      <c r="E58" s="63">
        <f>'Standard Vorgaben'!$C$30</f>
        <v>22.62</v>
      </c>
      <c r="F58" s="45">
        <f>D58*E58</f>
        <v>452.40000000000003</v>
      </c>
      <c r="G58" s="768">
        <f t="shared" si="3"/>
        <v>5.2026913560100875E-3</v>
      </c>
      <c r="H58" s="19"/>
    </row>
    <row r="59" spans="1:11" x14ac:dyDescent="0.25">
      <c r="B59" s="1" t="s">
        <v>445</v>
      </c>
      <c r="C59" s="1"/>
      <c r="D59" s="47">
        <f>'Standard Erstellung'!D153+'Standard Erstellung'!D154</f>
        <v>14</v>
      </c>
      <c r="E59" s="63">
        <f>'Standard Vorgaben'!$C$31</f>
        <v>32.700000000000003</v>
      </c>
      <c r="F59" s="45">
        <f t="shared" si="4"/>
        <v>457.80000000000007</v>
      </c>
      <c r="G59" s="768">
        <f t="shared" si="3"/>
        <v>5.2647924464664419E-3</v>
      </c>
      <c r="H59" s="19"/>
    </row>
    <row r="60" spans="1:11" ht="13.5" thickBot="1" x14ac:dyDescent="0.35">
      <c r="A60" s="18"/>
      <c r="B60" s="4" t="s">
        <v>127</v>
      </c>
      <c r="C60" s="47"/>
      <c r="D60" s="913">
        <f>'Standard Vorgaben'!F87+'Standard Vorgaben'!G87</f>
        <v>50</v>
      </c>
      <c r="E60" s="63">
        <f>'Standard Vorgaben'!$C$27</f>
        <v>41.4</v>
      </c>
      <c r="F60" s="208">
        <f>D60*E60</f>
        <v>2070</v>
      </c>
      <c r="G60" s="768">
        <f t="shared" si="3"/>
        <v>2.3805418008268964E-2</v>
      </c>
      <c r="H60" s="19"/>
    </row>
    <row r="61" spans="1:11" ht="13" x14ac:dyDescent="0.3">
      <c r="A61" s="135" t="s">
        <v>113</v>
      </c>
      <c r="B61" s="591">
        <f>('Standard Vorgaben'!$F$29*D55)+('Standard Vorgaben'!$F$29*D56)</f>
        <v>977.7</v>
      </c>
      <c r="C61" s="160" t="s">
        <v>111</v>
      </c>
      <c r="D61" s="430">
        <f>SUM(D51:D60)</f>
        <v>1357.3333333333333</v>
      </c>
      <c r="E61" s="63"/>
      <c r="F61" s="82">
        <f>SUM(F51:F60)</f>
        <v>33295</v>
      </c>
      <c r="G61" s="818">
        <f t="shared" si="3"/>
        <v>0.38289922347116678</v>
      </c>
      <c r="H61" s="19"/>
    </row>
    <row r="62" spans="1:11" ht="15.5" x14ac:dyDescent="0.35">
      <c r="A62" s="391" t="s">
        <v>79</v>
      </c>
      <c r="B62" s="21" t="s">
        <v>77</v>
      </c>
      <c r="C62" s="47"/>
      <c r="D62" s="47"/>
      <c r="E62" s="63"/>
      <c r="F62" s="45">
        <f>'Standard Vorgaben'!C37</f>
        <v>660</v>
      </c>
      <c r="G62" s="821">
        <f t="shared" si="3"/>
        <v>7.5901332779988008E-3</v>
      </c>
      <c r="H62" s="19"/>
    </row>
    <row r="63" spans="1:11" ht="13" thickBot="1" x14ac:dyDescent="0.3">
      <c r="B63" t="s">
        <v>261</v>
      </c>
      <c r="C63" s="748">
        <f>'Standard Vorgaben'!C36</f>
        <v>0.6</v>
      </c>
      <c r="D63" s="771">
        <f>'Standard Vorgaben'!C35</f>
        <v>1.4999999999999999E-2</v>
      </c>
      <c r="E63" s="281">
        <f>C31</f>
        <v>232884.50772014211</v>
      </c>
      <c r="F63" s="208">
        <f>$D$63*E63*$C$63</f>
        <v>2095.9605694812785</v>
      </c>
      <c r="G63" s="821">
        <f t="shared" si="3"/>
        <v>2.4103969799686618E-2</v>
      </c>
      <c r="H63" s="19"/>
    </row>
    <row r="64" spans="1:11" ht="13.5" thickBot="1" x14ac:dyDescent="0.35">
      <c r="F64" s="254">
        <f>SUM(F62:F63)</f>
        <v>2755.9605694812785</v>
      </c>
      <c r="G64" s="818">
        <f t="shared" si="3"/>
        <v>3.1694103077685422E-2</v>
      </c>
      <c r="H64" s="19"/>
    </row>
    <row r="65" spans="1:11" ht="16" thickBot="1" x14ac:dyDescent="0.4">
      <c r="A65" s="475" t="s">
        <v>42</v>
      </c>
      <c r="B65" s="476"/>
      <c r="C65" s="597"/>
      <c r="D65" s="477"/>
      <c r="E65" s="478"/>
      <c r="F65" s="827">
        <f>F64+F61+F49+F36</f>
        <v>48173.860569481272</v>
      </c>
      <c r="G65" s="820">
        <f t="shared" si="3"/>
        <v>0.55400912460317275</v>
      </c>
      <c r="H65" s="19"/>
    </row>
    <row r="66" spans="1:11" s="76" customFormat="1" ht="24.75" customHeight="1" thickBot="1" x14ac:dyDescent="0.45">
      <c r="A66" s="487" t="s">
        <v>328</v>
      </c>
      <c r="B66" s="476"/>
      <c r="C66" s="597"/>
      <c r="D66" s="477"/>
      <c r="E66" s="478"/>
      <c r="F66" s="598">
        <f>F65+F35</f>
        <v>86954.994836930491</v>
      </c>
      <c r="G66" s="820">
        <f t="shared" si="3"/>
        <v>1</v>
      </c>
      <c r="H66" s="810"/>
      <c r="I66" s="99"/>
      <c r="J66" s="186"/>
      <c r="K66" s="192"/>
    </row>
    <row r="67" spans="1:11" s="76" customFormat="1" ht="15" customHeight="1" x14ac:dyDescent="0.4">
      <c r="A67" s="406" t="s">
        <v>80</v>
      </c>
      <c r="B67" s="431"/>
      <c r="C67" s="432"/>
      <c r="D67" s="433"/>
      <c r="E67" s="434"/>
      <c r="F67" s="435">
        <f>F13-F66</f>
        <v>-9496.8948369304853</v>
      </c>
      <c r="G67" s="809"/>
      <c r="H67" s="810"/>
      <c r="I67" s="99"/>
      <c r="J67" s="186"/>
      <c r="K67" s="192"/>
    </row>
    <row r="68" spans="1:11" s="76" customFormat="1" ht="18.75" customHeight="1" x14ac:dyDescent="0.4">
      <c r="A68" s="406" t="s">
        <v>405</v>
      </c>
      <c r="B68" s="431"/>
      <c r="C68" s="432"/>
      <c r="D68" s="433"/>
      <c r="E68" s="434"/>
      <c r="F68" s="445">
        <f>F13/F66</f>
        <v>0.89078379160690746</v>
      </c>
      <c r="G68" s="809"/>
      <c r="H68" s="810"/>
      <c r="I68" s="99"/>
      <c r="J68" s="186"/>
      <c r="K68" s="192"/>
    </row>
    <row r="69" spans="1:11" s="76" customFormat="1" ht="18.75" customHeight="1" x14ac:dyDescent="0.4">
      <c r="A69" s="406" t="s">
        <v>406</v>
      </c>
      <c r="B69" s="431"/>
      <c r="C69" s="432"/>
      <c r="D69" s="433"/>
      <c r="E69" s="434"/>
      <c r="F69" s="446">
        <f>F67+F29</f>
        <v>5349.7864730813581</v>
      </c>
      <c r="G69" s="809"/>
      <c r="H69" s="810"/>
      <c r="I69" s="99"/>
      <c r="J69" s="186"/>
      <c r="K69" s="192"/>
    </row>
    <row r="70" spans="1:11" s="1" customFormat="1" ht="16.5" customHeight="1" x14ac:dyDescent="0.3">
      <c r="A70" s="402" t="s">
        <v>81</v>
      </c>
      <c r="B70" s="100"/>
      <c r="C70" s="374"/>
      <c r="D70" s="429"/>
      <c r="E70" s="224"/>
      <c r="F70" s="435">
        <f>F66-F61</f>
        <v>53659.994836930491</v>
      </c>
      <c r="G70" s="768"/>
      <c r="H70" s="811"/>
      <c r="J70" s="47"/>
      <c r="K70" s="189"/>
    </row>
    <row r="71" spans="1:11" ht="14.5" thickBot="1" x14ac:dyDescent="0.35">
      <c r="A71" s="406" t="s">
        <v>407</v>
      </c>
      <c r="B71" s="107"/>
      <c r="C71" s="107"/>
      <c r="D71" s="107"/>
      <c r="E71" s="107"/>
      <c r="F71" s="444">
        <f>F13-F70</f>
        <v>23798.105163069515</v>
      </c>
      <c r="G71" s="19"/>
      <c r="H71" s="812"/>
    </row>
    <row r="72" spans="1:11" ht="18.5" thickBot="1" x14ac:dyDescent="0.45">
      <c r="A72" s="487" t="s">
        <v>82</v>
      </c>
      <c r="B72" s="475"/>
      <c r="C72" s="475"/>
      <c r="D72" s="475"/>
      <c r="E72" s="475"/>
      <c r="F72" s="601">
        <f>F71/D61</f>
        <v>17.532985139785989</v>
      </c>
      <c r="G72" s="19"/>
      <c r="H72" s="19"/>
    </row>
    <row r="73" spans="1:11" s="22" customFormat="1" ht="16" thickBot="1" x14ac:dyDescent="0.4">
      <c r="A73" s="475" t="s">
        <v>112</v>
      </c>
      <c r="B73" s="475"/>
      <c r="C73" s="475"/>
      <c r="D73" s="475"/>
      <c r="E73" s="475"/>
      <c r="F73" s="826">
        <f>(F71-(B61*'Standard Vorgaben'!C29))/(D61-B61)</f>
        <v>7.3164153913500298</v>
      </c>
      <c r="G73" s="101"/>
      <c r="H73" s="101"/>
      <c r="J73" s="187"/>
      <c r="K73" s="193"/>
    </row>
    <row r="74" spans="1:11" s="75" customFormat="1" ht="22.5" customHeight="1" x14ac:dyDescent="0.3">
      <c r="A74" s="402" t="s">
        <v>327</v>
      </c>
      <c r="B74" s="107" t="s">
        <v>326</v>
      </c>
      <c r="C74" s="436">
        <f>F11-F35</f>
        <v>37576.965732550787</v>
      </c>
      <c r="D74" s="125" t="s">
        <v>106</v>
      </c>
      <c r="E74" s="125"/>
      <c r="F74" s="435">
        <f>F13-F35</f>
        <v>38676.965732550787</v>
      </c>
      <c r="G74" s="813" t="s">
        <v>265</v>
      </c>
      <c r="H74" s="814"/>
      <c r="J74" s="188"/>
      <c r="K74" s="194"/>
    </row>
    <row r="75" spans="1:11" ht="15.75" customHeight="1" x14ac:dyDescent="0.3">
      <c r="A75" s="447" t="s">
        <v>158</v>
      </c>
      <c r="B75" s="1372" t="s">
        <v>159</v>
      </c>
      <c r="C75" s="1372"/>
      <c r="D75" s="1372"/>
      <c r="E75" s="1372"/>
      <c r="F75" s="804">
        <f>K49+F61+F17+F24+F28</f>
        <v>44347.726999999999</v>
      </c>
      <c r="G75" s="61">
        <f>F13</f>
        <v>77458.100000000006</v>
      </c>
      <c r="H75" s="19"/>
      <c r="I75" t="s">
        <v>239</v>
      </c>
    </row>
    <row r="76" spans="1:11" ht="14" x14ac:dyDescent="0.3">
      <c r="A76" s="406" t="s">
        <v>182</v>
      </c>
      <c r="B76" s="1" t="s">
        <v>183</v>
      </c>
      <c r="C76" s="1"/>
      <c r="D76" s="1"/>
      <c r="E76" s="1"/>
      <c r="F76" s="805">
        <f>F13/D61</f>
        <v>57.066380157170933</v>
      </c>
      <c r="G76" s="25"/>
      <c r="H76" s="19"/>
    </row>
    <row r="77" spans="1:11" ht="15.75" customHeight="1" x14ac:dyDescent="0.3">
      <c r="A77" s="406"/>
      <c r="B77" s="1" t="s">
        <v>412</v>
      </c>
      <c r="C77" s="1"/>
      <c r="D77" s="1"/>
      <c r="E77" s="1"/>
      <c r="F77" s="806">
        <f>D7/D61</f>
        <v>4.3099214145383113</v>
      </c>
      <c r="G77" s="25"/>
      <c r="H77" s="19"/>
    </row>
    <row r="78" spans="1:11" s="1" customFormat="1" ht="14" x14ac:dyDescent="0.3">
      <c r="A78" s="406" t="s">
        <v>184</v>
      </c>
      <c r="B78" s="1" t="s">
        <v>299</v>
      </c>
      <c r="F78" s="807">
        <f>(F67+F63)/E63</f>
        <v>-3.1779418647903054E-2</v>
      </c>
      <c r="G78" s="25"/>
      <c r="H78" s="25"/>
      <c r="I78" s="1" t="s">
        <v>240</v>
      </c>
      <c r="J78" s="47"/>
      <c r="K78" s="8">
        <f>F66-F64</f>
        <v>84199.034267449213</v>
      </c>
    </row>
    <row r="79" spans="1:11" ht="20" x14ac:dyDescent="0.4">
      <c r="A79" s="462" t="s">
        <v>107</v>
      </c>
      <c r="B79" s="475" t="s">
        <v>108</v>
      </c>
      <c r="C79" s="392"/>
      <c r="D79" s="392"/>
      <c r="E79" s="392"/>
      <c r="F79" s="602">
        <f>F66/D11</f>
        <v>6.6888457566869617</v>
      </c>
      <c r="G79" s="19"/>
      <c r="H79" s="19"/>
      <c r="I79" t="s">
        <v>241</v>
      </c>
      <c r="K79" s="20">
        <f>F13-K78</f>
        <v>-6740.9342674492073</v>
      </c>
    </row>
    <row r="80" spans="1:11" ht="16" thickBot="1" x14ac:dyDescent="0.4">
      <c r="D80" s="42" t="s">
        <v>83</v>
      </c>
      <c r="E80" s="42" t="s">
        <v>84</v>
      </c>
      <c r="F80" s="321"/>
      <c r="G80" s="19"/>
      <c r="H80" s="815"/>
    </row>
    <row r="81" spans="1:11" ht="15.5" x14ac:dyDescent="0.35">
      <c r="A81" s="475" t="s">
        <v>157</v>
      </c>
      <c r="B81" s="451" t="s">
        <v>97</v>
      </c>
      <c r="C81" s="716" t="str">
        <f>B7</f>
        <v>28+ mm</v>
      </c>
      <c r="D81" s="96">
        <f>F7/F11</f>
        <v>0.5431840236988611</v>
      </c>
      <c r="E81" s="84">
        <f>D81*F66</f>
        <v>47232.563976237594</v>
      </c>
      <c r="F81" s="448">
        <f>E81/D7</f>
        <v>8.0739425600406136</v>
      </c>
      <c r="G81" s="19"/>
      <c r="H81" s="816"/>
    </row>
    <row r="82" spans="1:11" ht="14" x14ac:dyDescent="0.3">
      <c r="A82" s="25" t="s">
        <v>408</v>
      </c>
      <c r="C82" s="716" t="str">
        <f>B8</f>
        <v>24+ mm</v>
      </c>
      <c r="D82" s="96">
        <f>F8/F11</f>
        <v>0.45681597630113902</v>
      </c>
      <c r="E82" s="84">
        <f>D82*F66</f>
        <v>39722.430860692904</v>
      </c>
      <c r="F82" s="449">
        <f>E82/D8</f>
        <v>6.3657741763930931</v>
      </c>
      <c r="G82" s="19"/>
      <c r="H82" s="19"/>
    </row>
    <row r="83" spans="1:11" s="1" customFormat="1" ht="14" x14ac:dyDescent="0.3">
      <c r="A83" s="125"/>
      <c r="B83" s="25"/>
      <c r="C83" s="716" t="str">
        <f>B9</f>
        <v xml:space="preserve"> 22+ mm</v>
      </c>
      <c r="D83" s="96">
        <f>F9/F11</f>
        <v>0</v>
      </c>
      <c r="E83" s="84">
        <f>D83*F66</f>
        <v>0</v>
      </c>
      <c r="F83" s="449" t="e">
        <f>E83/D9</f>
        <v>#DIV/0!</v>
      </c>
      <c r="G83" s="25"/>
      <c r="H83" s="25"/>
      <c r="J83" s="47"/>
      <c r="K83" s="189"/>
    </row>
    <row r="84" spans="1:11" s="19" customFormat="1" ht="14.5" thickBot="1" x14ac:dyDescent="0.35">
      <c r="C84" s="716" t="str">
        <f>B10</f>
        <v xml:space="preserve"> Abgang</v>
      </c>
      <c r="D84" s="96">
        <f>F10/F11</f>
        <v>0</v>
      </c>
      <c r="E84" s="84">
        <f>D84*F66</f>
        <v>0</v>
      </c>
      <c r="F84" s="450">
        <f>E84/D10</f>
        <v>0</v>
      </c>
      <c r="J84" s="13"/>
      <c r="K84" s="153"/>
    </row>
    <row r="85" spans="1:11" ht="18" x14ac:dyDescent="0.4">
      <c r="A85" s="487" t="s">
        <v>287</v>
      </c>
      <c r="B85" s="392"/>
      <c r="C85" s="392"/>
      <c r="D85" s="392"/>
      <c r="E85" s="392"/>
      <c r="F85" s="603"/>
      <c r="G85" s="1"/>
    </row>
    <row r="86" spans="1:11" x14ac:dyDescent="0.25">
      <c r="F86" s="49"/>
    </row>
    <row r="87" spans="1:11" s="257" customFormat="1" ht="21.75" customHeight="1" x14ac:dyDescent="0.25">
      <c r="A87" s="310" t="s">
        <v>288</v>
      </c>
      <c r="B87" s="272" t="s">
        <v>85</v>
      </c>
      <c r="C87" s="311" t="s">
        <v>289</v>
      </c>
      <c r="J87" s="272"/>
      <c r="K87" s="312"/>
    </row>
    <row r="88" spans="1:11" x14ac:dyDescent="0.25">
      <c r="A88" t="s">
        <v>218</v>
      </c>
      <c r="B88" s="45">
        <f>F61</f>
        <v>33295</v>
      </c>
      <c r="C88" s="317">
        <f>B88/$B$91</f>
        <v>0.38289922347116678</v>
      </c>
    </row>
    <row r="89" spans="1:11" x14ac:dyDescent="0.25">
      <c r="A89" t="s">
        <v>290</v>
      </c>
      <c r="B89" s="45">
        <f>F64</f>
        <v>2755.9605694812785</v>
      </c>
      <c r="C89" s="317">
        <f>B89/$B$91</f>
        <v>3.1694103077685422E-2</v>
      </c>
    </row>
    <row r="90" spans="1:11" x14ac:dyDescent="0.25">
      <c r="A90" s="42" t="s">
        <v>291</v>
      </c>
      <c r="B90" s="117">
        <f>B91-B88-B89</f>
        <v>50904.034267449213</v>
      </c>
      <c r="C90" s="452">
        <f>B90/$B$91</f>
        <v>0.58540667345114783</v>
      </c>
    </row>
    <row r="91" spans="1:11" ht="13" x14ac:dyDescent="0.3">
      <c r="A91" s="1" t="str">
        <f>A66</f>
        <v>Produktionskosten pro ha</v>
      </c>
      <c r="B91" s="209">
        <f>F66</f>
        <v>86954.994836930491</v>
      </c>
      <c r="C91" s="317">
        <f>SUM(C88:C90)</f>
        <v>1</v>
      </c>
      <c r="D91" s="12"/>
    </row>
    <row r="92" spans="1:11" x14ac:dyDescent="0.25">
      <c r="A92" s="1"/>
      <c r="B92" s="1"/>
      <c r="C92" s="1"/>
      <c r="F92" s="49"/>
    </row>
    <row r="93" spans="1:11" x14ac:dyDescent="0.25">
      <c r="A93" s="1"/>
      <c r="F93" s="49"/>
    </row>
    <row r="94" spans="1:11" s="257" customFormat="1" ht="30.75" customHeight="1" x14ac:dyDescent="0.25">
      <c r="A94" s="416" t="s">
        <v>345</v>
      </c>
      <c r="B94" s="272" t="s">
        <v>85</v>
      </c>
      <c r="C94" s="314" t="s">
        <v>356</v>
      </c>
      <c r="D94" s="315"/>
      <c r="J94" s="272"/>
      <c r="K94" s="312"/>
    </row>
    <row r="95" spans="1:11" x14ac:dyDescent="0.25">
      <c r="A95" s="100" t="str">
        <f>B62</f>
        <v>für Boden</v>
      </c>
      <c r="B95" s="45">
        <f>F62</f>
        <v>660</v>
      </c>
      <c r="C95" s="246">
        <f>B95/$B$97</f>
        <v>0.23948092991919107</v>
      </c>
    </row>
    <row r="96" spans="1:11" x14ac:dyDescent="0.25">
      <c r="A96" s="417" t="str">
        <f>B63</f>
        <v xml:space="preserve">für Investition Kirschenanlage </v>
      </c>
      <c r="B96" s="117">
        <f>F63</f>
        <v>2095.9605694812785</v>
      </c>
      <c r="C96" s="453">
        <f>B96/$B$97</f>
        <v>0.76051907008080888</v>
      </c>
    </row>
    <row r="97" spans="1:11" ht="13" x14ac:dyDescent="0.3">
      <c r="A97" s="334" t="s">
        <v>290</v>
      </c>
      <c r="B97" s="209">
        <f>SUM(B95:B96)</f>
        <v>2755.9605694812785</v>
      </c>
      <c r="C97" s="246">
        <f>SUM(C95:C96)</f>
        <v>1</v>
      </c>
    </row>
    <row r="98" spans="1:11" ht="13" x14ac:dyDescent="0.3">
      <c r="A98" s="334"/>
      <c r="B98" s="45"/>
      <c r="C98" s="335"/>
    </row>
    <row r="99" spans="1:11" x14ac:dyDescent="0.25">
      <c r="A99" s="1"/>
    </row>
    <row r="100" spans="1:11" ht="26.25" customHeight="1" x14ac:dyDescent="0.25">
      <c r="A100" s="416" t="s">
        <v>292</v>
      </c>
      <c r="B100" s="272" t="s">
        <v>85</v>
      </c>
      <c r="C100" s="314" t="s">
        <v>356</v>
      </c>
    </row>
    <row r="101" spans="1:11" x14ac:dyDescent="0.25">
      <c r="A101" s="100" t="str">
        <f>B56</f>
        <v>Ernte (inkl. Sortieren ohne kalibrieren)</v>
      </c>
      <c r="B101" s="45">
        <f>F56</f>
        <v>24505</v>
      </c>
      <c r="C101" s="246">
        <f>B101/B111</f>
        <v>0.73599639585523347</v>
      </c>
    </row>
    <row r="102" spans="1:11" x14ac:dyDescent="0.25">
      <c r="A102" s="1" t="str">
        <f>B53</f>
        <v>Baumerziehung (Sommer + Winter)</v>
      </c>
      <c r="B102" s="45">
        <f>F53</f>
        <v>3270.0000000000005</v>
      </c>
      <c r="C102" s="108">
        <f>B102/B111</f>
        <v>9.8212944886619621E-2</v>
      </c>
    </row>
    <row r="103" spans="1:11" x14ac:dyDescent="0.25">
      <c r="A103" s="412" t="str">
        <f>B55</f>
        <v>Behangsregulierung (chemisch)</v>
      </c>
      <c r="B103" s="45">
        <f>F55</f>
        <v>98.100000000000009</v>
      </c>
      <c r="C103" s="108">
        <f>B103/B111</f>
        <v>2.9463883465985887E-3</v>
      </c>
    </row>
    <row r="104" spans="1:11" x14ac:dyDescent="0.25">
      <c r="A104" s="413" t="str">
        <f>B60</f>
        <v>Verwaltung + übrige Arbeiten</v>
      </c>
      <c r="B104" s="45">
        <f>F60</f>
        <v>2070</v>
      </c>
      <c r="C104" s="108">
        <f>B104/B111</f>
        <v>6.2171497221805073E-2</v>
      </c>
    </row>
    <row r="105" spans="1:11" x14ac:dyDescent="0.25">
      <c r="A105" s="413" t="str">
        <f>B57</f>
        <v>Regendachfolie:  Ausrollen + Einrollen</v>
      </c>
      <c r="B105" s="45">
        <f>F57</f>
        <v>904.80000000000007</v>
      </c>
      <c r="C105" s="108">
        <f>B105/B111</f>
        <v>2.7175251539270164E-2</v>
      </c>
    </row>
    <row r="106" spans="1:11" s="1" customFormat="1" x14ac:dyDescent="0.25">
      <c r="A106" s="1" t="s">
        <v>460</v>
      </c>
      <c r="B106" s="45">
        <f>F58</f>
        <v>452.40000000000003</v>
      </c>
      <c r="C106" s="108">
        <f>B106/B111</f>
        <v>1.3587625769635082E-2</v>
      </c>
      <c r="J106" s="47"/>
      <c r="K106" s="189"/>
    </row>
    <row r="107" spans="1:11" x14ac:dyDescent="0.25">
      <c r="A107" s="413" t="str">
        <f>B59</f>
        <v>Sprinkleranlage: Kontrolle, Spühlung</v>
      </c>
      <c r="B107" s="45">
        <f>F59</f>
        <v>457.80000000000007</v>
      </c>
      <c r="C107" s="108">
        <f>B107/B111</f>
        <v>1.3749812284126748E-2</v>
      </c>
    </row>
    <row r="108" spans="1:11" x14ac:dyDescent="0.25">
      <c r="A108" s="413" t="str">
        <f>B52</f>
        <v>Pflanzenschutz inkl. Kontrolle und Mausen</v>
      </c>
      <c r="B108" s="45">
        <f>F52</f>
        <v>1275.3000000000002</v>
      </c>
      <c r="C108" s="108">
        <f>B108/B111</f>
        <v>3.8303048505781652E-2</v>
      </c>
    </row>
    <row r="109" spans="1:11" x14ac:dyDescent="0.25">
      <c r="A109" s="413" t="str">
        <f>B54</f>
        <v>Mulchen und Schnittholz hacken</v>
      </c>
      <c r="B109" s="45">
        <f>F54</f>
        <v>196.20000000000002</v>
      </c>
      <c r="C109" s="108">
        <f>B109/B111</f>
        <v>5.8927766931971774E-3</v>
      </c>
    </row>
    <row r="110" spans="1:11" x14ac:dyDescent="0.25">
      <c r="A110" s="414" t="str">
        <f>B51</f>
        <v>Düngung</v>
      </c>
      <c r="B110" s="117">
        <f>F51</f>
        <v>65.400000000000006</v>
      </c>
      <c r="C110" s="222">
        <f>B110/B111</f>
        <v>1.9642588977323923E-3</v>
      </c>
    </row>
    <row r="111" spans="1:11" ht="13" x14ac:dyDescent="0.3">
      <c r="A111" s="413" t="str">
        <f>A88</f>
        <v>Arbeitskosten</v>
      </c>
      <c r="B111" s="209">
        <f>SUM(B101:B110)</f>
        <v>33295</v>
      </c>
      <c r="C111" s="108">
        <f>SUM(C101:C110)</f>
        <v>1</v>
      </c>
    </row>
    <row r="112" spans="1:11" x14ac:dyDescent="0.25">
      <c r="A112" s="1"/>
      <c r="B112" s="1"/>
      <c r="C112" s="1"/>
    </row>
    <row r="113" spans="1:11" x14ac:dyDescent="0.25">
      <c r="A113" s="1"/>
    </row>
    <row r="114" spans="1:11" ht="13" x14ac:dyDescent="0.25">
      <c r="A114" s="324" t="s">
        <v>293</v>
      </c>
      <c r="B114" s="272" t="s">
        <v>85</v>
      </c>
      <c r="C114" s="314" t="s">
        <v>356</v>
      </c>
    </row>
    <row r="115" spans="1:11" x14ac:dyDescent="0.25">
      <c r="A115" s="197" t="str">
        <f>A101</f>
        <v>Ernte (inkl. Sortieren ohne kalibrieren)</v>
      </c>
      <c r="B115" s="45">
        <f>B101</f>
        <v>24505</v>
      </c>
      <c r="C115" s="317">
        <f>B115/B118</f>
        <v>0.73599639585523347</v>
      </c>
    </row>
    <row r="116" spans="1:11" x14ac:dyDescent="0.25">
      <c r="A116" s="197" t="str">
        <f>A102</f>
        <v>Baumerziehung (Sommer + Winter)</v>
      </c>
      <c r="B116" s="45">
        <f>B102</f>
        <v>3270.0000000000005</v>
      </c>
      <c r="C116" s="317">
        <f>B116/B118</f>
        <v>9.8212944886619621E-2</v>
      </c>
      <c r="F116" s="49"/>
    </row>
    <row r="117" spans="1:11" x14ac:dyDescent="0.25">
      <c r="A117" s="221" t="s">
        <v>294</v>
      </c>
      <c r="B117" s="117">
        <f>B103+B104+B105+B107+B108+B109+B110+B106</f>
        <v>5519.9999999999991</v>
      </c>
      <c r="C117" s="452">
        <f>B117/B118</f>
        <v>0.16579065925814684</v>
      </c>
      <c r="F117" s="49"/>
    </row>
    <row r="118" spans="1:11" s="257" customFormat="1" ht="18" customHeight="1" x14ac:dyDescent="0.3">
      <c r="A118" s="413" t="str">
        <f>A88</f>
        <v>Arbeitskosten</v>
      </c>
      <c r="B118" s="209">
        <f>SUM(B115:B117)</f>
        <v>33295</v>
      </c>
      <c r="C118" s="317">
        <f>SUM(C115:C117)</f>
        <v>0.99999999999999989</v>
      </c>
      <c r="D118" s="315"/>
      <c r="E118" s="315"/>
      <c r="F118" s="285"/>
      <c r="J118" s="272"/>
      <c r="K118" s="312"/>
    </row>
    <row r="119" spans="1:11" ht="13" x14ac:dyDescent="0.3">
      <c r="A119" s="1"/>
      <c r="B119" s="1"/>
      <c r="C119" s="1"/>
      <c r="D119" s="316"/>
      <c r="E119" s="45"/>
      <c r="F119" s="317"/>
    </row>
    <row r="120" spans="1:11" x14ac:dyDescent="0.25">
      <c r="A120" s="1"/>
    </row>
    <row r="121" spans="1:11" ht="13" x14ac:dyDescent="0.25">
      <c r="A121" s="324" t="s">
        <v>295</v>
      </c>
      <c r="B121" s="272" t="s">
        <v>85</v>
      </c>
      <c r="C121" s="311" t="s">
        <v>346</v>
      </c>
    </row>
    <row r="122" spans="1:11" ht="37.5" x14ac:dyDescent="0.25">
      <c r="A122" s="415" t="str">
        <f>A29</f>
        <v>Abschreibung Kirschenanlage (inkl. Regendach mit 1x Folie, Ernteschutznetz 1x, Bewässerungsanlage und Zaun)</v>
      </c>
      <c r="B122" s="454">
        <f>F31</f>
        <v>19407.042310011842</v>
      </c>
      <c r="C122" s="455">
        <f>B122/B125</f>
        <v>0.38124762780190397</v>
      </c>
    </row>
    <row r="123" spans="1:11" x14ac:dyDescent="0.25">
      <c r="A123" s="1" t="str">
        <f>A38</f>
        <v>Maschinen und Geräte</v>
      </c>
      <c r="B123" s="45">
        <f>F49</f>
        <v>11672.899999999998</v>
      </c>
      <c r="C123" s="317">
        <f>B123/B125</f>
        <v>0.22931188397899299</v>
      </c>
    </row>
    <row r="124" spans="1:11" x14ac:dyDescent="0.25">
      <c r="A124" s="221" t="s">
        <v>296</v>
      </c>
      <c r="B124" s="117">
        <f>B91-B97-B111-B122-B123</f>
        <v>19824.091957437373</v>
      </c>
      <c r="C124" s="452">
        <f>B124/B125</f>
        <v>0.38944048821910304</v>
      </c>
    </row>
    <row r="125" spans="1:11" s="257" customFormat="1" ht="18" customHeight="1" x14ac:dyDescent="0.3">
      <c r="A125" s="1" t="str">
        <f>A90</f>
        <v>Sachkosten</v>
      </c>
      <c r="B125" s="209">
        <f>SUM(B122:B124)</f>
        <v>50904.034267449213</v>
      </c>
      <c r="C125" s="317">
        <f>SUM(C122:C124)</f>
        <v>1</v>
      </c>
      <c r="J125" s="272"/>
      <c r="K125" s="312"/>
    </row>
    <row r="126" spans="1:11" x14ac:dyDescent="0.25">
      <c r="A126" s="1"/>
    </row>
    <row r="127" spans="1:11" x14ac:dyDescent="0.25">
      <c r="A127" s="1"/>
    </row>
    <row r="128" spans="1:11" ht="26" x14ac:dyDescent="0.25">
      <c r="A128" s="416" t="s">
        <v>297</v>
      </c>
      <c r="B128" s="272" t="s">
        <v>85</v>
      </c>
      <c r="C128" s="311" t="s">
        <v>289</v>
      </c>
    </row>
    <row r="129" spans="1:14" x14ac:dyDescent="0.25">
      <c r="A129" s="1" t="str">
        <f>A35</f>
        <v>Total Direktkosten</v>
      </c>
      <c r="B129" s="45">
        <f>F35</f>
        <v>38781.134267449219</v>
      </c>
      <c r="C129" s="317">
        <f>B129/B131</f>
        <v>0.44599087539682719</v>
      </c>
      <c r="J129"/>
      <c r="K129"/>
      <c r="M129" s="12"/>
      <c r="N129" s="20"/>
    </row>
    <row r="130" spans="1:14" x14ac:dyDescent="0.25">
      <c r="A130" s="221" t="str">
        <f>A65</f>
        <v>Total Strukturkosten</v>
      </c>
      <c r="B130" s="117">
        <f>F65</f>
        <v>48173.860569481272</v>
      </c>
      <c r="C130" s="452">
        <f>B130/B131</f>
        <v>0.55400912460317275</v>
      </c>
      <c r="J130"/>
      <c r="K130"/>
      <c r="M130" s="12"/>
      <c r="N130" s="20"/>
    </row>
    <row r="131" spans="1:14" ht="13" x14ac:dyDescent="0.3">
      <c r="A131" s="1" t="str">
        <f>A66</f>
        <v>Produktionskosten pro ha</v>
      </c>
      <c r="B131" s="209">
        <f>SUM(B129:B130)</f>
        <v>86954.994836930491</v>
      </c>
      <c r="C131" s="317">
        <f>SUM(C129:C130)</f>
        <v>1</v>
      </c>
      <c r="J131"/>
      <c r="K131"/>
      <c r="M131" s="12"/>
      <c r="N131" s="20"/>
    </row>
    <row r="132" spans="1:14" x14ac:dyDescent="0.25">
      <c r="B132" s="1"/>
      <c r="C132" s="1"/>
      <c r="J132"/>
      <c r="K132"/>
      <c r="M132" s="12"/>
      <c r="N132" s="20"/>
    </row>
    <row r="133" spans="1:14" x14ac:dyDescent="0.25">
      <c r="J133"/>
      <c r="K133"/>
      <c r="M133" s="12"/>
      <c r="N133" s="20"/>
    </row>
    <row r="134" spans="1:14" ht="18" x14ac:dyDescent="0.4">
      <c r="A134" s="487" t="s">
        <v>347</v>
      </c>
      <c r="B134" s="392"/>
      <c r="C134" s="392"/>
      <c r="J134"/>
      <c r="K134"/>
      <c r="M134" s="12"/>
      <c r="N134" s="20"/>
    </row>
    <row r="135" spans="1:14" x14ac:dyDescent="0.25">
      <c r="B135" s="272" t="s">
        <v>85</v>
      </c>
      <c r="C135" s="311" t="s">
        <v>289</v>
      </c>
      <c r="J135"/>
      <c r="K135"/>
      <c r="M135" s="12"/>
      <c r="N135" s="20"/>
    </row>
    <row r="136" spans="1:14" ht="13" x14ac:dyDescent="0.3">
      <c r="A136" s="64" t="s">
        <v>348</v>
      </c>
      <c r="B136" s="1"/>
      <c r="J136"/>
      <c r="K136"/>
      <c r="M136" s="12"/>
      <c r="N136" s="20"/>
    </row>
    <row r="137" spans="1:14" ht="13" x14ac:dyDescent="0.3">
      <c r="A137" s="71" t="s">
        <v>138</v>
      </c>
      <c r="B137" s="209">
        <f>F23</f>
        <v>2500</v>
      </c>
      <c r="C137" s="65">
        <f>B137/$F$66</f>
        <v>2.8750504840904547E-2</v>
      </c>
      <c r="J137"/>
      <c r="K137"/>
      <c r="M137" s="12"/>
      <c r="N137" s="20"/>
    </row>
    <row r="138" spans="1:14" x14ac:dyDescent="0.25">
      <c r="B138" s="45"/>
      <c r="C138" s="65"/>
      <c r="J138"/>
      <c r="K138"/>
      <c r="M138" s="12"/>
      <c r="N138" s="20"/>
    </row>
    <row r="139" spans="1:14" ht="13" x14ac:dyDescent="0.3">
      <c r="A139" s="64" t="s">
        <v>30</v>
      </c>
      <c r="B139" s="47"/>
      <c r="C139" s="65"/>
      <c r="J139"/>
      <c r="K139"/>
      <c r="M139" s="12"/>
      <c r="N139" s="20"/>
    </row>
    <row r="140" spans="1:14" x14ac:dyDescent="0.25">
      <c r="A140" s="1" t="s">
        <v>534</v>
      </c>
      <c r="B140" s="45">
        <f>F38</f>
        <v>592</v>
      </c>
      <c r="C140" s="336">
        <f>B140/$F$66</f>
        <v>6.8081195463261966E-3</v>
      </c>
      <c r="J140"/>
      <c r="K140"/>
      <c r="M140" s="12"/>
      <c r="N140" s="20"/>
    </row>
    <row r="141" spans="1:14" x14ac:dyDescent="0.25">
      <c r="A141" s="1" t="s">
        <v>537</v>
      </c>
      <c r="B141" s="45">
        <f>F39</f>
        <v>207</v>
      </c>
      <c r="C141" s="336">
        <f>B141/$F$66</f>
        <v>2.3805418008268965E-3</v>
      </c>
      <c r="J141"/>
      <c r="K141"/>
      <c r="M141" s="12"/>
      <c r="N141" s="20"/>
    </row>
    <row r="142" spans="1:14" x14ac:dyDescent="0.25">
      <c r="A142" s="1" t="s">
        <v>31</v>
      </c>
      <c r="B142" s="456">
        <f>((C38*D38)+(C39*D39))*E47</f>
        <v>779</v>
      </c>
      <c r="C142" s="337">
        <f>B142/$F$66</f>
        <v>8.9586573084258561E-3</v>
      </c>
      <c r="J142"/>
      <c r="K142"/>
      <c r="M142" s="12"/>
      <c r="N142" s="20"/>
    </row>
    <row r="143" spans="1:14" ht="13" x14ac:dyDescent="0.3">
      <c r="A143" s="1"/>
      <c r="B143" s="209">
        <f>SUM(B140:B142)</f>
        <v>1578</v>
      </c>
      <c r="C143" s="65">
        <f>SUM(C140:C142)</f>
        <v>1.8147318655578948E-2</v>
      </c>
      <c r="J143"/>
      <c r="K143"/>
      <c r="M143" s="12"/>
      <c r="N143" s="20"/>
    </row>
    <row r="144" spans="1:14" x14ac:dyDescent="0.25">
      <c r="A144" s="1"/>
      <c r="B144" s="47"/>
      <c r="C144" s="65"/>
      <c r="J144"/>
      <c r="K144"/>
      <c r="M144" s="12"/>
      <c r="N144" s="20"/>
    </row>
    <row r="145" spans="1:14" ht="13" x14ac:dyDescent="0.3">
      <c r="A145" s="107" t="s">
        <v>35</v>
      </c>
      <c r="B145" s="47"/>
      <c r="C145" s="65"/>
      <c r="J145"/>
      <c r="K145"/>
      <c r="M145" s="12"/>
      <c r="N145" s="20"/>
    </row>
    <row r="146" spans="1:14" ht="13" x14ac:dyDescent="0.3">
      <c r="A146" s="25" t="s">
        <v>223</v>
      </c>
      <c r="B146" s="121">
        <f>F52</f>
        <v>1275.3000000000002</v>
      </c>
      <c r="C146" s="65">
        <f>B146/$F$66</f>
        <v>1.466620752944223E-2</v>
      </c>
      <c r="J146"/>
      <c r="K146"/>
      <c r="M146" s="12"/>
      <c r="N146" s="20"/>
    </row>
    <row r="147" spans="1:14" x14ac:dyDescent="0.25">
      <c r="A147" s="1"/>
      <c r="B147" s="1"/>
      <c r="C147" s="65"/>
      <c r="J147"/>
      <c r="K147"/>
      <c r="M147" s="12"/>
      <c r="N147" s="20"/>
    </row>
    <row r="148" spans="1:14" ht="13" x14ac:dyDescent="0.3">
      <c r="A148" s="107" t="s">
        <v>349</v>
      </c>
      <c r="B148" s="209">
        <f>B137+B143+B146</f>
        <v>5353.3</v>
      </c>
      <c r="C148" s="331">
        <f>B148/$F$66</f>
        <v>6.1564031025925725E-2</v>
      </c>
      <c r="J148"/>
      <c r="K148"/>
      <c r="M148" s="12"/>
      <c r="N148" s="20"/>
    </row>
    <row r="149" spans="1:14" x14ac:dyDescent="0.25">
      <c r="A149" t="s">
        <v>350</v>
      </c>
      <c r="B149" s="45">
        <f>F66-B148</f>
        <v>81601.694836930488</v>
      </c>
      <c r="C149" s="65">
        <f>B149/$F$66</f>
        <v>0.93843596897407422</v>
      </c>
      <c r="J149"/>
      <c r="K149"/>
      <c r="M149" s="12"/>
      <c r="N149" s="20"/>
    </row>
    <row r="150" spans="1:14" x14ac:dyDescent="0.25">
      <c r="B150" s="1"/>
      <c r="J150"/>
      <c r="K150"/>
      <c r="M150" s="12"/>
      <c r="N150" s="20"/>
    </row>
    <row r="151" spans="1:14" ht="29.25" customHeight="1" x14ac:dyDescent="0.3">
      <c r="A151" s="64" t="s">
        <v>351</v>
      </c>
      <c r="B151" s="285"/>
      <c r="C151" s="338" t="s">
        <v>352</v>
      </c>
      <c r="J151"/>
      <c r="K151"/>
      <c r="M151" s="12"/>
      <c r="N151" s="20"/>
    </row>
    <row r="152" spans="1:14" x14ac:dyDescent="0.25">
      <c r="A152" t="s">
        <v>348</v>
      </c>
      <c r="B152" s="45">
        <f>B137</f>
        <v>2500</v>
      </c>
      <c r="C152" s="65">
        <f>B152/$B$155</f>
        <v>0.46700166252591857</v>
      </c>
      <c r="J152"/>
      <c r="K152"/>
      <c r="M152" s="12"/>
      <c r="N152" s="20"/>
    </row>
    <row r="153" spans="1:14" x14ac:dyDescent="0.25">
      <c r="A153" t="s">
        <v>30</v>
      </c>
      <c r="B153" s="45">
        <f>B143</f>
        <v>1578</v>
      </c>
      <c r="C153" s="65">
        <f>B153/$B$155</f>
        <v>0.2947714493863598</v>
      </c>
      <c r="J153"/>
      <c r="K153"/>
      <c r="M153" s="12"/>
      <c r="N153" s="20"/>
    </row>
    <row r="154" spans="1:14" x14ac:dyDescent="0.25">
      <c r="A154" s="42" t="s">
        <v>35</v>
      </c>
      <c r="B154" s="117">
        <f>B146</f>
        <v>1275.3000000000002</v>
      </c>
      <c r="C154" s="330">
        <f>B154/$B$155</f>
        <v>0.23822688808772161</v>
      </c>
      <c r="J154"/>
      <c r="K154"/>
      <c r="M154" s="12"/>
      <c r="N154" s="20"/>
    </row>
    <row r="155" spans="1:14" ht="25.5" x14ac:dyDescent="0.25">
      <c r="A155" s="313" t="s">
        <v>430</v>
      </c>
      <c r="B155" s="323">
        <f>SUM(B152:B154)</f>
        <v>5353.3</v>
      </c>
      <c r="C155" s="65">
        <f>B155/$B$148</f>
        <v>1</v>
      </c>
      <c r="J155"/>
      <c r="K155"/>
      <c r="M155" s="12"/>
      <c r="N155" s="20"/>
    </row>
    <row r="156" spans="1:14" x14ac:dyDescent="0.25">
      <c r="B156" s="1"/>
      <c r="J156"/>
      <c r="K156"/>
      <c r="M156" s="12"/>
      <c r="N156" s="20"/>
    </row>
    <row r="157" spans="1:14" x14ac:dyDescent="0.25">
      <c r="J157"/>
      <c r="K157"/>
      <c r="M157" s="12"/>
      <c r="N157" s="20"/>
    </row>
    <row r="158" spans="1:14" ht="18" x14ac:dyDescent="0.4">
      <c r="A158" s="487" t="s">
        <v>353</v>
      </c>
      <c r="B158" s="392"/>
      <c r="C158" s="392"/>
      <c r="J158"/>
      <c r="K158"/>
      <c r="M158" s="12"/>
      <c r="N158" s="20"/>
    </row>
    <row r="159" spans="1:14" x14ac:dyDescent="0.25">
      <c r="B159" s="272" t="s">
        <v>85</v>
      </c>
      <c r="C159" s="311" t="s">
        <v>289</v>
      </c>
      <c r="J159"/>
      <c r="K159"/>
      <c r="M159" s="12"/>
      <c r="N159" s="20"/>
    </row>
    <row r="160" spans="1:14" x14ac:dyDescent="0.25">
      <c r="A160" t="s">
        <v>30</v>
      </c>
      <c r="B160" s="1"/>
      <c r="J160"/>
      <c r="K160"/>
      <c r="M160" s="12"/>
      <c r="N160" s="20"/>
    </row>
    <row r="161" spans="1:14" x14ac:dyDescent="0.25">
      <c r="A161" s="71" t="str">
        <f>B41</f>
        <v>Pneuwagen 2achsig, 3t (Ernte)</v>
      </c>
      <c r="B161" s="45">
        <f>F41</f>
        <v>2708.333333333333</v>
      </c>
      <c r="C161" s="65">
        <f>B161/$F$66</f>
        <v>3.1146380244313255E-2</v>
      </c>
      <c r="J161"/>
      <c r="K161"/>
      <c r="M161" s="12"/>
      <c r="N161" s="20"/>
    </row>
    <row r="162" spans="1:14" x14ac:dyDescent="0.25">
      <c r="A162" s="71" t="s">
        <v>31</v>
      </c>
      <c r="B162" s="177">
        <f>D41*E47</f>
        <v>4441.6666666666661</v>
      </c>
      <c r="C162" s="65">
        <f>B162/$F$66</f>
        <v>5.1080063600673742E-2</v>
      </c>
      <c r="J162"/>
      <c r="K162"/>
      <c r="M162" s="12"/>
      <c r="N162" s="20"/>
    </row>
    <row r="163" spans="1:14" x14ac:dyDescent="0.25">
      <c r="A163" t="s">
        <v>35</v>
      </c>
      <c r="B163" s="47"/>
      <c r="C163" s="65"/>
      <c r="J163"/>
      <c r="K163"/>
      <c r="M163" s="12"/>
      <c r="N163" s="20"/>
    </row>
    <row r="164" spans="1:14" x14ac:dyDescent="0.25">
      <c r="A164" s="332" t="str">
        <f>B56</f>
        <v>Ernte (inkl. Sortieren ohne kalibrieren)</v>
      </c>
      <c r="B164" s="61">
        <f>F56</f>
        <v>24505</v>
      </c>
      <c r="C164" s="65">
        <f>B164/$F$66</f>
        <v>0.28181244845054637</v>
      </c>
      <c r="J164"/>
      <c r="K164"/>
      <c r="M164" s="12"/>
      <c r="N164" s="20"/>
    </row>
    <row r="165" spans="1:14" x14ac:dyDescent="0.25">
      <c r="A165" s="333"/>
      <c r="B165" s="117"/>
      <c r="C165" s="330"/>
      <c r="J165"/>
      <c r="K165"/>
      <c r="M165" s="12"/>
      <c r="N165" s="20"/>
    </row>
    <row r="166" spans="1:14" ht="13" x14ac:dyDescent="0.3">
      <c r="A166" s="64" t="s">
        <v>354</v>
      </c>
      <c r="B166" s="209">
        <f>B161+B162+B164</f>
        <v>31655</v>
      </c>
      <c r="C166" s="65">
        <f>B166/$F$66</f>
        <v>0.36403889229553338</v>
      </c>
      <c r="J166"/>
      <c r="K166"/>
      <c r="M166" s="12"/>
      <c r="N166" s="20"/>
    </row>
    <row r="167" spans="1:14" x14ac:dyDescent="0.25">
      <c r="A167" t="s">
        <v>350</v>
      </c>
      <c r="B167" s="45">
        <f>F66-B166</f>
        <v>55299.994836930491</v>
      </c>
      <c r="C167" s="65">
        <f>B167/$F$66</f>
        <v>0.63596110770446668</v>
      </c>
      <c r="J167"/>
      <c r="K167"/>
      <c r="M167" s="12"/>
      <c r="N167" s="20"/>
    </row>
    <row r="168" spans="1:14" x14ac:dyDescent="0.25">
      <c r="B168" s="1"/>
      <c r="J168"/>
      <c r="K168"/>
      <c r="M168" s="12"/>
      <c r="N168" s="20"/>
    </row>
    <row r="169" spans="1:14" ht="13" x14ac:dyDescent="0.3">
      <c r="A169" s="64" t="s">
        <v>351</v>
      </c>
      <c r="B169" s="285"/>
      <c r="C169" s="311" t="s">
        <v>355</v>
      </c>
      <c r="J169"/>
      <c r="K169"/>
      <c r="M169" s="12"/>
      <c r="N169" s="20"/>
    </row>
    <row r="170" spans="1:14" x14ac:dyDescent="0.25">
      <c r="A170" t="s">
        <v>30</v>
      </c>
      <c r="B170" s="45">
        <f>B161+B162</f>
        <v>7149.9999999999991</v>
      </c>
      <c r="C170" s="65">
        <f>B170/$B$172</f>
        <v>0.22587268993839832</v>
      </c>
      <c r="J170"/>
      <c r="K170"/>
      <c r="M170" s="12"/>
      <c r="N170" s="20"/>
    </row>
    <row r="171" spans="1:14" x14ac:dyDescent="0.25">
      <c r="A171" s="42" t="s">
        <v>35</v>
      </c>
      <c r="B171" s="117">
        <f>B164</f>
        <v>24505</v>
      </c>
      <c r="C171" s="330">
        <f>B171/$B$172</f>
        <v>0.77412731006160163</v>
      </c>
      <c r="J171"/>
      <c r="K171"/>
      <c r="M171" s="12"/>
      <c r="N171" s="20"/>
    </row>
    <row r="172" spans="1:14" ht="13" x14ac:dyDescent="0.3">
      <c r="A172" t="s">
        <v>354</v>
      </c>
      <c r="B172" s="209">
        <f>SUM(B170:B171)</f>
        <v>31655</v>
      </c>
      <c r="C172" s="65">
        <f>SUM(C170:C171)</f>
        <v>1</v>
      </c>
      <c r="J172"/>
      <c r="K172"/>
      <c r="M172" s="12"/>
      <c r="N172" s="20"/>
    </row>
    <row r="173" spans="1:14" x14ac:dyDescent="0.25">
      <c r="B173" s="1"/>
    </row>
  </sheetData>
  <mergeCells count="1">
    <mergeCell ref="B75:E75"/>
  </mergeCells>
  <phoneticPr fontId="25" type="noConversion"/>
  <printOptions gridLines="1" gridLinesSet="0"/>
  <pageMargins left="0.39370078740157483" right="0.39370078740157483" top="0.39370078740157483" bottom="0.39370078740157483" header="0.51181102362204722" footer="0.51181102362204722"/>
  <pageSetup paperSize="9" scale="65" orientation="portrait" r:id="rId1"/>
  <headerFooter alignWithMargins="0">
    <oddFooter>&amp;L&amp;6&amp;F&amp;C&amp;6&amp;A &amp;R&amp;6Kontakt: matthias.zuercher@faw.admin.ch</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ndardCashflow">
    <tabColor rgb="FF00359E"/>
  </sheetPr>
  <dimension ref="A1:O56"/>
  <sheetViews>
    <sheetView topLeftCell="A7" zoomScale="70" workbookViewId="0">
      <selection activeCell="J6" sqref="J6"/>
    </sheetView>
  </sheetViews>
  <sheetFormatPr baseColWidth="10" defaultColWidth="11.36328125" defaultRowHeight="12.5" x14ac:dyDescent="0.25"/>
  <cols>
    <col min="1" max="1" width="33.7265625" customWidth="1"/>
    <col min="2" max="2" width="5.7265625" customWidth="1"/>
    <col min="3" max="3" width="21.7265625" customWidth="1"/>
    <col min="4" max="4" width="18.26953125" customWidth="1"/>
    <col min="5" max="5" width="20.7265625" customWidth="1"/>
    <col min="6" max="6" width="15.26953125" customWidth="1"/>
    <col min="7" max="7" width="15.7265625" bestFit="1" customWidth="1"/>
    <col min="8" max="8" width="12.7265625" customWidth="1"/>
    <col min="9" max="9" width="13.54296875" customWidth="1"/>
    <col min="10" max="10" width="13.7265625" customWidth="1"/>
    <col min="11" max="11" width="14.81640625" customWidth="1"/>
  </cols>
  <sheetData>
    <row r="1" spans="1:10" ht="42.75" customHeight="1" x14ac:dyDescent="0.5">
      <c r="A1" s="369" t="str">
        <f>'Standard Vorgaben'!A1</f>
        <v>Arbokost 2023</v>
      </c>
      <c r="B1" s="630"/>
      <c r="C1" s="631" t="str">
        <f>'Standard Erstellung'!B1</f>
        <v>Tafelkirsche</v>
      </c>
      <c r="D1" s="351"/>
      <c r="E1" s="351"/>
      <c r="F1" s="351"/>
      <c r="G1" s="632"/>
      <c r="H1" s="351"/>
      <c r="I1" s="351"/>
      <c r="J1" s="351"/>
    </row>
    <row r="2" spans="1:10" ht="21.75" customHeight="1" x14ac:dyDescent="0.35">
      <c r="A2" s="286" t="str">
        <f>'Standard Vorgaben'!$A$2</f>
        <v>Standard 1ha</v>
      </c>
      <c r="B2" s="351"/>
      <c r="C2" s="633">
        <f>'Standard Erstellung'!E16</f>
        <v>950</v>
      </c>
      <c r="D2" s="351"/>
      <c r="E2" s="351"/>
      <c r="F2" s="351"/>
      <c r="G2" s="351"/>
      <c r="H2" s="351"/>
      <c r="I2" s="351"/>
      <c r="J2" s="351"/>
    </row>
    <row r="3" spans="1:10" ht="24" customHeight="1" x14ac:dyDescent="0.35">
      <c r="B3" s="634"/>
      <c r="C3" s="351"/>
      <c r="D3" s="635"/>
      <c r="E3" s="633"/>
      <c r="F3" s="636"/>
      <c r="G3" s="351"/>
      <c r="H3" s="351"/>
      <c r="I3" s="351"/>
      <c r="J3" s="351"/>
    </row>
    <row r="4" spans="1:10" s="1" customFormat="1" ht="23" x14ac:dyDescent="0.5">
      <c r="A4" s="613" t="s">
        <v>393</v>
      </c>
      <c r="B4" s="614"/>
      <c r="C4" s="615"/>
      <c r="D4" s="615"/>
      <c r="E4" s="615"/>
      <c r="F4" s="620"/>
      <c r="G4" s="620"/>
      <c r="H4" s="620"/>
      <c r="I4" s="523"/>
      <c r="J4" s="523"/>
    </row>
    <row r="5" spans="1:10" s="1" customFormat="1" ht="20" x14ac:dyDescent="0.4">
      <c r="A5" s="132"/>
      <c r="B5" s="74"/>
      <c r="F5" s="421"/>
      <c r="G5" s="421"/>
      <c r="H5" s="421"/>
    </row>
    <row r="6" spans="1:10" s="1" customFormat="1" ht="20" x14ac:dyDescent="0.4">
      <c r="A6" s="132"/>
      <c r="B6" s="74"/>
      <c r="G6" s="133"/>
    </row>
    <row r="7" spans="1:10" s="1" customFormat="1" ht="20" x14ac:dyDescent="0.4">
      <c r="A7" s="132"/>
      <c r="B7" s="74"/>
      <c r="G7" s="133"/>
    </row>
    <row r="8" spans="1:10" s="1" customFormat="1" ht="20" x14ac:dyDescent="0.4">
      <c r="A8" s="132"/>
      <c r="B8" s="74"/>
      <c r="G8" s="133"/>
    </row>
    <row r="9" spans="1:10" s="1" customFormat="1" ht="20" x14ac:dyDescent="0.4">
      <c r="A9" s="132"/>
      <c r="B9" s="74"/>
      <c r="G9" s="133"/>
    </row>
    <row r="10" spans="1:10" s="1" customFormat="1" ht="20" x14ac:dyDescent="0.4">
      <c r="A10" s="132"/>
      <c r="B10" s="74"/>
      <c r="G10" s="133"/>
    </row>
    <row r="11" spans="1:10" s="1" customFormat="1" ht="20" x14ac:dyDescent="0.4">
      <c r="A11" s="132"/>
      <c r="B11" s="74"/>
      <c r="G11" s="133"/>
    </row>
    <row r="12" spans="1:10" s="1" customFormat="1" ht="20" x14ac:dyDescent="0.4">
      <c r="A12" s="132"/>
      <c r="B12" s="74"/>
      <c r="G12" s="133"/>
    </row>
    <row r="13" spans="1:10" s="1" customFormat="1" ht="20" x14ac:dyDescent="0.4">
      <c r="A13" s="132"/>
      <c r="B13" s="74"/>
      <c r="G13" s="133"/>
    </row>
    <row r="14" spans="1:10" s="1" customFormat="1" ht="20" x14ac:dyDescent="0.4">
      <c r="A14" s="132"/>
      <c r="B14" s="74"/>
      <c r="G14" s="133"/>
    </row>
    <row r="15" spans="1:10" s="1" customFormat="1" ht="20" x14ac:dyDescent="0.4">
      <c r="A15" s="132"/>
      <c r="B15" s="74"/>
      <c r="G15" s="133"/>
    </row>
    <row r="16" spans="1:10" s="1" customFormat="1" ht="20" x14ac:dyDescent="0.4">
      <c r="A16" s="132"/>
      <c r="B16" s="74"/>
      <c r="G16" s="133"/>
    </row>
    <row r="17" spans="1:15" s="1" customFormat="1" ht="20" x14ac:dyDescent="0.4">
      <c r="A17" s="132"/>
      <c r="B17" s="74"/>
      <c r="G17" s="133"/>
    </row>
    <row r="18" spans="1:15" s="1" customFormat="1" ht="20" x14ac:dyDescent="0.4">
      <c r="A18" s="74"/>
      <c r="B18" s="74"/>
      <c r="G18" s="133"/>
    </row>
    <row r="19" spans="1:15" ht="126" customHeight="1" x14ac:dyDescent="0.4">
      <c r="A19" s="72"/>
      <c r="B19" s="72"/>
      <c r="G19" s="86"/>
    </row>
    <row r="20" spans="1:15" ht="12.75" customHeight="1" x14ac:dyDescent="0.4">
      <c r="A20" s="72"/>
      <c r="B20" s="72"/>
      <c r="G20" s="86"/>
    </row>
    <row r="21" spans="1:15" ht="25.5" customHeight="1" x14ac:dyDescent="0.4">
      <c r="A21" s="27" t="s">
        <v>398</v>
      </c>
      <c r="B21" s="72"/>
      <c r="E21" s="637" t="str">
        <f>'Standard 1.-16. Standjahr'!B8</f>
        <v>28+ mm</v>
      </c>
      <c r="F21" s="637" t="str">
        <f>'Standard 1.-16. Standjahr'!B9</f>
        <v>24+ mm</v>
      </c>
      <c r="G21" s="637" t="str">
        <f>'Standard 1.-16. Standjahr'!B10</f>
        <v xml:space="preserve"> 22+ mm</v>
      </c>
      <c r="H21" s="637" t="str">
        <f>'Standard 1.-16. Standjahr'!B11</f>
        <v xml:space="preserve"> Abgang</v>
      </c>
    </row>
    <row r="22" spans="1:15" ht="28.5" customHeight="1" x14ac:dyDescent="0.3">
      <c r="A22" s="3"/>
      <c r="B22" s="3"/>
      <c r="C22" s="1"/>
      <c r="D22" s="1"/>
      <c r="E22" s="63">
        <f>'Standard 1.-16. Standjahr'!E8</f>
        <v>7.09</v>
      </c>
      <c r="F22" s="63">
        <f>'Standard 1.-16. Standjahr'!E9</f>
        <v>5.59</v>
      </c>
      <c r="G22" s="63">
        <f>'Standard 1.-16. Standjahr'!E10</f>
        <v>4</v>
      </c>
      <c r="H22" s="63">
        <f>'Standard 1.-16. Standjahr'!E11</f>
        <v>0</v>
      </c>
    </row>
    <row r="23" spans="1:15" ht="17.5" x14ac:dyDescent="0.35">
      <c r="A23" s="406"/>
      <c r="B23" s="3"/>
      <c r="C23" s="1"/>
      <c r="D23" s="411"/>
    </row>
    <row r="24" spans="1:15" ht="39.75" customHeight="1" x14ac:dyDescent="0.35">
      <c r="A24" s="882"/>
      <c r="B24" s="875"/>
      <c r="C24" s="860" t="s">
        <v>381</v>
      </c>
      <c r="D24" s="875"/>
      <c r="E24" s="875"/>
      <c r="F24" s="875"/>
      <c r="G24" s="875"/>
      <c r="H24" s="875"/>
      <c r="I24" s="875"/>
      <c r="J24" s="877"/>
    </row>
    <row r="25" spans="1:15" ht="20.25" customHeight="1" x14ac:dyDescent="0.3">
      <c r="A25" s="885"/>
      <c r="B25" s="878"/>
      <c r="C25" s="887" t="s">
        <v>85</v>
      </c>
      <c r="D25" s="883" t="s">
        <v>358</v>
      </c>
      <c r="E25" s="883" t="s">
        <v>96</v>
      </c>
      <c r="F25" s="883" t="s">
        <v>360</v>
      </c>
      <c r="G25" s="883" t="s">
        <v>359</v>
      </c>
      <c r="H25" s="883" t="s">
        <v>64</v>
      </c>
      <c r="I25" s="883" t="s">
        <v>86</v>
      </c>
      <c r="J25" s="884" t="s">
        <v>78</v>
      </c>
    </row>
    <row r="26" spans="1:15" ht="14" x14ac:dyDescent="0.3">
      <c r="A26" s="846" t="s">
        <v>87</v>
      </c>
      <c r="B26" s="834">
        <v>0</v>
      </c>
      <c r="C26" s="856">
        <f>'Standard 1.-16. Standjahr'!F72</f>
        <v>-83750.049866666683</v>
      </c>
      <c r="D26" s="835">
        <v>0</v>
      </c>
      <c r="E26" s="835">
        <f>C26*(-1)</f>
        <v>83750.049866666683</v>
      </c>
      <c r="F26" s="835">
        <f>D26-E26</f>
        <v>-83750.049866666683</v>
      </c>
      <c r="G26" s="836">
        <f>D26/E26</f>
        <v>0</v>
      </c>
      <c r="H26" s="835"/>
      <c r="I26" s="835"/>
      <c r="J26" s="837">
        <f>('Standard 1.-16. Standjahr'!F72)*(-1)</f>
        <v>83750.049866666683</v>
      </c>
      <c r="K26" s="8"/>
      <c r="L26" s="8"/>
      <c r="M26" s="8"/>
      <c r="N26" s="8"/>
      <c r="O26" s="49"/>
    </row>
    <row r="27" spans="1:15" ht="14" x14ac:dyDescent="0.3">
      <c r="A27" s="846" t="s">
        <v>88</v>
      </c>
      <c r="B27" s="834">
        <v>1</v>
      </c>
      <c r="C27" s="856">
        <f>'Standard 1.-16. Standjahr'!F73</f>
        <v>-93834.025315466686</v>
      </c>
      <c r="D27" s="835">
        <f>'Standard 1.-16. Standjahr'!F14</f>
        <v>1100</v>
      </c>
      <c r="E27" s="835">
        <f>'Standard 1.-16. Standjahr'!F69</f>
        <v>11183.9754488</v>
      </c>
      <c r="F27" s="835">
        <f t="shared" ref="F27:F42" si="0">D27-E27</f>
        <v>-10083.9754488</v>
      </c>
      <c r="G27" s="836">
        <f t="shared" ref="G27:G42" si="1">D27/E27</f>
        <v>9.8355008470447425E-2</v>
      </c>
      <c r="H27" s="838">
        <f>'Standard 1.-16. Standjahr'!D12</f>
        <v>0</v>
      </c>
      <c r="I27" s="839">
        <f>H27/C2</f>
        <v>0</v>
      </c>
      <c r="J27" s="840">
        <f>'Standard 1.-16. Standjahr'!F74</f>
        <v>93834.025315466686</v>
      </c>
      <c r="K27" s="1"/>
      <c r="L27" s="1"/>
      <c r="M27" s="45"/>
      <c r="N27" s="45"/>
      <c r="O27" s="33"/>
    </row>
    <row r="28" spans="1:15" ht="14" x14ac:dyDescent="0.3">
      <c r="A28" s="846" t="s">
        <v>49</v>
      </c>
      <c r="B28" s="834">
        <v>2</v>
      </c>
      <c r="C28" s="856">
        <f>'Standard 1.-16. Standjahr'!M73</f>
        <v>-104192.09654330589</v>
      </c>
      <c r="D28" s="835">
        <f>'Standard 1.-16. Standjahr'!M14</f>
        <v>1100</v>
      </c>
      <c r="E28" s="835">
        <f>'Standard 1.-16. Standjahr'!M69</f>
        <v>11458.0712278392</v>
      </c>
      <c r="F28" s="835">
        <f t="shared" si="0"/>
        <v>-10358.0712278392</v>
      </c>
      <c r="G28" s="836">
        <f t="shared" si="1"/>
        <v>9.6002196017718547E-2</v>
      </c>
      <c r="H28" s="838">
        <f>'Standard 1.-16. Standjahr'!K12</f>
        <v>0</v>
      </c>
      <c r="I28" s="839">
        <f>H28/C2</f>
        <v>0</v>
      </c>
      <c r="J28" s="840">
        <f>'Standard 1.-16. Standjahr'!M74</f>
        <v>104192.09654330589</v>
      </c>
      <c r="K28" s="63"/>
      <c r="L28" s="63"/>
      <c r="M28" s="1"/>
      <c r="N28" s="1"/>
    </row>
    <row r="29" spans="1:15" ht="14" x14ac:dyDescent="0.3">
      <c r="A29" s="846" t="s">
        <v>50</v>
      </c>
      <c r="B29" s="849">
        <v>3</v>
      </c>
      <c r="C29" s="856">
        <f>'Standard 1.-16. Standjahr'!T73</f>
        <v>-168806.69325953699</v>
      </c>
      <c r="D29" s="835">
        <f>'Standard 1.-16. Standjahr'!T14</f>
        <v>7144.9742710120063</v>
      </c>
      <c r="E29" s="835">
        <f>'Standard 1.-16. Standjahr'!T69</f>
        <v>71759.570987243089</v>
      </c>
      <c r="F29" s="835">
        <f t="shared" si="0"/>
        <v>-64614.596716231084</v>
      </c>
      <c r="G29" s="836">
        <f t="shared" si="1"/>
        <v>9.9568241179733216E-2</v>
      </c>
      <c r="H29" s="838">
        <f>'Standard 1.-16. Standjahr'!R12</f>
        <v>1029.1595197255574</v>
      </c>
      <c r="I29" s="839">
        <f>H29/C2</f>
        <v>1.0833258102374288</v>
      </c>
      <c r="J29" s="840">
        <f>'Standard 1.-16. Standjahr'!T74</f>
        <v>168806.69325953699</v>
      </c>
      <c r="K29" s="170"/>
      <c r="L29" s="63"/>
      <c r="M29" s="1"/>
      <c r="N29" s="171"/>
    </row>
    <row r="30" spans="1:15" s="87" customFormat="1" ht="14" x14ac:dyDescent="0.3">
      <c r="A30" s="848" t="s">
        <v>51</v>
      </c>
      <c r="B30" s="849">
        <v>4</v>
      </c>
      <c r="C30" s="856">
        <f>'Standard 1.-16. Standjahr'!AA73</f>
        <v>-178160.17572014211</v>
      </c>
      <c r="D30" s="850">
        <f>'Standard 1.-16. Standjahr'!AA14</f>
        <v>25279.897084048025</v>
      </c>
      <c r="E30" s="850">
        <f>'Standard 1.-16. Standjahr'!AA69</f>
        <v>34633.379544653151</v>
      </c>
      <c r="F30" s="850">
        <f t="shared" si="0"/>
        <v>-9353.4824606051261</v>
      </c>
      <c r="G30" s="851">
        <f t="shared" si="1"/>
        <v>0.72992868199461758</v>
      </c>
      <c r="H30" s="852">
        <f>'Standard 1.-16. Standjahr'!Y12</f>
        <v>4116.6380789022296</v>
      </c>
      <c r="I30" s="853">
        <f>H30/C2</f>
        <v>4.3333032409497152</v>
      </c>
      <c r="J30" s="854">
        <f>'Standard 1.-16. Standjahr'!AA74</f>
        <v>178160.17572014211</v>
      </c>
      <c r="K30" s="855"/>
      <c r="L30" s="855"/>
      <c r="M30" s="100"/>
      <c r="N30" s="100"/>
    </row>
    <row r="31" spans="1:15" ht="14" x14ac:dyDescent="0.3">
      <c r="A31" s="846" t="s">
        <v>52</v>
      </c>
      <c r="B31" s="834">
        <v>5</v>
      </c>
      <c r="C31" s="856">
        <f>'Standard 1.-16. Standjahr'!AH73</f>
        <v>-177855.37436337298</v>
      </c>
      <c r="D31" s="835">
        <f>'Standard 1.-16. Standjahr'!AH14</f>
        <v>55383.868953687808</v>
      </c>
      <c r="E31" s="835">
        <f>'Standard 1.-16. Standjahr'!AH69</f>
        <v>55079.06759691867</v>
      </c>
      <c r="F31" s="835">
        <f t="shared" si="0"/>
        <v>304.80135676913778</v>
      </c>
      <c r="G31" s="836">
        <f t="shared" si="1"/>
        <v>1.0055338873744151</v>
      </c>
      <c r="H31" s="838">
        <f>'Standard 1.-16. Standjahr'!AF12</f>
        <v>9241.8524871355039</v>
      </c>
      <c r="I31" s="839">
        <f>H31/C2</f>
        <v>9.7282657759321101</v>
      </c>
      <c r="J31" s="840">
        <f>'Standard 1.-16. Standjahr'!AH74</f>
        <v>163313.49441013028</v>
      </c>
      <c r="K31" s="7"/>
      <c r="L31" s="1"/>
      <c r="M31" s="1"/>
      <c r="N31" s="1"/>
    </row>
    <row r="32" spans="1:15" ht="14" x14ac:dyDescent="0.3">
      <c r="A32" s="846" t="s">
        <v>53</v>
      </c>
      <c r="B32" s="834">
        <v>6</v>
      </c>
      <c r="C32" s="856">
        <f>'Standard 1.-16. Standjahr'!AO73</f>
        <v>-170033.2356743243</v>
      </c>
      <c r="D32" s="835">
        <f>'Standard 1.-16. Standjahr'!AO14</f>
        <v>71221.701543739269</v>
      </c>
      <c r="E32" s="835">
        <f>'Standard 1.-16. Standjahr'!AO69</f>
        <v>63399.562854690594</v>
      </c>
      <c r="F32" s="835">
        <f t="shared" si="0"/>
        <v>7822.1386890486756</v>
      </c>
      <c r="G32" s="836">
        <f t="shared" si="1"/>
        <v>1.1233784325449803</v>
      </c>
      <c r="H32" s="838">
        <f>'Standard 1.-16. Standjahr'!AM12</f>
        <v>11938.250428816466</v>
      </c>
      <c r="I32" s="839">
        <f>H32/C2</f>
        <v>12.566579398754174</v>
      </c>
      <c r="J32" s="840">
        <f>'Standard 1.-16. Standjahr'!AO74</f>
        <v>148466.81310011845</v>
      </c>
      <c r="K32" s="1"/>
      <c r="L32" s="7"/>
      <c r="M32" s="1"/>
      <c r="N32" s="172"/>
    </row>
    <row r="33" spans="1:15" ht="14" x14ac:dyDescent="0.3">
      <c r="A33" s="846" t="s">
        <v>54</v>
      </c>
      <c r="B33" s="834">
        <v>7</v>
      </c>
      <c r="C33" s="856">
        <f>'Standard 1.-16. Standjahr'!AV73</f>
        <v>-155716.10006983578</v>
      </c>
      <c r="D33" s="835">
        <f>'Standard 1.-16. Standjahr'!AV14</f>
        <v>85729.639794168077</v>
      </c>
      <c r="E33" s="835">
        <f>'Standard 1.-16. Standjahr'!AV69</f>
        <v>71412.504189679545</v>
      </c>
      <c r="F33" s="835">
        <f t="shared" si="0"/>
        <v>14317.135604488532</v>
      </c>
      <c r="G33" s="836">
        <f t="shared" si="1"/>
        <v>1.2004849958273502</v>
      </c>
      <c r="H33" s="838">
        <f>'Standard 1.-16. Standjahr'!AT12</f>
        <v>14408.233276157802</v>
      </c>
      <c r="I33" s="839">
        <f>H33/C2</f>
        <v>15.166561343324002</v>
      </c>
      <c r="J33" s="840">
        <f>'Standard 1.-16. Standjahr'!AV74</f>
        <v>133620.13179010662</v>
      </c>
      <c r="K33" s="7"/>
      <c r="L33" s="7"/>
      <c r="M33" s="1"/>
      <c r="N33" s="1"/>
      <c r="O33" s="1"/>
    </row>
    <row r="34" spans="1:15" ht="14" x14ac:dyDescent="0.3">
      <c r="A34" s="846" t="s">
        <v>55</v>
      </c>
      <c r="B34" s="834">
        <v>8</v>
      </c>
      <c r="C34" s="856">
        <f>'Standard 1.-16. Standjahr'!BC73</f>
        <v>-140811.11024490686</v>
      </c>
      <c r="D34" s="835">
        <f>'Standard 1.-16. Standjahr'!BC14</f>
        <v>85729.639794168077</v>
      </c>
      <c r="E34" s="835">
        <f>'Standard 1.-16. Standjahr'!BC69</f>
        <v>70824.649969239152</v>
      </c>
      <c r="F34" s="835">
        <f t="shared" si="0"/>
        <v>14904.989824928925</v>
      </c>
      <c r="G34" s="836">
        <f t="shared" si="1"/>
        <v>1.2104491844492351</v>
      </c>
      <c r="H34" s="838">
        <f>'Standard 1.-16. Standjahr'!BA12</f>
        <v>14408.233276157802</v>
      </c>
      <c r="I34" s="839">
        <f>H34/C2</f>
        <v>15.166561343324002</v>
      </c>
      <c r="J34" s="840">
        <f>'Standard 1.-16. Standjahr'!BC74</f>
        <v>118773.45048009478</v>
      </c>
      <c r="K34" s="9"/>
      <c r="L34" s="7"/>
      <c r="M34" s="1"/>
      <c r="N34" s="1"/>
      <c r="O34" s="1"/>
    </row>
    <row r="35" spans="1:15" ht="14" x14ac:dyDescent="0.3">
      <c r="A35" s="846" t="s">
        <v>56</v>
      </c>
      <c r="B35" s="834">
        <v>9</v>
      </c>
      <c r="C35" s="856">
        <f>'Standard 1.-16. Standjahr'!BJ73</f>
        <v>-125771.97551155357</v>
      </c>
      <c r="D35" s="835">
        <f>'Standard 1.-16. Standjahr'!BJ14</f>
        <v>85729.639794168077</v>
      </c>
      <c r="E35" s="835">
        <f>'Standard 1.-16. Standjahr'!BJ69</f>
        <v>70690.505060814787</v>
      </c>
      <c r="F35" s="835">
        <f t="shared" si="0"/>
        <v>15039.13473335329</v>
      </c>
      <c r="G35" s="836">
        <f t="shared" si="1"/>
        <v>1.2127461774451205</v>
      </c>
      <c r="H35" s="838">
        <f>'Standard 1.-16. Standjahr'!BH12</f>
        <v>14408.233276157802</v>
      </c>
      <c r="I35" s="839">
        <f>H35/C2</f>
        <v>15.166561343324002</v>
      </c>
      <c r="J35" s="840">
        <f>'Standard 1.-16. Standjahr'!BJ74</f>
        <v>103926.76917008293</v>
      </c>
      <c r="K35" s="9"/>
      <c r="L35" s="7"/>
      <c r="M35" s="1"/>
      <c r="N35" s="1"/>
      <c r="O35" s="1"/>
    </row>
    <row r="36" spans="1:15" ht="14" x14ac:dyDescent="0.3">
      <c r="A36" s="846" t="s">
        <v>57</v>
      </c>
      <c r="B36" s="834">
        <v>10</v>
      </c>
      <c r="C36" s="856">
        <f>'Standard 1.-16. Standjahr'!BQ73</f>
        <v>-158683.5885656001</v>
      </c>
      <c r="D36" s="835">
        <f>'Standard 1.-16. Standjahr'!BQ14</f>
        <v>85729.639794168077</v>
      </c>
      <c r="E36" s="835">
        <f>'Standard 1.-16. Standjahr'!BQ69</f>
        <v>118641.2528482146</v>
      </c>
      <c r="F36" s="835">
        <f t="shared" si="0"/>
        <v>-32911.613054046524</v>
      </c>
      <c r="G36" s="836">
        <f t="shared" si="1"/>
        <v>0.7225955368479422</v>
      </c>
      <c r="H36" s="838">
        <f>'Standard 1.-16. Standjahr'!BO12</f>
        <v>14408.233276157802</v>
      </c>
      <c r="I36" s="839">
        <f>H36/C2</f>
        <v>15.166561343324002</v>
      </c>
      <c r="J36" s="840">
        <f>'Standard 1.-16. Standjahr'!BQ74</f>
        <v>89080.087860071086</v>
      </c>
      <c r="K36" s="9"/>
      <c r="L36" s="7"/>
      <c r="M36" s="1"/>
      <c r="N36" s="1"/>
      <c r="O36" s="1"/>
    </row>
    <row r="37" spans="1:15" ht="14" x14ac:dyDescent="0.3">
      <c r="A37" s="846" t="s">
        <v>58</v>
      </c>
      <c r="B37" s="834">
        <v>11</v>
      </c>
      <c r="C37" s="856">
        <f>'Standard 1.-16. Standjahr'!BX73</f>
        <v>-146673.47183181572</v>
      </c>
      <c r="D37" s="835">
        <f>'Standard 1.-16. Standjahr'!BX14</f>
        <v>79684.665523156073</v>
      </c>
      <c r="E37" s="835">
        <f>'Standard 1.-16. Standjahr'!BX69</f>
        <v>67674.548789371707</v>
      </c>
      <c r="F37" s="835">
        <f t="shared" si="0"/>
        <v>12010.116733784365</v>
      </c>
      <c r="G37" s="836">
        <f t="shared" si="1"/>
        <v>1.1774687374889532</v>
      </c>
      <c r="H37" s="838">
        <f>'Standard 1.-16. Standjahr'!BV12</f>
        <v>13379.073756432244</v>
      </c>
      <c r="I37" s="839">
        <f>H37/C2</f>
        <v>14.083235533086572</v>
      </c>
      <c r="J37" s="840">
        <f>'Standard 1.-16. Standjahr'!BX74</f>
        <v>74233.406550059241</v>
      </c>
      <c r="K37" s="9"/>
      <c r="L37" s="9"/>
    </row>
    <row r="38" spans="1:15" ht="14" x14ac:dyDescent="0.3">
      <c r="A38" s="846" t="s">
        <v>59</v>
      </c>
      <c r="B38" s="834">
        <v>12</v>
      </c>
      <c r="C38" s="856">
        <f>'Standard 1.-16. Standjahr'!CE73</f>
        <v>-134555.26404742728</v>
      </c>
      <c r="D38" s="835">
        <f>'Standard 1.-16. Standjahr'!CE14</f>
        <v>79684.665523156073</v>
      </c>
      <c r="E38" s="835">
        <f>'Standard 1.-16. Standjahr'!CE69</f>
        <v>67566.45773876764</v>
      </c>
      <c r="F38" s="835">
        <f t="shared" si="0"/>
        <v>12118.207784388433</v>
      </c>
      <c r="G38" s="836">
        <f t="shared" si="1"/>
        <v>1.1793524211560873</v>
      </c>
      <c r="H38" s="838">
        <f>'Standard 1.-16. Standjahr'!CC12</f>
        <v>13379.073756432244</v>
      </c>
      <c r="I38" s="839">
        <f>H38/C2</f>
        <v>14.083235533086572</v>
      </c>
      <c r="J38" s="840">
        <f>'Standard 1.-16. Standjahr'!CE74</f>
        <v>59386.725240047395</v>
      </c>
      <c r="K38" s="9"/>
      <c r="L38" s="9"/>
    </row>
    <row r="39" spans="1:15" ht="14" x14ac:dyDescent="0.3">
      <c r="A39" s="846" t="s">
        <v>60</v>
      </c>
      <c r="B39" s="849">
        <v>13</v>
      </c>
      <c r="C39" s="856">
        <f>'Standard 1.-16. Standjahr'!CL73</f>
        <v>-122727.99239297934</v>
      </c>
      <c r="D39" s="835">
        <f>'Standard 1.-16. Standjahr'!CL14</f>
        <v>79684.665523156073</v>
      </c>
      <c r="E39" s="835">
        <f>'Standard 1.-16. Standjahr'!CL69</f>
        <v>67857.393868708139</v>
      </c>
      <c r="F39" s="835">
        <f t="shared" si="0"/>
        <v>11827.271654447934</v>
      </c>
      <c r="G39" s="836">
        <f t="shared" si="1"/>
        <v>1.1742959901662533</v>
      </c>
      <c r="H39" s="838">
        <f>'Standard 1.-16. Standjahr'!CJ12</f>
        <v>13379.073756432244</v>
      </c>
      <c r="I39" s="839">
        <f>H39/C2</f>
        <v>14.083235533086572</v>
      </c>
      <c r="J39" s="840">
        <f>'Standard 1.-16. Standjahr'!CL74</f>
        <v>44540.04393003555</v>
      </c>
      <c r="K39" s="9"/>
      <c r="L39" s="9"/>
    </row>
    <row r="40" spans="1:15" ht="14" x14ac:dyDescent="0.3">
      <c r="A40" s="846" t="s">
        <v>61</v>
      </c>
      <c r="B40" s="834">
        <v>14</v>
      </c>
      <c r="C40" s="856">
        <f>'Standard 1.-16. Standjahr'!CS73</f>
        <v>-110394.27529364139</v>
      </c>
      <c r="D40" s="835">
        <f>'Standard 1.-16. Standjahr'!CS14</f>
        <v>79684.665523156073</v>
      </c>
      <c r="E40" s="835">
        <f>'Standard 1.-16. Standjahr'!CS69</f>
        <v>67350.948423818118</v>
      </c>
      <c r="F40" s="835">
        <f t="shared" si="0"/>
        <v>12333.717099337955</v>
      </c>
      <c r="G40" s="836">
        <f t="shared" si="1"/>
        <v>1.1831261086588682</v>
      </c>
      <c r="H40" s="838">
        <f>'Standard 1.-16. Standjahr'!CQ12</f>
        <v>13379.073756432244</v>
      </c>
      <c r="I40" s="839">
        <f>H40/C2</f>
        <v>14.083235533086572</v>
      </c>
      <c r="J40" s="840">
        <f>'Standard 1.-16. Standjahr'!CS74</f>
        <v>29693.362620023705</v>
      </c>
      <c r="K40" s="9"/>
      <c r="L40" s="9"/>
    </row>
    <row r="41" spans="1:15" ht="14" x14ac:dyDescent="0.3">
      <c r="A41" s="846" t="s">
        <v>62</v>
      </c>
      <c r="B41" s="834">
        <v>15</v>
      </c>
      <c r="C41" s="856">
        <f>'Standard 1.-16. Standjahr'!CZ73</f>
        <v>-100817.72043509205</v>
      </c>
      <c r="D41" s="835">
        <f>'Standard 1.-16. Standjahr'!CZ14</f>
        <v>73639.691252144083</v>
      </c>
      <c r="E41" s="835">
        <f>'Standard 1.-16. Standjahr'!CZ69</f>
        <v>64063.136393594745</v>
      </c>
      <c r="F41" s="835">
        <f t="shared" si="0"/>
        <v>9576.554858549338</v>
      </c>
      <c r="G41" s="836">
        <f t="shared" si="1"/>
        <v>1.1494862006086051</v>
      </c>
      <c r="H41" s="838">
        <f>'Standard 1.-16. Standjahr'!CX12</f>
        <v>12349.914236706689</v>
      </c>
      <c r="I41" s="839">
        <f>H41/C2</f>
        <v>12.999909722849146</v>
      </c>
      <c r="J41" s="840">
        <f>'Standard 1.-16. Standjahr'!CZ74</f>
        <v>14846.681310011862</v>
      </c>
      <c r="K41" s="9"/>
      <c r="L41" s="9"/>
    </row>
    <row r="42" spans="1:15" ht="14" x14ac:dyDescent="0.3">
      <c r="A42" s="847" t="s">
        <v>198</v>
      </c>
      <c r="B42" s="841">
        <v>16</v>
      </c>
      <c r="C42" s="857">
        <f>'Standard 1.-16. Standjahr'!DG73</f>
        <v>-100023.14227749844</v>
      </c>
      <c r="D42" s="842">
        <f>'Standard 1.-16. Standjahr'!DG14</f>
        <v>67594.716981132078</v>
      </c>
      <c r="E42" s="842">
        <f>'Standard 1.-16. Standjahr'!DG69</f>
        <v>66800.138823538466</v>
      </c>
      <c r="F42" s="842">
        <f t="shared" si="0"/>
        <v>794.57815759361256</v>
      </c>
      <c r="G42" s="843">
        <f t="shared" si="1"/>
        <v>1.0118948578788525</v>
      </c>
      <c r="H42" s="842">
        <f>'Standard 1.-16. Standjahr'!DE12</f>
        <v>11320.754716981131</v>
      </c>
      <c r="I42" s="844">
        <f>H42/C2</f>
        <v>11.916583912611717</v>
      </c>
      <c r="J42" s="845">
        <f>'Standard 1.-16. Standjahr'!DG74</f>
        <v>1.8189894035458565E-11</v>
      </c>
    </row>
    <row r="44" spans="1:15" ht="15.5" x14ac:dyDescent="0.35">
      <c r="A44" s="27" t="s">
        <v>90</v>
      </c>
      <c r="B44" s="27"/>
      <c r="C44" s="418"/>
      <c r="D44" s="419"/>
      <c r="E44" s="419"/>
      <c r="F44" s="419"/>
      <c r="G44" s="419"/>
    </row>
    <row r="46" spans="1:15" ht="33.65" customHeight="1" x14ac:dyDescent="0.4">
      <c r="A46" s="830" t="s">
        <v>214</v>
      </c>
      <c r="B46" s="831"/>
      <c r="C46" s="832"/>
      <c r="D46" s="833">
        <f>C42</f>
        <v>-100023.14227749844</v>
      </c>
    </row>
    <row r="47" spans="1:15" ht="15.5" x14ac:dyDescent="0.35">
      <c r="A47" s="49"/>
      <c r="B47" s="46"/>
      <c r="D47" s="97"/>
    </row>
    <row r="48" spans="1:15" ht="22.75" customHeight="1" x14ac:dyDescent="0.35">
      <c r="A48" s="687" t="s">
        <v>91</v>
      </c>
      <c r="B48" s="467"/>
      <c r="C48" s="523"/>
      <c r="D48" s="688">
        <f>'Standard Ertragsphase'!F72</f>
        <v>17.532985139785989</v>
      </c>
    </row>
    <row r="49" spans="1:5" x14ac:dyDescent="0.25">
      <c r="A49" t="s">
        <v>92</v>
      </c>
      <c r="B49" s="12"/>
      <c r="D49" s="20">
        <f>'Standard Ertragsphase'!D61</f>
        <v>1357.3333333333333</v>
      </c>
    </row>
    <row r="50" spans="1:5" ht="18.75" customHeight="1" x14ac:dyDescent="0.25">
      <c r="A50" t="s">
        <v>93</v>
      </c>
      <c r="D50" s="34">
        <f>2700/D49</f>
        <v>1.9891944990176817</v>
      </c>
      <c r="E50" t="s">
        <v>94</v>
      </c>
    </row>
    <row r="51" spans="1:5" ht="22.75" customHeight="1" x14ac:dyDescent="0.25">
      <c r="A51" t="s">
        <v>95</v>
      </c>
    </row>
    <row r="53" spans="1:5" ht="16.5" x14ac:dyDescent="0.35">
      <c r="A53" s="687" t="s">
        <v>96</v>
      </c>
      <c r="B53" s="617" t="str">
        <f>'Standard Vorgaben'!B20</f>
        <v>28+ mm</v>
      </c>
      <c r="C53" s="523"/>
      <c r="D53" s="689">
        <f>'Standard Ertragsphase'!F81</f>
        <v>8.0739425600406136</v>
      </c>
    </row>
    <row r="54" spans="1:5" ht="15.5" x14ac:dyDescent="0.35">
      <c r="A54" s="467" t="s">
        <v>97</v>
      </c>
      <c r="B54" s="617" t="str">
        <f>'Standard Vorgaben'!C20</f>
        <v>24+ mm</v>
      </c>
      <c r="C54" s="523"/>
      <c r="D54" s="689">
        <f>'Standard Ertragsphase'!F82</f>
        <v>6.3657741763930931</v>
      </c>
    </row>
    <row r="55" spans="1:5" ht="15.5" x14ac:dyDescent="0.35">
      <c r="A55" s="467"/>
      <c r="B55" s="617" t="str">
        <f>'Standard Vorgaben'!D20</f>
        <v xml:space="preserve"> 22+ mm</v>
      </c>
      <c r="C55" s="523"/>
      <c r="D55" s="689" t="e">
        <f>'Standard Ertragsphase'!F83</f>
        <v>#DIV/0!</v>
      </c>
    </row>
    <row r="56" spans="1:5" ht="15.5" x14ac:dyDescent="0.35">
      <c r="A56" s="523"/>
      <c r="B56" s="617" t="str">
        <f>'Standard Vorgaben'!E20</f>
        <v xml:space="preserve"> Abgang</v>
      </c>
      <c r="C56" s="467"/>
      <c r="D56" s="689">
        <f>'Standard Ertragsphase'!F84</f>
        <v>0</v>
      </c>
      <c r="E56" s="106"/>
    </row>
  </sheetData>
  <phoneticPr fontId="25" type="noConversion"/>
  <printOptions gridLines="1" gridLinesSet="0"/>
  <pageMargins left="0.19685039370078741" right="0.19685039370078741" top="0.39370078740157483" bottom="0.39370078740157483" header="0.51181102362204722" footer="0.51181102362204722"/>
  <pageSetup paperSize="9" scale="75" orientation="landscape" r:id="rId1"/>
  <headerFooter alignWithMargins="0">
    <oddFooter>&amp;L&amp;6&amp;F&amp;C&amp;6&amp;A &amp;R&amp;6Kontakt: matthias.zuercher@faw.admin.ch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E"/>
  </sheetPr>
  <dimension ref="A1:C4"/>
  <sheetViews>
    <sheetView workbookViewId="0">
      <selection activeCell="P49" sqref="P49"/>
    </sheetView>
  </sheetViews>
  <sheetFormatPr baseColWidth="10" defaultColWidth="11.36328125" defaultRowHeight="12.5" x14ac:dyDescent="0.25"/>
  <cols>
    <col min="1" max="1" width="33.26953125" customWidth="1"/>
  </cols>
  <sheetData>
    <row r="1" spans="1:3" x14ac:dyDescent="0.25">
      <c r="B1" t="s">
        <v>519</v>
      </c>
      <c r="C1" t="s">
        <v>518</v>
      </c>
    </row>
    <row r="2" spans="1:3" x14ac:dyDescent="0.25">
      <c r="A2" t="s">
        <v>104</v>
      </c>
      <c r="B2">
        <v>67197.100000000006</v>
      </c>
      <c r="C2">
        <v>94397.5</v>
      </c>
    </row>
    <row r="3" spans="1:3" x14ac:dyDescent="0.25">
      <c r="A3" s="42" t="s">
        <v>81</v>
      </c>
      <c r="B3" s="42">
        <v>28324.473949301435</v>
      </c>
      <c r="C3" s="42">
        <v>26423.281570503492</v>
      </c>
    </row>
    <row r="4" spans="1:3" ht="13" x14ac:dyDescent="0.3">
      <c r="B4" s="923">
        <f>B2-B3</f>
        <v>38872.626050698571</v>
      </c>
      <c r="C4" s="923">
        <f>C2-C3</f>
        <v>67974.218429496512</v>
      </c>
    </row>
  </sheetData>
  <phoneticPr fontId="25" type="noConversion"/>
  <pageMargins left="0.78740157499999996" right="0.78740157499999996" top="0.984251969" bottom="0.984251969" header="0.4921259845" footer="0.492125984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4"/>
  <sheetViews>
    <sheetView workbookViewId="0">
      <selection activeCell="K27" sqref="K27"/>
    </sheetView>
  </sheetViews>
  <sheetFormatPr baseColWidth="10" defaultColWidth="8.7265625" defaultRowHeight="12.5" x14ac:dyDescent="0.25"/>
  <cols>
    <col min="1" max="1" width="8.7265625" customWidth="1"/>
    <col min="2" max="2" width="23.1796875" customWidth="1"/>
    <col min="3" max="3" width="23.54296875" customWidth="1"/>
    <col min="4" max="4" width="22.1796875" customWidth="1"/>
    <col min="5" max="5" width="14" customWidth="1"/>
    <col min="6" max="6" width="12.36328125" bestFit="1" customWidth="1"/>
    <col min="9" max="9" width="16.36328125" bestFit="1" customWidth="1"/>
  </cols>
  <sheetData>
    <row r="1" spans="1:10" x14ac:dyDescent="0.25">
      <c r="A1" s="1305" t="s">
        <v>627</v>
      </c>
      <c r="B1" s="935"/>
      <c r="C1" s="935"/>
      <c r="D1" s="935"/>
      <c r="E1" s="935"/>
    </row>
    <row r="2" spans="1:10" x14ac:dyDescent="0.25">
      <c r="J2" s="1"/>
    </row>
    <row r="3" spans="1:10" x14ac:dyDescent="0.25">
      <c r="A3" s="1306" t="s">
        <v>626</v>
      </c>
      <c r="B3" s="1307"/>
      <c r="C3" s="1307"/>
      <c r="D3" s="1307"/>
      <c r="E3" s="1307"/>
      <c r="F3" s="1307"/>
    </row>
    <row r="4" spans="1:10" x14ac:dyDescent="0.25">
      <c r="B4">
        <v>1</v>
      </c>
      <c r="C4">
        <v>2</v>
      </c>
      <c r="D4">
        <v>3</v>
      </c>
      <c r="E4">
        <v>4</v>
      </c>
      <c r="F4">
        <v>5</v>
      </c>
      <c r="G4">
        <v>6</v>
      </c>
    </row>
    <row r="5" spans="1:10" ht="13" x14ac:dyDescent="0.3">
      <c r="B5" s="1303" t="s">
        <v>623</v>
      </c>
      <c r="C5" s="1303" t="s">
        <v>134</v>
      </c>
      <c r="D5" s="1303" t="s">
        <v>581</v>
      </c>
      <c r="E5" s="1303" t="s">
        <v>579</v>
      </c>
      <c r="F5" s="1303" t="s">
        <v>571</v>
      </c>
      <c r="G5" s="1303" t="s">
        <v>624</v>
      </c>
    </row>
    <row r="6" spans="1:10" x14ac:dyDescent="0.25">
      <c r="B6" s="1304" t="str">
        <f t="array" ref="B6">IFERROR(INDEX(Daten_Psm!$C$2:$C$1002,MATCH(0,COUNTIF(B$5:$B5,Daten_Psm!$C$2:$C$1002)+(Daten_Psm!$B$2:$B$1002&lt;&gt;$B$5),0)),"")</f>
        <v>Dirigol-N</v>
      </c>
      <c r="C6" s="1304" t="str">
        <f t="array" ref="C6">IFERROR(INDEX(Daten_Psm!$C$2:$C$1002,MATCH(0,COUNTIF(C$5:$C5,Daten_Psm!$C$2:$C$1002)+(Daten_Psm!$B$2:$B$1002&lt;&gt;$C$5),0)),"")</f>
        <v>Ammonsalpeter</v>
      </c>
      <c r="D6" s="1304" t="str">
        <f t="array" ref="D6">IFERROR(INDEX(Daten_Psm!$C$2:$C$1002,MATCH(0,COUNTIF(D$5:$D5,Daten_Psm!$C$2:$C$1002)+(Daten_Psm!$B$2:$B$1002&lt;&gt;$D$5),0)),"")</f>
        <v>Amistar</v>
      </c>
      <c r="E6" s="1304" t="str">
        <f t="array" ref="E6">IFERROR(INDEX(Daten_Psm!$C$2:$C$1002,MATCH(0,COUNTIF(E$5:$E5,Daten_Psm!$C$2:$C$1002)+(Daten_Psm!$B$2:$B$1002&lt;&gt;$E$5),0)),"")</f>
        <v>Basta 150</v>
      </c>
      <c r="F6" s="1304" t="str">
        <f t="array" ref="F6">IFERROR(INDEX(Daten_Psm!$C$2:$C$1002,MATCH(0,COUNTIF(F$5:$F5,Daten_Psm!$C$2:$C$1002)+(Daten_Psm!$B$2:$B$1002&lt;&gt;$F$5),0)),"")</f>
        <v xml:space="preserve">Gazelle SG </v>
      </c>
      <c r="G6" s="1304" t="str">
        <f t="array" ref="G6">IFERROR(INDEX(Daten_Psm!$C$2:$C$1002,MATCH(0,COUNTIF(G$5:$G5,Daten_Psm!$C$2:$C$1002)+(Daten_Psm!$B$2:$B$1002&lt;&gt;$G$5),0)),"")</f>
        <v>Goemar Start</v>
      </c>
      <c r="H6">
        <v>1</v>
      </c>
    </row>
    <row r="7" spans="1:10" x14ac:dyDescent="0.25">
      <c r="B7" s="1304" t="str">
        <f t="array" ref="B7">IFERROR(INDEX(Daten_Psm!$C$2:$C$1002,MATCH(0,COUNTIF(B$5:$B6,Daten_Psm!$C$2:$C$1002)+(Daten_Psm!$B$2:$B$1002&lt;&gt;$B$5),0)),"")</f>
        <v/>
      </c>
      <c r="C7" s="1304" t="str">
        <f t="array" ref="C7">IFERROR(INDEX(Daten_Psm!$C$2:$C$1002,MATCH(0,COUNTIF(C$5:$C6,Daten_Psm!$C$2:$C$1002)+(Daten_Psm!$B$2:$B$1002&lt;&gt;$C$5),0)),"")</f>
        <v>Arbellin AGROline</v>
      </c>
      <c r="D7" s="1304" t="str">
        <f t="array" ref="D7">IFERROR(INDEX(Daten_Psm!$C$2:$C$1002,MATCH(0,COUNTIF(D$5:$D6,Daten_Psm!$C$2:$C$1002)+(Daten_Psm!$B$2:$B$1002&lt;&gt;$D$5),0)),"")</f>
        <v>Delan WG</v>
      </c>
      <c r="E7" s="1304" t="str">
        <f t="array" ref="E7">IFERROR(INDEX(Daten_Psm!$C$2:$C$1002,MATCH(0,COUNTIF(E$5:$E6,Daten_Psm!$C$2:$C$1002)+(Daten_Psm!$B$2:$B$1002&lt;&gt;$E$5),0)),"")</f>
        <v>Roundup PowerMax</v>
      </c>
      <c r="F7" s="1304" t="str">
        <f t="array" ref="F7">IFERROR(INDEX(Daten_Psm!$C$2:$C$1002,MATCH(0,COUNTIF(F$5:$F6,Daten_Psm!$C$2:$C$1002)+(Daten_Psm!$B$2:$B$1002&lt;&gt;$F$5),0)),"")</f>
        <v>Steward</v>
      </c>
      <c r="G7" s="1304" t="str">
        <f t="array" ref="G7">IFERROR(INDEX(Daten_Psm!$C$2:$C$1002,MATCH(0,COUNTIF(G$5:$G6,Daten_Psm!$C$2:$C$1002)+(Daten_Psm!$B$2:$B$1002&lt;&gt;$G$5),0)),"")</f>
        <v/>
      </c>
      <c r="H7">
        <v>2</v>
      </c>
    </row>
    <row r="8" spans="1:10" x14ac:dyDescent="0.25">
      <c r="B8" s="1304" t="str">
        <f t="array" ref="B8">IFERROR(INDEX(Daten_Psm!$C$2:$C$1002,MATCH(0,COUNTIF(B$5:$B7,Daten_Psm!$C$2:$C$1002)+(Daten_Psm!$B$2:$B$1002&lt;&gt;$B$5),0)),"")</f>
        <v/>
      </c>
      <c r="C8" s="1304" t="str">
        <f t="array" ref="C8">IFERROR(INDEX(Daten_Psm!$C$2:$C$1002,MATCH(0,COUNTIF(C$5:$C7,Daten_Psm!$C$2:$C$1002)+(Daten_Psm!$B$2:$B$1002&lt;&gt;$C$5),0)),"")</f>
        <v>Harnstoff</v>
      </c>
      <c r="D8" s="1304" t="str">
        <f t="array" ref="D8">IFERROR(INDEX(Daten_Psm!$C$2:$C$1002,MATCH(0,COUNTIF(D$5:$D7,Daten_Psm!$C$2:$C$1002)+(Daten_Psm!$B$2:$B$1002&lt;&gt;$D$5),0)),"")</f>
        <v>Slick</v>
      </c>
      <c r="E8" s="1304" t="str">
        <f t="array" ref="E8">IFERROR(INDEX(Daten_Psm!$C$2:$C$1002,MATCH(0,COUNTIF(E$5:$E7,Daten_Psm!$C$2:$C$1002)+(Daten_Psm!$B$2:$B$1002&lt;&gt;$E$5),0)),"")</f>
        <v>Duplosan KV-Combi</v>
      </c>
      <c r="F8" s="1304" t="str">
        <f t="array" ref="F8">IFERROR(INDEX(Daten_Psm!$C$2:$C$1002,MATCH(0,COUNTIF(F$5:$F7,Daten_Psm!$C$2:$C$1002)+(Daten_Psm!$B$2:$B$1002&lt;&gt;$F$5),0)),"")</f>
        <v>Movento SC</v>
      </c>
      <c r="G8" s="1304" t="str">
        <f t="array" ref="G8">IFERROR(INDEX(Daten_Psm!$C$2:$C$1002,MATCH(0,COUNTIF(G$5:$G7,Daten_Psm!$C$2:$C$1002)+(Daten_Psm!$B$2:$B$1002&lt;&gt;$G$5),0)),"")</f>
        <v/>
      </c>
      <c r="H8">
        <v>3</v>
      </c>
    </row>
    <row r="9" spans="1:10" x14ac:dyDescent="0.25">
      <c r="B9" s="1304" t="str">
        <f t="array" ref="B9">IFERROR(INDEX(Daten_Psm!$C$2:$C$1002,MATCH(0,COUNTIF(B$5:$B8,Daten_Psm!$C$2:$C$1002)+(Daten_Psm!$B$2:$B$1002&lt;&gt;$B$5),0)),"")</f>
        <v/>
      </c>
      <c r="C9" s="1304" t="str">
        <f t="array" ref="C9">IFERROR(INDEX(Daten_Psm!$C$2:$C$1002,MATCH(0,COUNTIF(C$5:$C8,Daten_Psm!$C$2:$C$1002)+(Daten_Psm!$B$2:$B$1002&lt;&gt;$C$5),0)),"")</f>
        <v>Patentkali</v>
      </c>
      <c r="D9" s="1304" t="str">
        <f t="array" ref="D9">IFERROR(INDEX(Daten_Psm!$C$2:$C$1002,MATCH(0,COUNTIF(D$5:$D8,Daten_Psm!$C$2:$C$1002)+(Daten_Psm!$B$2:$B$1002&lt;&gt;$D$5),0)),"")</f>
        <v>Teldor WG 50</v>
      </c>
      <c r="E9" s="1304" t="str">
        <f t="array" ref="E9">IFERROR(INDEX(Daten_Psm!$C$2:$C$1002,MATCH(0,COUNTIF(E$5:$E8,Daten_Psm!$C$2:$C$1002)+(Daten_Psm!$B$2:$B$1002&lt;&gt;$E$5),0)),"")</f>
        <v>Glyphosate</v>
      </c>
      <c r="F9" s="1304" t="str">
        <f t="array" ref="F9">IFERROR(INDEX(Daten_Psm!$C$2:$C$1002,MATCH(0,COUNTIF(F$5:$F8,Daten_Psm!$C$2:$C$1002)+(Daten_Psm!$B$2:$B$1002&lt;&gt;$F$5),0)),"")</f>
        <v>Audienz</v>
      </c>
      <c r="G9" s="1304" t="str">
        <f t="array" ref="G9">IFERROR(INDEX(Daten_Psm!$C$2:$C$1002,MATCH(0,COUNTIF(G$5:$G8,Daten_Psm!$C$2:$C$1002)+(Daten_Psm!$B$2:$B$1002&lt;&gt;$G$5),0)),"")</f>
        <v/>
      </c>
      <c r="H9">
        <v>4</v>
      </c>
    </row>
    <row r="10" spans="1:10" x14ac:dyDescent="0.25">
      <c r="B10" s="1304" t="str">
        <f t="array" ref="B10">IFERROR(INDEX(Daten_Psm!$C$2:$C$1002,MATCH(0,COUNTIF(B$5:$B9,Daten_Psm!$C$2:$C$1002)+(Daten_Psm!$B$2:$B$1002&lt;&gt;$B$5),0)),"")</f>
        <v/>
      </c>
      <c r="C10" s="1304" t="str">
        <f t="array" ref="C10">IFERROR(INDEX(Daten_Psm!$C$2:$C$1002,MATCH(0,COUNTIF(C$5:$C9,Daten_Psm!$C$2:$C$1002)+(Daten_Psm!$B$2:$B$1002&lt;&gt;$C$5),0)),"")</f>
        <v/>
      </c>
      <c r="D10" s="1304" t="str">
        <f t="array" ref="D10">IFERROR(INDEX(Daten_Psm!$C$2:$C$1002,MATCH(0,COUNTIF(D$5:$D9,Daten_Psm!$C$2:$C$1002)+(Daten_Psm!$B$2:$B$1002&lt;&gt;$D$5),0)),"")</f>
        <v>Moon Privilege</v>
      </c>
      <c r="E10" s="1304" t="str">
        <f t="array" ref="E10">IFERROR(INDEX(Daten_Psm!$C$2:$C$1002,MATCH(0,COUNTIF(E$5:$E9,Daten_Psm!$C$2:$C$1002)+(Daten_Psm!$B$2:$B$1002&lt;&gt;$E$5),0)),"")</f>
        <v/>
      </c>
      <c r="F10" s="1304" t="str">
        <f t="array" ref="F10">IFERROR(INDEX(Daten_Psm!$C$2:$C$1002,MATCH(0,COUNTIF(F$5:$F9,Daten_Psm!$C$2:$C$1002)+(Daten_Psm!$B$2:$B$1002&lt;&gt;$F$5),0)),"")</f>
        <v>Netzschwefel</v>
      </c>
      <c r="G10" s="1304" t="str">
        <f t="array" ref="G10">IFERROR(INDEX(Daten_Psm!$C$2:$C$1002,MATCH(0,COUNTIF(G$5:$G9,Daten_Psm!$C$2:$C$1002)+(Daten_Psm!$B$2:$B$1002&lt;&gt;$G$5),0)),"")</f>
        <v/>
      </c>
      <c r="H10">
        <v>5</v>
      </c>
    </row>
    <row r="11" spans="1:10" x14ac:dyDescent="0.25">
      <c r="B11" s="1304" t="str">
        <f t="array" ref="B11">IFERROR(INDEX(Daten_Psm!$C$2:$C$1002,MATCH(0,COUNTIF(B$5:$B10,Daten_Psm!$C$2:$C$1002)+(Daten_Psm!$B$2:$B$1002&lt;&gt;$B$5),0)),"")</f>
        <v/>
      </c>
      <c r="C11" s="1304" t="str">
        <f t="array" ref="C11">IFERROR(INDEX(Daten_Psm!$C$2:$C$1002,MATCH(0,COUNTIF(C$5:$C10,Daten_Psm!$C$2:$C$1002)+(Daten_Psm!$B$2:$B$1002&lt;&gt;$C$5),0)),"")</f>
        <v/>
      </c>
      <c r="D11" s="1304" t="str">
        <f t="array" ref="D11">IFERROR(INDEX(Daten_Psm!$C$2:$C$1002,MATCH(0,COUNTIF(D$5:$D10,Daten_Psm!$C$2:$C$1002)+(Daten_Psm!$B$2:$B$1002&lt;&gt;$D$5),0)),"")</f>
        <v>Vitigran 35</v>
      </c>
      <c r="E11" s="1304" t="str">
        <f t="array" ref="E11">IFERROR(INDEX(Daten_Psm!$C$2:$C$1002,MATCH(0,COUNTIF(E$5:$E10,Daten_Psm!$C$2:$C$1002)+(Daten_Psm!$B$2:$B$1002&lt;&gt;$E$5),0)),"")</f>
        <v/>
      </c>
      <c r="F11" s="1304" t="str">
        <f t="array" ref="F11">IFERROR(INDEX(Daten_Psm!$C$2:$C$1002,MATCH(0,COUNTIF(F$5:$F10,Daten_Psm!$C$2:$C$1002)+(Daten_Psm!$B$2:$B$1002&lt;&gt;$F$5),0)),"")</f>
        <v>Weissöl S</v>
      </c>
      <c r="G11" s="1304" t="str">
        <f t="array" ref="G11">IFERROR(INDEX(Daten_Psm!$C$2:$C$1002,MATCH(0,COUNTIF(G$5:$G10,Daten_Psm!$C$2:$C$1002)+(Daten_Psm!$B$2:$B$1002&lt;&gt;$G$5),0)),"")</f>
        <v/>
      </c>
      <c r="H11">
        <v>6</v>
      </c>
    </row>
    <row r="12" spans="1:10" x14ac:dyDescent="0.25">
      <c r="B12" s="1304" t="str">
        <f t="array" ref="B12">IFERROR(INDEX(Daten_Psm!$C$2:$C$1002,MATCH(0,COUNTIF(B$5:$B11,Daten_Psm!$C$2:$C$1002)+(Daten_Psm!$B$2:$B$1002&lt;&gt;$B$5),0)),"")</f>
        <v/>
      </c>
      <c r="C12" s="1304" t="str">
        <f t="array" ref="C12">IFERROR(INDEX(Daten_Psm!$C$2:$C$1002,MATCH(0,COUNTIF(C$5:$C11,Daten_Psm!$C$2:$C$1002)+(Daten_Psm!$B$2:$B$1002&lt;&gt;$C$5),0)),"")</f>
        <v/>
      </c>
      <c r="D12" s="1304" t="str">
        <f t="array" ref="D12">IFERROR(INDEX(Daten_Psm!$C$2:$C$1002,MATCH(0,COUNTIF(D$5:$D11,Daten_Psm!$C$2:$C$1002)+(Daten_Psm!$B$2:$B$1002&lt;&gt;$D$5),0)),"")</f>
        <v>Flint</v>
      </c>
      <c r="E12" s="1304" t="str">
        <f t="array" ref="E12">IFERROR(INDEX(Daten_Psm!$C$2:$C$1002,MATCH(0,COUNTIF(E$5:$E11,Daten_Psm!$C$2:$C$1002)+(Daten_Psm!$B$2:$B$1002&lt;&gt;$E$5),0)),"")</f>
        <v/>
      </c>
      <c r="F12" s="1304" t="str">
        <f t="array" ref="F12">IFERROR(INDEX(Daten_Psm!$C$2:$C$1002,MATCH(0,COUNTIF(F$5:$F11,Daten_Psm!$C$2:$C$1002)+(Daten_Psm!$B$2:$B$1002&lt;&gt;$F$5),0)),"")</f>
        <v/>
      </c>
      <c r="G12" s="1304" t="str">
        <f t="array" ref="G12">IFERROR(INDEX(Daten_Psm!$C$2:$C$1002,MATCH(0,COUNTIF(G$5:$G11,Daten_Psm!$C$2:$C$1002)+(Daten_Psm!$B$2:$B$1002&lt;&gt;$G$5),0)),"")</f>
        <v/>
      </c>
      <c r="H12">
        <v>7</v>
      </c>
    </row>
    <row r="13" spans="1:10" x14ac:dyDescent="0.25">
      <c r="B13" s="1304" t="str">
        <f t="array" ref="B13">IFERROR(INDEX(Daten_Psm!$C$2:$C$1002,MATCH(0,COUNTIF(B$5:$B12,Daten_Psm!$C$2:$C$1002)+(Daten_Psm!$B$2:$B$1002&lt;&gt;$B$5),0)),"")</f>
        <v/>
      </c>
      <c r="C13" s="1304" t="str">
        <f t="array" ref="C13">IFERROR(INDEX(Daten_Psm!$C$2:$C$1002,MATCH(0,COUNTIF(C$5:$C12,Daten_Psm!$C$2:$C$1002)+(Daten_Psm!$B$2:$B$1002&lt;&gt;$C$5),0)),"")</f>
        <v/>
      </c>
      <c r="D13" s="1304" t="str">
        <f t="array" ref="D13">IFERROR(INDEX(Daten_Psm!$C$2:$C$1002,MATCH(0,COUNTIF(D$5:$D12,Daten_Psm!$C$2:$C$1002)+(Daten_Psm!$B$2:$B$1002&lt;&gt;$D$5),0)),"")</f>
        <v/>
      </c>
      <c r="E13" s="1304" t="str">
        <f t="array" ref="E13">IFERROR(INDEX(Daten_Psm!$C$2:$C$1002,MATCH(0,COUNTIF(E$5:$E12,Daten_Psm!$C$2:$C$1002)+(Daten_Psm!$B$2:$B$1002&lt;&gt;$E$5),0)),"")</f>
        <v/>
      </c>
      <c r="F13" s="1304" t="str">
        <f t="array" ref="F13">IFERROR(INDEX(Daten_Psm!$C$2:$C$1002,MATCH(0,COUNTIF(F$5:$F12,Daten_Psm!$C$2:$C$1002)+(Daten_Psm!$B$2:$B$1002&lt;&gt;$F$5),0)),"")</f>
        <v/>
      </c>
      <c r="G13" s="1304" t="str">
        <f t="array" ref="G13">IFERROR(INDEX(Daten_Psm!$C$2:$C$1002,MATCH(0,COUNTIF(G$5:$G12,Daten_Psm!$C$2:$C$1002)+(Daten_Psm!$B$2:$B$1002&lt;&gt;$G$5),0)),"")</f>
        <v/>
      </c>
      <c r="H13">
        <v>8</v>
      </c>
    </row>
    <row r="14" spans="1:10" x14ac:dyDescent="0.25">
      <c r="B14" s="1304" t="str">
        <f t="array" ref="B14">IFERROR(INDEX(Daten_Psm!$C$2:$C$1002,MATCH(0,COUNTIF(B$5:$B13,Daten_Psm!$C$2:$C$1002)+(Daten_Psm!$B$2:$B$1002&lt;&gt;$B$5),0)),"")</f>
        <v/>
      </c>
      <c r="C14" s="1304" t="str">
        <f t="array" ref="C14">IFERROR(INDEX(Daten_Psm!$C$2:$C$1002,MATCH(0,COUNTIF(C$5:$C13,Daten_Psm!$C$2:$C$1002)+(Daten_Psm!$B$2:$B$1002&lt;&gt;$C$5),0)),"")</f>
        <v/>
      </c>
      <c r="D14" s="1304" t="str">
        <f t="array" ref="D14">IFERROR(INDEX(Daten_Psm!$C$2:$C$1002,MATCH(0,COUNTIF(D$5:$D13,Daten_Psm!$C$2:$C$1002)+(Daten_Psm!$B$2:$B$1002&lt;&gt;$D$5),0)),"")</f>
        <v/>
      </c>
      <c r="E14" s="1304" t="str">
        <f t="array" ref="E14">IFERROR(INDEX(Daten_Psm!$C$2:$C$1002,MATCH(0,COUNTIF(E$5:$E13,Daten_Psm!$C$2:$C$1002)+(Daten_Psm!$B$2:$B$1002&lt;&gt;$E$5),0)),"")</f>
        <v/>
      </c>
      <c r="F14" s="1304" t="str">
        <f t="array" ref="F14">IFERROR(INDEX(Daten_Psm!$C$2:$C$1002,MATCH(0,COUNTIF(F$5:$F13,Daten_Psm!$C$2:$C$1002)+(Daten_Psm!$B$2:$B$1002&lt;&gt;$F$5),0)),"")</f>
        <v/>
      </c>
      <c r="G14" s="1304" t="str">
        <f t="array" ref="G14">IFERROR(INDEX(Daten_Psm!$C$2:$C$1002,MATCH(0,COUNTIF(G$5:$G13,Daten_Psm!$C$2:$C$1002)+(Daten_Psm!$B$2:$B$1002&lt;&gt;$G$5),0)),"")</f>
        <v/>
      </c>
      <c r="H14">
        <v>9</v>
      </c>
    </row>
    <row r="15" spans="1:10" x14ac:dyDescent="0.25">
      <c r="B15" s="1304" t="str">
        <f t="array" ref="B15">IFERROR(INDEX(Daten_Psm!$C$2:$C$1002,MATCH(0,COUNTIF(B$5:$B14,Daten_Psm!$C$2:$C$1002)+(Daten_Psm!$B$2:$B$1002&lt;&gt;$B$5),0)),"")</f>
        <v/>
      </c>
      <c r="C15" s="1304" t="str">
        <f t="array" ref="C15">IFERROR(INDEX(Daten_Psm!$C$2:$C$1002,MATCH(0,COUNTIF(C$5:$C14,Daten_Psm!$C$2:$C$1002)+(Daten_Psm!$B$2:$B$1002&lt;&gt;$C$5),0)),"")</f>
        <v/>
      </c>
      <c r="D15" s="1304" t="str">
        <f t="array" ref="D15">IFERROR(INDEX(Daten_Psm!$C$2:$C$1002,MATCH(0,COUNTIF(D$5:$D14,Daten_Psm!$C$2:$C$1002)+(Daten_Psm!$B$2:$B$1002&lt;&gt;$D$5),0)),"")</f>
        <v/>
      </c>
      <c r="E15" s="1304" t="str">
        <f t="array" ref="E15">IFERROR(INDEX(Daten_Psm!$C$2:$C$1002,MATCH(0,COUNTIF(E$5:$E14,Daten_Psm!$C$2:$C$1002)+(Daten_Psm!$B$2:$B$1002&lt;&gt;$E$5),0)),"")</f>
        <v/>
      </c>
      <c r="F15" s="1304" t="str">
        <f t="array" ref="F15">IFERROR(INDEX(Daten_Psm!$C$2:$C$1002,MATCH(0,COUNTIF(F$5:$F14,Daten_Psm!$C$2:$C$1002)+(Daten_Psm!$B$2:$B$1002&lt;&gt;$F$5),0)),"")</f>
        <v/>
      </c>
      <c r="G15" s="1304" t="str">
        <f t="array" ref="G15">IFERROR(INDEX(Daten_Psm!$C$2:$C$1002,MATCH(0,COUNTIF(G$5:$G14,Daten_Psm!$C$2:$C$1002)+(Daten_Psm!$B$2:$B$1002&lt;&gt;$G$5),0)),"")</f>
        <v/>
      </c>
      <c r="H15">
        <v>10</v>
      </c>
    </row>
    <row r="16" spans="1:10" x14ac:dyDescent="0.25">
      <c r="B16" s="1304" t="str">
        <f t="array" ref="B16">IFERROR(INDEX(Daten_Psm!$C$2:$C$1002,MATCH(0,COUNTIF(B$5:$B15,Daten_Psm!$C$2:$C$1002)+(Daten_Psm!$B$2:$B$1002&lt;&gt;$B$5),0)),"")</f>
        <v/>
      </c>
      <c r="C16" s="1304" t="str">
        <f t="array" ref="C16">IFERROR(INDEX(Daten_Psm!$C$2:$C$1002,MATCH(0,COUNTIF(C$5:$C15,Daten_Psm!$C$2:$C$1002)+(Daten_Psm!$B$2:$B$1002&lt;&gt;$C$5),0)),"")</f>
        <v/>
      </c>
      <c r="D16" s="1304" t="str">
        <f t="array" ref="D16">IFERROR(INDEX(Daten_Psm!$C$2:$C$1002,MATCH(0,COUNTIF(D$5:$D15,Daten_Psm!$C$2:$C$1002)+(Daten_Psm!$B$2:$B$1002&lt;&gt;$D$5),0)),"")</f>
        <v/>
      </c>
      <c r="E16" s="1304" t="str">
        <f t="array" ref="E16">IFERROR(INDEX(Daten_Psm!$C$2:$C$1002,MATCH(0,COUNTIF(E$5:$E15,Daten_Psm!$C$2:$C$1002)+(Daten_Psm!$B$2:$B$1002&lt;&gt;$E$5),0)),"")</f>
        <v/>
      </c>
      <c r="F16" s="1304" t="str">
        <f t="array" ref="F16">IFERROR(INDEX(Daten_Psm!$C$2:$C$1002,MATCH(0,COUNTIF(F$5:$F15,Daten_Psm!$C$2:$C$1002)+(Daten_Psm!$B$2:$B$1002&lt;&gt;$F$5),0)),"")</f>
        <v/>
      </c>
      <c r="G16" s="1304" t="str">
        <f t="array" ref="G16">IFERROR(INDEX(Daten_Psm!$C$2:$C$1002,MATCH(0,COUNTIF(G$5:$G15,Daten_Psm!$C$2:$C$1002)+(Daten_Psm!$B$2:$B$1002&lt;&gt;$G$5),0)),"")</f>
        <v/>
      </c>
      <c r="H16">
        <v>11</v>
      </c>
    </row>
    <row r="17" spans="1:12" x14ac:dyDescent="0.25">
      <c r="B17" s="1304" t="str">
        <f t="array" ref="B17">IFERROR(INDEX(Daten_Psm!$C$2:$C$1002,MATCH(0,COUNTIF(B$5:$B16,Daten_Psm!$C$2:$C$1002)+(Daten_Psm!$B$2:$B$1002&lt;&gt;$B$5),0)),"")</f>
        <v/>
      </c>
      <c r="C17" s="1304" t="str">
        <f t="array" ref="C17">IFERROR(INDEX(Daten_Psm!$C$2:$C$1002,MATCH(0,COUNTIF(C$5:$C16,Daten_Psm!$C$2:$C$1002)+(Daten_Psm!$B$2:$B$1002&lt;&gt;$C$5),0)),"")</f>
        <v/>
      </c>
      <c r="D17" s="1304" t="str">
        <f t="array" ref="D17">IFERROR(INDEX(Daten_Psm!$C$2:$C$1002,MATCH(0,COUNTIF(D$5:$D16,Daten_Psm!$C$2:$C$1002)+(Daten_Psm!$B$2:$B$1002&lt;&gt;$D$5),0)),"")</f>
        <v/>
      </c>
      <c r="E17" s="1304" t="str">
        <f t="array" ref="E17">IFERROR(INDEX(Daten_Psm!$C$2:$C$1002,MATCH(0,COUNTIF(E$5:$E16,Daten_Psm!$C$2:$C$1002)+(Daten_Psm!$B$2:$B$1002&lt;&gt;$E$5),0)),"")</f>
        <v/>
      </c>
      <c r="F17" s="1304" t="str">
        <f t="array" ref="F17">IFERROR(INDEX(Daten_Psm!$C$2:$C$1002,MATCH(0,COUNTIF(F$5:$F16,Daten_Psm!$C$2:$C$1002)+(Daten_Psm!$B$2:$B$1002&lt;&gt;$F$5),0)),"")</f>
        <v/>
      </c>
      <c r="G17" s="1304" t="str">
        <f t="array" ref="G17">IFERROR(INDEX(Daten_Psm!$C$2:$C$1002,MATCH(0,COUNTIF(G$5:$G16,Daten_Psm!$C$2:$C$1002)+(Daten_Psm!$B$2:$B$1002&lt;&gt;$G$5),0)),"")</f>
        <v/>
      </c>
      <c r="H17">
        <v>12</v>
      </c>
    </row>
    <row r="18" spans="1:12" x14ac:dyDescent="0.25">
      <c r="B18" s="1304" t="str">
        <f t="array" ref="B18">IFERROR(INDEX(Daten_Psm!$C$2:$C$1002,MATCH(0,COUNTIF(B$5:$B17,Daten_Psm!$C$2:$C$1002)+(Daten_Psm!$B$2:$B$1002&lt;&gt;$B$5),0)),"")</f>
        <v/>
      </c>
      <c r="C18" s="1304" t="str">
        <f t="array" ref="C18">IFERROR(INDEX(Daten_Psm!$C$2:$C$1002,MATCH(0,COUNTIF(C$5:$C17,Daten_Psm!$C$2:$C$1002)+(Daten_Psm!$B$2:$B$1002&lt;&gt;$C$5),0)),"")</f>
        <v/>
      </c>
      <c r="D18" s="1304" t="str">
        <f t="array" ref="D18">IFERROR(INDEX(Daten_Psm!$C$2:$C$1002,MATCH(0,COUNTIF(D$5:$D17,Daten_Psm!$C$2:$C$1002)+(Daten_Psm!$B$2:$B$1002&lt;&gt;$D$5),0)),"")</f>
        <v/>
      </c>
      <c r="E18" s="1304" t="str">
        <f t="array" ref="E18">IFERROR(INDEX(Daten_Psm!$C$2:$C$1002,MATCH(0,COUNTIF(E$5:$E17,Daten_Psm!$C$2:$C$1002)+(Daten_Psm!$B$2:$B$1002&lt;&gt;$E$5),0)),"")</f>
        <v/>
      </c>
      <c r="F18" s="1304" t="str">
        <f t="array" ref="F18">IFERROR(INDEX(Daten_Psm!$C$2:$C$1002,MATCH(0,COUNTIF(F$5:$F17,Daten_Psm!$C$2:$C$1002)+(Daten_Psm!$B$2:$B$1002&lt;&gt;$F$5),0)),"")</f>
        <v/>
      </c>
      <c r="G18" s="1304" t="str">
        <f t="array" ref="G18">IFERROR(INDEX(Daten_Psm!$C$2:$C$1002,MATCH(0,COUNTIF(G$5:$G17,Daten_Psm!$C$2:$C$1002)+(Daten_Psm!$B$2:$B$1002&lt;&gt;$G$5),0)),"")</f>
        <v/>
      </c>
      <c r="H18">
        <v>13</v>
      </c>
    </row>
    <row r="19" spans="1:12" x14ac:dyDescent="0.25">
      <c r="B19" s="1304" t="str">
        <f t="array" ref="B19">IFERROR(INDEX(Daten_Psm!$C$2:$C$1002,MATCH(0,COUNTIF(B$5:$B18,Daten_Psm!$C$2:$C$1002)+(Daten_Psm!$B$2:$B$1002&lt;&gt;$B$5),0)),"")</f>
        <v/>
      </c>
      <c r="C19" s="1304" t="str">
        <f t="array" ref="C19">IFERROR(INDEX(Daten_Psm!$C$2:$C$1002,MATCH(0,COUNTIF(C$5:$C18,Daten_Psm!$C$2:$C$1002)+(Daten_Psm!$B$2:$B$1002&lt;&gt;$C$5),0)),"")</f>
        <v/>
      </c>
      <c r="D19" s="1304" t="str">
        <f t="array" ref="D19">IFERROR(INDEX(Daten_Psm!$C$2:$C$1002,MATCH(0,COUNTIF(D$5:$D18,Daten_Psm!$C$2:$C$1002)+(Daten_Psm!$B$2:$B$1002&lt;&gt;$D$5),0)),"")</f>
        <v/>
      </c>
      <c r="E19" s="1304" t="str">
        <f t="array" ref="E19">IFERROR(INDEX(Daten_Psm!$C$2:$C$1002,MATCH(0,COUNTIF(E$5:$E18,Daten_Psm!$C$2:$C$1002)+(Daten_Psm!$B$2:$B$1002&lt;&gt;$E$5),0)),"")</f>
        <v/>
      </c>
      <c r="F19" s="1304" t="str">
        <f t="array" ref="F19">IFERROR(INDEX(Daten_Psm!$C$2:$C$1002,MATCH(0,COUNTIF(F$5:$F18,Daten_Psm!$C$2:$C$1002)+(Daten_Psm!$B$2:$B$1002&lt;&gt;$F$5),0)),"")</f>
        <v/>
      </c>
      <c r="G19" s="1304" t="str">
        <f t="array" ref="G19">IFERROR(INDEX(Daten_Psm!$C$2:$C$1002,MATCH(0,COUNTIF(G$5:$G18,Daten_Psm!$C$2:$C$1002)+(Daten_Psm!$B$2:$B$1002&lt;&gt;$G$5),0)),"")</f>
        <v/>
      </c>
      <c r="H19">
        <v>14</v>
      </c>
    </row>
    <row r="20" spans="1:12" x14ac:dyDescent="0.25">
      <c r="B20" s="1304" t="str">
        <f t="array" ref="B20">IFERROR(INDEX(Daten_Psm!$C$2:$C$1002,MATCH(0,COUNTIF(B$5:$B19,Daten_Psm!$C$2:$C$1002)+(Daten_Psm!$B$2:$B$1002&lt;&gt;$B$5),0)),"")</f>
        <v/>
      </c>
      <c r="C20" s="1304" t="str">
        <f t="array" ref="C20">IFERROR(INDEX(Daten_Psm!$C$2:$C$1002,MATCH(0,COUNTIF(C$5:$C19,Daten_Psm!$C$2:$C$1002)+(Daten_Psm!$B$2:$B$1002&lt;&gt;$C$5),0)),"")</f>
        <v/>
      </c>
      <c r="D20" s="1304" t="str">
        <f t="array" ref="D20">IFERROR(INDEX(Daten_Psm!$C$2:$C$1002,MATCH(0,COUNTIF(D$5:$D19,Daten_Psm!$C$2:$C$1002)+(Daten_Psm!$B$2:$B$1002&lt;&gt;$D$5),0)),"")</f>
        <v/>
      </c>
      <c r="E20" s="1304" t="str">
        <f t="array" ref="E20">IFERROR(INDEX(Daten_Psm!$C$2:$C$1002,MATCH(0,COUNTIF(E$5:$E19,Daten_Psm!$C$2:$C$1002)+(Daten_Psm!$B$2:$B$1002&lt;&gt;$E$5),0)),"")</f>
        <v/>
      </c>
      <c r="F20" s="1304" t="str">
        <f t="array" ref="F20">IFERROR(INDEX(Daten_Psm!$C$2:$C$1002,MATCH(0,COUNTIF(F$5:$F19,Daten_Psm!$C$2:$C$1002)+(Daten_Psm!$B$2:$B$1002&lt;&gt;$F$5),0)),"")</f>
        <v/>
      </c>
      <c r="G20" s="1304" t="str">
        <f t="array" ref="G20">IFERROR(INDEX(Daten_Psm!$C$2:$C$1002,MATCH(0,COUNTIF(G$5:$G19,Daten_Psm!$C$2:$C$1002)+(Daten_Psm!$B$2:$B$1002&lt;&gt;$G$5),0)),"")</f>
        <v/>
      </c>
      <c r="H20">
        <v>15</v>
      </c>
    </row>
    <row r="21" spans="1:12" x14ac:dyDescent="0.25">
      <c r="B21" s="1304" t="str">
        <f t="array" ref="B21">IFERROR(INDEX(Daten_Psm!$C$2:$C$1002,MATCH(0,COUNTIF(B$5:$B20,Daten_Psm!$C$2:$C$1002)+(Daten_Psm!$B$2:$B$1002&lt;&gt;$B$5),0)),"")</f>
        <v/>
      </c>
      <c r="C21" s="1304" t="str">
        <f t="array" ref="C21">IFERROR(INDEX(Daten_Psm!$C$2:$C$1002,MATCH(0,COUNTIF(C$5:$C20,Daten_Psm!$C$2:$C$1002)+(Daten_Psm!$B$2:$B$1002&lt;&gt;$C$5),0)),"")</f>
        <v/>
      </c>
      <c r="D21" s="1304" t="str">
        <f t="array" ref="D21">IFERROR(INDEX(Daten_Psm!$C$2:$C$1002,MATCH(0,COUNTIF(D$5:$D20,Daten_Psm!$C$2:$C$1002)+(Daten_Psm!$B$2:$B$1002&lt;&gt;$D$5),0)),"")</f>
        <v/>
      </c>
      <c r="E21" s="1304" t="str">
        <f t="array" ref="E21">IFERROR(INDEX(Daten_Psm!$C$2:$C$1002,MATCH(0,COUNTIF(E$5:$E20,Daten_Psm!$C$2:$C$1002)+(Daten_Psm!$B$2:$B$1002&lt;&gt;$E$5),0)),"")</f>
        <v/>
      </c>
      <c r="F21" s="1304" t="str">
        <f t="array" ref="F21">IFERROR(INDEX(Daten_Psm!$C$2:$C$1002,MATCH(0,COUNTIF(F$5:$F20,Daten_Psm!$C$2:$C$1002)+(Daten_Psm!$B$2:$B$1002&lt;&gt;$F$5),0)),"")</f>
        <v/>
      </c>
      <c r="G21" s="1304" t="str">
        <f t="array" ref="G21">IFERROR(INDEX(Daten_Psm!$C$2:$C$1002,MATCH(0,COUNTIF(G$5:$G20,Daten_Psm!$C$2:$C$1002)+(Daten_Psm!$B$2:$B$1002&lt;&gt;$G$5),0)),"")</f>
        <v/>
      </c>
      <c r="H21">
        <v>16</v>
      </c>
    </row>
    <row r="22" spans="1:12" x14ac:dyDescent="0.25">
      <c r="B22" s="1304" t="str">
        <f t="array" ref="B22">IFERROR(INDEX(Daten_Psm!$C$2:$C$1002,MATCH(0,COUNTIF(B$5:$B21,Daten_Psm!$C$2:$C$1002)+(Daten_Psm!$B$2:$B$1002&lt;&gt;$B$5),0)),"")</f>
        <v/>
      </c>
      <c r="C22" s="1304" t="str">
        <f t="array" ref="C22">IFERROR(INDEX(Daten_Psm!$C$2:$C$1002,MATCH(0,COUNTIF(C$5:$C21,Daten_Psm!$C$2:$C$1002)+(Daten_Psm!$B$2:$B$1002&lt;&gt;$C$5),0)),"")</f>
        <v/>
      </c>
      <c r="D22" s="1304" t="str">
        <f t="array" ref="D22">IFERROR(INDEX(Daten_Psm!$C$2:$C$1002,MATCH(0,COUNTIF(D$5:$D21,Daten_Psm!$C$2:$C$1002)+(Daten_Psm!$B$2:$B$1002&lt;&gt;$D$5),0)),"")</f>
        <v/>
      </c>
      <c r="E22" s="1304" t="str">
        <f t="array" ref="E22">IFERROR(INDEX(Daten_Psm!$C$2:$C$1002,MATCH(0,COUNTIF(E$5:$E21,Daten_Psm!$C$2:$C$1002)+(Daten_Psm!$B$2:$B$1002&lt;&gt;$E$5),0)),"")</f>
        <v/>
      </c>
      <c r="F22" s="1304" t="str">
        <f t="array" ref="F22">IFERROR(INDEX(Daten_Psm!$C$2:$C$1002,MATCH(0,COUNTIF(F$5:$F21,Daten_Psm!$C$2:$C$1002)+(Daten_Psm!$B$2:$B$1002&lt;&gt;$F$5),0)),"")</f>
        <v/>
      </c>
      <c r="G22" s="1304" t="str">
        <f t="array" ref="G22">IFERROR(INDEX(Daten_Psm!$C$2:$C$1002,MATCH(0,COUNTIF(G$5:$G21,Daten_Psm!$C$2:$C$1002)+(Daten_Psm!$B$2:$B$1002&lt;&gt;$G$5),0)),"")</f>
        <v/>
      </c>
      <c r="H22">
        <v>17</v>
      </c>
    </row>
    <row r="23" spans="1:12" x14ac:dyDescent="0.25">
      <c r="B23" s="1304" t="str">
        <f t="array" ref="B23">IFERROR(INDEX(Daten_Psm!$C$2:$C$1002,MATCH(0,COUNTIF(B$5:$B22,Daten_Psm!$C$2:$C$1002)+(Daten_Psm!$B$2:$B$1002&lt;&gt;$B$5),0)),"")</f>
        <v/>
      </c>
      <c r="C23" s="1304" t="str">
        <f t="array" ref="C23">IFERROR(INDEX(Daten_Psm!$C$2:$C$1002,MATCH(0,COUNTIF(C$5:$C22,Daten_Psm!$C$2:$C$1002)+(Daten_Psm!$B$2:$B$1002&lt;&gt;$C$5),0)),"")</f>
        <v/>
      </c>
      <c r="D23" s="1304" t="str">
        <f t="array" ref="D23">IFERROR(INDEX(Daten_Psm!$C$2:$C$1002,MATCH(0,COUNTIF(D$5:$D22,Daten_Psm!$C$2:$C$1002)+(Daten_Psm!$B$2:$B$1002&lt;&gt;$D$5),0)),"")</f>
        <v/>
      </c>
      <c r="E23" s="1304" t="str">
        <f t="array" ref="E23">IFERROR(INDEX(Daten_Psm!$C$2:$C$1002,MATCH(0,COUNTIF(E$5:$E22,Daten_Psm!$C$2:$C$1002)+(Daten_Psm!$B$2:$B$1002&lt;&gt;$E$5),0)),"")</f>
        <v/>
      </c>
      <c r="F23" s="1304" t="str">
        <f t="array" ref="F23">IFERROR(INDEX(Daten_Psm!$C$2:$C$1002,MATCH(0,COUNTIF(F$5:$F22,Daten_Psm!$C$2:$C$1002)+(Daten_Psm!$B$2:$B$1002&lt;&gt;$F$5),0)),"")</f>
        <v/>
      </c>
      <c r="G23" s="1304" t="str">
        <f t="array" ref="G23">IFERROR(INDEX(Daten_Psm!$C$2:$C$1002,MATCH(0,COUNTIF(G$5:$G22,Daten_Psm!$C$2:$C$1002)+(Daten_Psm!$B$2:$B$1002&lt;&gt;$G$5),0)),"")</f>
        <v/>
      </c>
      <c r="H23">
        <v>18</v>
      </c>
    </row>
    <row r="24" spans="1:12" x14ac:dyDescent="0.25">
      <c r="B24" s="1304" t="str">
        <f t="array" ref="B24">IFERROR(INDEX(Daten_Psm!$C$2:$C$1002,MATCH(0,COUNTIF(B$5:$B23,Daten_Psm!$C$2:$C$1002)+(Daten_Psm!$B$2:$B$1002&lt;&gt;$B$5),0)),"")</f>
        <v/>
      </c>
      <c r="C24" s="1304" t="str">
        <f t="array" ref="C24">IFERROR(INDEX(Daten_Psm!$C$2:$C$1002,MATCH(0,COUNTIF(C$5:$C23,Daten_Psm!$C$2:$C$1002)+(Daten_Psm!$B$2:$B$1002&lt;&gt;$C$5),0)),"")</f>
        <v/>
      </c>
      <c r="D24" s="1304" t="str">
        <f t="array" ref="D24">IFERROR(INDEX(Daten_Psm!$C$2:$C$1002,MATCH(0,COUNTIF(D$5:$D23,Daten_Psm!$C$2:$C$1002)+(Daten_Psm!$B$2:$B$1002&lt;&gt;$D$5),0)),"")</f>
        <v/>
      </c>
      <c r="E24" s="1304" t="str">
        <f t="array" ref="E24">IFERROR(INDEX(Daten_Psm!$C$2:$C$1002,MATCH(0,COUNTIF(E$5:$E23,Daten_Psm!$C$2:$C$1002)+(Daten_Psm!$B$2:$B$1002&lt;&gt;$E$5),0)),"")</f>
        <v/>
      </c>
      <c r="F24" s="1304" t="str">
        <f t="array" ref="F24">IFERROR(INDEX(Daten_Psm!$C$2:$C$1002,MATCH(0,COUNTIF(F$5:$F23,Daten_Psm!$C$2:$C$1002)+(Daten_Psm!$B$2:$B$1002&lt;&gt;$F$5),0)),"")</f>
        <v/>
      </c>
      <c r="G24" s="1304" t="str">
        <f t="array" ref="G24">IFERROR(INDEX(Daten_Psm!$C$2:$C$1002,MATCH(0,COUNTIF(G$5:$G23,Daten_Psm!$C$2:$C$1002)+(Daten_Psm!$B$2:$B$1002&lt;&gt;$G$5),0)),"")</f>
        <v/>
      </c>
      <c r="H24">
        <v>19</v>
      </c>
    </row>
    <row r="25" spans="1:12" x14ac:dyDescent="0.25">
      <c r="B25" s="1304" t="str">
        <f t="array" ref="B25">IFERROR(INDEX(Daten_Psm!$C$2:$C$1002,MATCH(0,COUNTIF(B$5:$B24,Daten_Psm!$C$2:$C$1002)+(Daten_Psm!$B$2:$B$1002&lt;&gt;$B$5),0)),"")</f>
        <v/>
      </c>
      <c r="C25" s="1304" t="str">
        <f t="array" ref="C25">IFERROR(INDEX(Daten_Psm!$C$2:$C$1002,MATCH(0,COUNTIF(C$5:$C24,Daten_Psm!$C$2:$C$1002)+(Daten_Psm!$B$2:$B$1002&lt;&gt;$C$5),0)),"")</f>
        <v/>
      </c>
      <c r="D25" s="1304" t="str">
        <f t="array" ref="D25">IFERROR(INDEX(Daten_Psm!$C$2:$C$1002,MATCH(0,COUNTIF(D$5:$D24,Daten_Psm!$C$2:$C$1002)+(Daten_Psm!$B$2:$B$1002&lt;&gt;$D$5),0)),"")</f>
        <v/>
      </c>
      <c r="E25" s="1304" t="str">
        <f t="array" ref="E25">IFERROR(INDEX(Daten_Psm!$C$2:$C$1002,MATCH(0,COUNTIF(E$5:$E24,Daten_Psm!$C$2:$C$1002)+(Daten_Psm!$B$2:$B$1002&lt;&gt;$E$5),0)),"")</f>
        <v/>
      </c>
      <c r="F25" s="1304" t="str">
        <f t="array" ref="F25">IFERROR(INDEX(Daten_Psm!$C$2:$C$1002,MATCH(0,COUNTIF(F$5:$F24,Daten_Psm!$C$2:$C$1002)+(Daten_Psm!$B$2:$B$1002&lt;&gt;$F$5),0)),"")</f>
        <v/>
      </c>
      <c r="G25" s="1304" t="str">
        <f t="array" ref="G25">IFERROR(INDEX(Daten_Psm!$C$2:$C$1002,MATCH(0,COUNTIF(G$5:$G24,Daten_Psm!$C$2:$C$1002)+(Daten_Psm!$B$2:$B$1002&lt;&gt;$G$5),0)),"")</f>
        <v/>
      </c>
      <c r="H25">
        <v>20</v>
      </c>
    </row>
    <row r="26" spans="1:12" x14ac:dyDescent="0.25">
      <c r="B26" s="1304" t="str">
        <f t="array" ref="B26">IFERROR(INDEX(Daten_Psm!$C$2:$C$1002,MATCH(0,COUNTIF(B$5:$B25,Daten_Psm!$C$2:$C$1002)+(Daten_Psm!$B$2:$B$1002&lt;&gt;$B$5),0)),"")</f>
        <v/>
      </c>
      <c r="C26" s="1304" t="str">
        <f t="array" ref="C26">IFERROR(INDEX(Daten_Psm!$C$2:$C$1002,MATCH(0,COUNTIF(C$5:$C25,Daten_Psm!$C$2:$C$1002)+(Daten_Psm!$B$2:$B$1002&lt;&gt;$C$5),0)),"")</f>
        <v/>
      </c>
      <c r="D26" s="1304" t="str">
        <f t="array" ref="D26">IFERROR(INDEX(Daten_Psm!$C$2:$C$1002,MATCH(0,COUNTIF(D$5:$D25,Daten_Psm!$C$2:$C$1002)+(Daten_Psm!$B$2:$B$1002&lt;&gt;$D$5),0)),"")</f>
        <v/>
      </c>
      <c r="E26" s="1304" t="str">
        <f t="array" ref="E26">IFERROR(INDEX(Daten_Psm!$C$2:$C$1002,MATCH(0,COUNTIF(E$5:$E25,Daten_Psm!$C$2:$C$1002)+(Daten_Psm!$B$2:$B$1002&lt;&gt;$E$5),0)),"")</f>
        <v/>
      </c>
      <c r="F26" s="1304" t="str">
        <f t="array" ref="F26">IFERROR(INDEX(Daten_Psm!$C$2:$C$1002,MATCH(0,COUNTIF(F$5:$F25,Daten_Psm!$C$2:$C$1002)+(Daten_Psm!$B$2:$B$1002&lt;&gt;$F$5),0)),"")</f>
        <v/>
      </c>
      <c r="G26" s="1304" t="str">
        <f t="array" ref="G26">IFERROR(INDEX(Daten_Psm!$C$2:$C$1002,MATCH(0,COUNTIF(G$5:$G25,Daten_Psm!$C$2:$C$1002)+(Daten_Psm!$B$2:$B$1002&lt;&gt;$G$5),0)),"")</f>
        <v/>
      </c>
      <c r="H26">
        <v>21</v>
      </c>
    </row>
    <row r="27" spans="1:12" x14ac:dyDescent="0.25">
      <c r="B27" s="1304" t="str">
        <f t="array" ref="B27">IFERROR(INDEX(Daten_Psm!$C$2:$C$1002,MATCH(0,COUNTIF(B$5:$B26,Daten_Psm!$C$2:$C$1002)+(Daten_Psm!$B$2:$B$1002&lt;&gt;$B$5),0)),"")</f>
        <v/>
      </c>
      <c r="C27" s="1304" t="str">
        <f t="array" ref="C27">IFERROR(INDEX(Daten_Psm!$C$2:$C$1002,MATCH(0,COUNTIF(C$5:$C26,Daten_Psm!$C$2:$C$1002)+(Daten_Psm!$B$2:$B$1002&lt;&gt;$C$5),0)),"")</f>
        <v/>
      </c>
      <c r="D27" s="1304" t="str">
        <f t="array" ref="D27">IFERROR(INDEX(Daten_Psm!$C$2:$C$1002,MATCH(0,COUNTIF(D$5:$D26,Daten_Psm!$C$2:$C$1002)+(Daten_Psm!$B$2:$B$1002&lt;&gt;$D$5),0)),"")</f>
        <v/>
      </c>
      <c r="E27" s="1304" t="str">
        <f t="array" ref="E27">IFERROR(INDEX(Daten_Psm!$C$2:$C$1002,MATCH(0,COUNTIF(E$5:$E26,Daten_Psm!$C$2:$C$1002)+(Daten_Psm!$B$2:$B$1002&lt;&gt;$E$5),0)),"")</f>
        <v/>
      </c>
      <c r="F27" s="1304" t="str">
        <f t="array" ref="F27">IFERROR(INDEX(Daten_Psm!$C$2:$C$1002,MATCH(0,COUNTIF(F$5:$F26,Daten_Psm!$C$2:$C$1002)+(Daten_Psm!$B$2:$B$1002&lt;&gt;$F$5),0)),"")</f>
        <v/>
      </c>
      <c r="G27" s="1304" t="str">
        <f t="array" ref="G27">IFERROR(INDEX(Daten_Psm!$C$2:$C$1002,MATCH(0,COUNTIF(G$5:$G26,Daten_Psm!$C$2:$C$1002)+(Daten_Psm!$B$2:$B$1002&lt;&gt;$G$5),0)),"")</f>
        <v/>
      </c>
      <c r="H27">
        <v>22</v>
      </c>
    </row>
    <row r="28" spans="1:12" x14ac:dyDescent="0.25">
      <c r="B28" s="1304" t="str">
        <f t="array" ref="B28">IFERROR(INDEX(Daten_Psm!$C$2:$C$1002,MATCH(0,COUNTIF(B$5:$B27,Daten_Psm!$C$2:$C$1002)+(Daten_Psm!$B$2:$B$1002&lt;&gt;$B$5),0)),"")</f>
        <v/>
      </c>
      <c r="C28" s="1304" t="str">
        <f t="array" ref="C28">IFERROR(INDEX(Daten_Psm!$C$2:$C$1002,MATCH(0,COUNTIF(C$5:$C27,Daten_Psm!$C$2:$C$1002)+(Daten_Psm!$B$2:$B$1002&lt;&gt;$C$5),0)),"")</f>
        <v/>
      </c>
      <c r="D28" s="1304" t="str">
        <f t="array" ref="D28">IFERROR(INDEX(Daten_Psm!$C$2:$C$1002,MATCH(0,COUNTIF(D$5:$D27,Daten_Psm!$C$2:$C$1002)+(Daten_Psm!$B$2:$B$1002&lt;&gt;$D$5),0)),"")</f>
        <v/>
      </c>
      <c r="E28" s="1304" t="str">
        <f t="array" ref="E28">IFERROR(INDEX(Daten_Psm!$C$2:$C$1002,MATCH(0,COUNTIF(E$5:$E27,Daten_Psm!$C$2:$C$1002)+(Daten_Psm!$B$2:$B$1002&lt;&gt;$E$5),0)),"")</f>
        <v/>
      </c>
      <c r="F28" s="1304" t="str">
        <f t="array" ref="F28">IFERROR(INDEX(Daten_Psm!$C$2:$C$1002,MATCH(0,COUNTIF(F$5:$F27,Daten_Psm!$C$2:$C$1002)+(Daten_Psm!$B$2:$B$1002&lt;&gt;$F$5),0)),"")</f>
        <v/>
      </c>
      <c r="G28" s="1304" t="str">
        <f t="array" ref="G28">IFERROR(INDEX(Daten_Psm!$C$2:$C$1002,MATCH(0,COUNTIF(G$5:$G27,Daten_Psm!$C$2:$C$1002)+(Daten_Psm!$B$2:$B$1002&lt;&gt;$G$5),0)),"")</f>
        <v/>
      </c>
      <c r="H28">
        <v>23</v>
      </c>
    </row>
    <row r="29" spans="1:12" x14ac:dyDescent="0.25">
      <c r="B29" s="1304" t="str">
        <f t="array" ref="B29">IFERROR(INDEX(Daten_Psm!$C$2:$C$1002,MATCH(0,COUNTIF(B$5:$B28,Daten_Psm!$C$2:$C$1002)+(Daten_Psm!$B$2:$B$1002&lt;&gt;$B$5),0)),"")</f>
        <v/>
      </c>
      <c r="C29" s="1304" t="str">
        <f t="array" ref="C29">IFERROR(INDEX(Daten_Psm!$C$2:$C$1002,MATCH(0,COUNTIF(C$5:$C28,Daten_Psm!$C$2:$C$1002)+(Daten_Psm!$B$2:$B$1002&lt;&gt;$C$5),0)),"")</f>
        <v/>
      </c>
      <c r="D29" s="1304" t="str">
        <f t="array" ref="D29">IFERROR(INDEX(Daten_Psm!$C$2:$C$1002,MATCH(0,COUNTIF(D$5:$D28,Daten_Psm!$C$2:$C$1002)+(Daten_Psm!$B$2:$B$1002&lt;&gt;$D$5),0)),"")</f>
        <v/>
      </c>
      <c r="E29" s="1304" t="str">
        <f t="array" ref="E29">IFERROR(INDEX(Daten_Psm!$C$2:$C$1002,MATCH(0,COUNTIF(E$5:$E28,Daten_Psm!$C$2:$C$1002)+(Daten_Psm!$B$2:$B$1002&lt;&gt;$E$5),0)),"")</f>
        <v/>
      </c>
      <c r="F29" s="1304" t="str">
        <f t="array" ref="F29">IFERROR(INDEX(Daten_Psm!$C$2:$C$1002,MATCH(0,COUNTIF(F$5:$F28,Daten_Psm!$C$2:$C$1002)+(Daten_Psm!$B$2:$B$1002&lt;&gt;$F$5),0)),"")</f>
        <v/>
      </c>
      <c r="G29" s="1304" t="str">
        <f t="array" ref="G29">IFERROR(INDEX(Daten_Psm!$C$2:$C$1002,MATCH(0,COUNTIF(G$5:$G28,Daten_Psm!$C$2:$C$1002)+(Daten_Psm!$B$2:$B$1002&lt;&gt;$G$5),0)),"")</f>
        <v/>
      </c>
      <c r="H29">
        <v>24</v>
      </c>
    </row>
    <row r="30" spans="1:12" x14ac:dyDescent="0.25">
      <c r="B30" s="1304" t="str">
        <f t="array" ref="B30">IFERROR(INDEX(Daten_Psm!$C$2:$C$1002,MATCH(0,COUNTIF(B$5:$B29,Daten_Psm!$C$2:$C$1002)+(Daten_Psm!$B$2:$B$1002&lt;&gt;$B$5),0)),"")</f>
        <v/>
      </c>
      <c r="C30" s="1304" t="str">
        <f t="array" ref="C30">IFERROR(INDEX(Daten_Psm!$C$2:$C$1002,MATCH(0,COUNTIF(C$5:$C29,Daten_Psm!$C$2:$C$1002)+(Daten_Psm!$B$2:$B$1002&lt;&gt;$C$5),0)),"")</f>
        <v/>
      </c>
      <c r="D30" s="1304" t="str">
        <f t="array" ref="D30">IFERROR(INDEX(Daten_Psm!$C$2:$C$1002,MATCH(0,COUNTIF(D$5:$D29,Daten_Psm!$C$2:$C$1002)+(Daten_Psm!$B$2:$B$1002&lt;&gt;$D$5),0)),"")</f>
        <v/>
      </c>
      <c r="E30" s="1304" t="str">
        <f t="array" ref="E30">IFERROR(INDEX(Daten_Psm!$C$2:$C$1002,MATCH(0,COUNTIF(E$5:$E29,Daten_Psm!$C$2:$C$1002)+(Daten_Psm!$B$2:$B$1002&lt;&gt;$E$5),0)),"")</f>
        <v/>
      </c>
      <c r="F30" s="1304" t="str">
        <f t="array" ref="F30">IFERROR(INDEX(Daten_Psm!$C$2:$C$1002,MATCH(0,COUNTIF(F$5:$F29,Daten_Psm!$C$2:$C$1002)+(Daten_Psm!$B$2:$B$1002&lt;&gt;$F$5),0)),"")</f>
        <v/>
      </c>
      <c r="G30" s="1304" t="str">
        <f t="array" ref="G30">IFERROR(INDEX(Daten_Psm!$C$2:$C$1002,MATCH(0,COUNTIF(G$5:$G29,Daten_Psm!$C$2:$C$1002)+(Daten_Psm!$B$2:$B$1002&lt;&gt;$G$5),0)),"")</f>
        <v/>
      </c>
      <c r="H30">
        <v>25</v>
      </c>
      <c r="I30" s="1"/>
    </row>
    <row r="31" spans="1:12" x14ac:dyDescent="0.25">
      <c r="B31" s="19"/>
      <c r="C31" s="19"/>
      <c r="D31" s="19"/>
      <c r="E31" s="19"/>
      <c r="F31" s="19"/>
      <c r="G31" s="19"/>
      <c r="I31" s="1"/>
    </row>
    <row r="32" spans="1:12" x14ac:dyDescent="0.25">
      <c r="A32" s="1306" t="s">
        <v>625</v>
      </c>
      <c r="B32" s="1307"/>
      <c r="C32" s="1307"/>
      <c r="E32" s="1293"/>
      <c r="F32" s="1"/>
      <c r="G32" s="1293"/>
      <c r="H32" s="4"/>
      <c r="I32" s="4"/>
      <c r="J32" s="1"/>
      <c r="L32" s="1"/>
    </row>
    <row r="33" spans="2:12" ht="13" x14ac:dyDescent="0.3">
      <c r="B33" s="107" t="s">
        <v>616</v>
      </c>
      <c r="C33" s="107" t="s">
        <v>617</v>
      </c>
      <c r="D33" s="1293"/>
      <c r="E33" s="1"/>
      <c r="F33" s="1"/>
      <c r="G33" s="1293"/>
      <c r="H33" s="1"/>
      <c r="I33" s="1"/>
      <c r="J33" s="1"/>
      <c r="L33" s="1"/>
    </row>
    <row r="34" spans="2:12" x14ac:dyDescent="0.25">
      <c r="B34" s="1293" t="s">
        <v>618</v>
      </c>
      <c r="C34" s="1293" t="s">
        <v>618</v>
      </c>
      <c r="D34" s="1293"/>
      <c r="E34" s="1"/>
      <c r="F34" s="1"/>
      <c r="J34" s="1"/>
      <c r="L34" s="1"/>
    </row>
    <row r="35" spans="2:12" x14ac:dyDescent="0.25">
      <c r="B35">
        <v>1</v>
      </c>
      <c r="C35">
        <v>1</v>
      </c>
      <c r="D35" s="1293"/>
      <c r="E35" s="1293"/>
      <c r="F35" s="1"/>
      <c r="J35" s="1"/>
      <c r="K35" s="1"/>
      <c r="L35" s="1"/>
    </row>
    <row r="36" spans="2:12" x14ac:dyDescent="0.25">
      <c r="B36">
        <v>2</v>
      </c>
      <c r="C36">
        <v>2</v>
      </c>
      <c r="E36" s="1"/>
      <c r="F36" s="1"/>
      <c r="J36" s="1"/>
      <c r="K36" s="1"/>
      <c r="L36" s="1"/>
    </row>
    <row r="37" spans="2:12" x14ac:dyDescent="0.25">
      <c r="B37">
        <v>3</v>
      </c>
      <c r="C37">
        <v>3</v>
      </c>
      <c r="D37" s="1"/>
      <c r="E37" s="1"/>
      <c r="F37" s="1"/>
      <c r="J37" s="1"/>
      <c r="K37" s="1"/>
      <c r="L37" s="1"/>
    </row>
    <row r="38" spans="2:12" x14ac:dyDescent="0.25">
      <c r="B38">
        <v>4</v>
      </c>
      <c r="C38">
        <v>4</v>
      </c>
      <c r="D38" s="1293"/>
      <c r="E38" s="1"/>
      <c r="F38" s="1"/>
      <c r="J38" s="1"/>
      <c r="K38" s="1"/>
      <c r="L38" s="1"/>
    </row>
    <row r="39" spans="2:12" x14ac:dyDescent="0.25">
      <c r="B39">
        <v>5</v>
      </c>
      <c r="C39">
        <v>5</v>
      </c>
      <c r="D39" s="1293"/>
      <c r="E39" s="1"/>
      <c r="F39" s="1"/>
      <c r="J39" s="1"/>
      <c r="K39" s="1"/>
      <c r="L39" s="1"/>
    </row>
    <row r="40" spans="2:12" x14ac:dyDescent="0.25">
      <c r="B40">
        <v>6</v>
      </c>
      <c r="C40">
        <v>6</v>
      </c>
      <c r="D40" s="1293"/>
      <c r="E40" s="1"/>
      <c r="F40" s="1"/>
      <c r="J40" s="1"/>
      <c r="K40" s="1"/>
      <c r="L40" s="1"/>
    </row>
    <row r="41" spans="2:12" x14ac:dyDescent="0.25">
      <c r="B41">
        <v>7</v>
      </c>
      <c r="C41">
        <v>7</v>
      </c>
      <c r="D41" s="1293"/>
      <c r="E41" s="1"/>
      <c r="F41" s="1"/>
      <c r="J41" s="1"/>
      <c r="K41" s="1"/>
      <c r="L41" s="1"/>
    </row>
    <row r="42" spans="2:12" x14ac:dyDescent="0.25">
      <c r="B42">
        <v>8</v>
      </c>
      <c r="C42">
        <v>8</v>
      </c>
      <c r="D42" s="1293"/>
      <c r="E42" s="1"/>
      <c r="F42" s="1"/>
      <c r="J42" s="1"/>
      <c r="K42" s="1"/>
      <c r="L42" s="1"/>
    </row>
    <row r="43" spans="2:12" x14ac:dyDescent="0.25">
      <c r="B43">
        <v>9</v>
      </c>
      <c r="C43">
        <v>9</v>
      </c>
      <c r="D43" s="1293"/>
      <c r="E43" s="1"/>
      <c r="F43" s="1"/>
      <c r="J43" s="1"/>
      <c r="K43" s="1"/>
      <c r="L43" s="1"/>
    </row>
    <row r="44" spans="2:12" x14ac:dyDescent="0.25">
      <c r="B44">
        <v>10</v>
      </c>
      <c r="C44">
        <v>10</v>
      </c>
      <c r="D44" s="1293"/>
      <c r="E44" s="1"/>
      <c r="F44" s="1"/>
      <c r="J44" s="1"/>
      <c r="K44" s="1"/>
      <c r="L44" s="1"/>
    </row>
    <row r="45" spans="2:12" x14ac:dyDescent="0.25">
      <c r="B45">
        <v>11</v>
      </c>
      <c r="C45">
        <v>11</v>
      </c>
      <c r="D45" s="1293"/>
      <c r="E45" s="1"/>
      <c r="F45" s="1"/>
      <c r="J45" s="1"/>
      <c r="K45" s="1"/>
      <c r="L45" s="1"/>
    </row>
    <row r="46" spans="2:12" x14ac:dyDescent="0.25">
      <c r="B46">
        <v>12</v>
      </c>
      <c r="C46">
        <v>12</v>
      </c>
      <c r="D46" s="1293"/>
      <c r="E46" s="1"/>
      <c r="F46" s="1"/>
      <c r="J46" s="1"/>
      <c r="K46" s="1"/>
      <c r="L46" s="1"/>
    </row>
    <row r="47" spans="2:12" x14ac:dyDescent="0.25">
      <c r="B47">
        <v>13</v>
      </c>
      <c r="D47" s="1293"/>
      <c r="E47" s="1"/>
      <c r="F47" s="1"/>
      <c r="J47" s="1"/>
      <c r="K47" s="1"/>
      <c r="L47" s="1"/>
    </row>
    <row r="48" spans="2:12" x14ac:dyDescent="0.25">
      <c r="B48">
        <v>14</v>
      </c>
      <c r="D48" s="1"/>
      <c r="E48" s="1"/>
      <c r="F48" s="1"/>
      <c r="J48" s="1"/>
      <c r="K48" s="1"/>
      <c r="L48" s="1"/>
    </row>
    <row r="49" spans="2:12" x14ac:dyDescent="0.25">
      <c r="B49">
        <v>15</v>
      </c>
      <c r="D49" s="1"/>
      <c r="E49" s="1"/>
      <c r="F49" s="1"/>
      <c r="J49" s="1"/>
      <c r="K49" s="1"/>
      <c r="L49" s="1"/>
    </row>
    <row r="50" spans="2:12" x14ac:dyDescent="0.25">
      <c r="B50">
        <v>16</v>
      </c>
      <c r="D50" s="1"/>
      <c r="E50" s="1"/>
      <c r="F50" s="1"/>
      <c r="J50" s="1"/>
      <c r="K50" s="1"/>
      <c r="L50" s="1"/>
    </row>
    <row r="51" spans="2:12" x14ac:dyDescent="0.25">
      <c r="B51">
        <v>17</v>
      </c>
      <c r="D51" s="1"/>
      <c r="E51" s="1"/>
      <c r="F51" s="1"/>
      <c r="J51" s="1"/>
      <c r="K51" s="1"/>
      <c r="L51" s="1"/>
    </row>
    <row r="52" spans="2:12" x14ac:dyDescent="0.25">
      <c r="B52">
        <v>18</v>
      </c>
      <c r="D52" s="1"/>
      <c r="E52" s="1"/>
      <c r="F52" s="1"/>
      <c r="J52" s="1"/>
      <c r="K52" s="1"/>
      <c r="L52" s="1"/>
    </row>
    <row r="53" spans="2:12" x14ac:dyDescent="0.25">
      <c r="B53">
        <v>19</v>
      </c>
      <c r="D53" s="1"/>
      <c r="E53" s="1"/>
      <c r="F53" s="1"/>
      <c r="J53" s="1"/>
      <c r="K53" s="1"/>
      <c r="L53" s="1"/>
    </row>
    <row r="54" spans="2:12" x14ac:dyDescent="0.25">
      <c r="B54">
        <v>20</v>
      </c>
      <c r="D54" s="1"/>
      <c r="E54" s="1"/>
      <c r="F54" s="1"/>
      <c r="J54" s="1"/>
      <c r="K54" s="1"/>
      <c r="L54" s="1"/>
    </row>
    <row r="55" spans="2:12" x14ac:dyDescent="0.25">
      <c r="B55">
        <v>21</v>
      </c>
      <c r="J55" s="1"/>
      <c r="K55" s="1"/>
      <c r="L55" s="1"/>
    </row>
    <row r="56" spans="2:12" x14ac:dyDescent="0.25">
      <c r="B56">
        <v>22</v>
      </c>
    </row>
    <row r="57" spans="2:12" x14ac:dyDescent="0.25">
      <c r="B57">
        <v>23</v>
      </c>
    </row>
    <row r="58" spans="2:12" x14ac:dyDescent="0.25">
      <c r="B58">
        <v>24</v>
      </c>
    </row>
    <row r="59" spans="2:12" x14ac:dyDescent="0.25">
      <c r="B59">
        <v>25</v>
      </c>
    </row>
    <row r="60" spans="2:12" x14ac:dyDescent="0.25">
      <c r="B60">
        <v>26</v>
      </c>
    </row>
    <row r="61" spans="2:12" x14ac:dyDescent="0.25">
      <c r="B61">
        <v>27</v>
      </c>
    </row>
    <row r="62" spans="2:12" x14ac:dyDescent="0.25">
      <c r="B62">
        <v>28</v>
      </c>
    </row>
    <row r="63" spans="2:12" x14ac:dyDescent="0.25">
      <c r="B63">
        <v>29</v>
      </c>
    </row>
    <row r="64" spans="2:12" x14ac:dyDescent="0.25">
      <c r="B64">
        <v>30</v>
      </c>
    </row>
  </sheetData>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50"/>
  <sheetViews>
    <sheetView topLeftCell="C1" workbookViewId="0">
      <selection activeCell="I22" sqref="I22"/>
    </sheetView>
  </sheetViews>
  <sheetFormatPr baseColWidth="10" defaultColWidth="8.7265625" defaultRowHeight="12.5" x14ac:dyDescent="0.25"/>
  <cols>
    <col min="1" max="1" width="11.36328125" style="1" customWidth="1"/>
    <col min="2" max="2" width="33.1796875" style="1" bestFit="1" customWidth="1"/>
    <col min="3" max="3" width="15.54296875" style="1" customWidth="1"/>
    <col min="4" max="4" width="29.81640625" style="1" customWidth="1"/>
    <col min="5" max="5" width="44.36328125" style="4" bestFit="1" customWidth="1"/>
    <col min="6" max="6" width="23.54296875" style="1" bestFit="1" customWidth="1"/>
    <col min="7" max="7" width="20.81640625" style="1" bestFit="1" customWidth="1"/>
    <col min="8" max="8" width="30.54296875" style="1" customWidth="1"/>
    <col min="9" max="9" width="20" style="1" customWidth="1"/>
    <col min="10" max="10" width="9.26953125" style="1" bestFit="1" customWidth="1"/>
    <col min="11" max="11" width="22.81640625" style="1" bestFit="1" customWidth="1"/>
    <col min="12" max="12" width="35.26953125" style="4" customWidth="1"/>
    <col min="13" max="13" width="94.1796875" style="4" bestFit="1" customWidth="1"/>
    <col min="14" max="14" width="95" style="1" bestFit="1" customWidth="1"/>
    <col min="15" max="15" width="25" style="1" bestFit="1" customWidth="1"/>
    <col min="16" max="16384" width="8.7265625" style="1"/>
  </cols>
  <sheetData>
    <row r="1" spans="1:15" ht="14" x14ac:dyDescent="0.3">
      <c r="A1" s="1273" t="s">
        <v>557</v>
      </c>
      <c r="B1" s="1273" t="s">
        <v>558</v>
      </c>
      <c r="C1" s="1273" t="s">
        <v>559</v>
      </c>
      <c r="D1" s="1273" t="s">
        <v>560</v>
      </c>
      <c r="E1" s="406" t="s">
        <v>561</v>
      </c>
      <c r="F1" s="1273" t="s">
        <v>562</v>
      </c>
      <c r="G1" s="1273" t="s">
        <v>563</v>
      </c>
      <c r="H1" s="1273" t="s">
        <v>564</v>
      </c>
      <c r="I1" s="1273" t="s">
        <v>565</v>
      </c>
      <c r="J1" s="1273" t="s">
        <v>566</v>
      </c>
      <c r="K1" s="1273" t="s">
        <v>567</v>
      </c>
      <c r="L1" s="1274" t="s">
        <v>140</v>
      </c>
      <c r="M1" s="1274" t="s">
        <v>568</v>
      </c>
      <c r="N1" s="1273" t="s">
        <v>569</v>
      </c>
      <c r="O1" s="1273" t="s">
        <v>570</v>
      </c>
    </row>
    <row r="2" spans="1:15" ht="14" x14ac:dyDescent="0.3">
      <c r="A2" s="1275" t="s">
        <v>575</v>
      </c>
      <c r="B2" s="1275" t="s">
        <v>134</v>
      </c>
      <c r="C2" s="1275" t="s">
        <v>69</v>
      </c>
      <c r="D2" s="1275" t="s">
        <v>585</v>
      </c>
      <c r="E2" s="1276" t="s">
        <v>576</v>
      </c>
      <c r="F2" s="1275">
        <v>100</v>
      </c>
      <c r="G2" s="1275">
        <v>38.1</v>
      </c>
      <c r="H2" s="1275">
        <v>0.38</v>
      </c>
      <c r="I2" s="1275">
        <v>220</v>
      </c>
      <c r="J2" s="1275" t="s">
        <v>572</v>
      </c>
      <c r="K2" s="1275">
        <v>2022</v>
      </c>
      <c r="L2" s="1276" t="s">
        <v>665</v>
      </c>
      <c r="M2" s="1276" t="s">
        <v>586</v>
      </c>
      <c r="N2" s="4" t="s">
        <v>576</v>
      </c>
    </row>
    <row r="3" spans="1:15" ht="14" x14ac:dyDescent="0.3">
      <c r="A3" s="1275" t="s">
        <v>575</v>
      </c>
      <c r="B3" s="1275" t="s">
        <v>134</v>
      </c>
      <c r="C3" s="1275" t="s">
        <v>587</v>
      </c>
      <c r="D3" s="1275" t="s">
        <v>622</v>
      </c>
      <c r="E3" s="1276" t="s">
        <v>576</v>
      </c>
      <c r="F3" s="1275">
        <v>100</v>
      </c>
      <c r="G3" s="1275">
        <v>97.7</v>
      </c>
      <c r="H3" s="1275">
        <v>0.98</v>
      </c>
      <c r="I3" s="1275">
        <v>300</v>
      </c>
      <c r="J3" s="1275" t="s">
        <v>572</v>
      </c>
      <c r="K3" s="1275">
        <v>2022</v>
      </c>
      <c r="L3" s="1276" t="s">
        <v>665</v>
      </c>
      <c r="M3" s="1276" t="s">
        <v>588</v>
      </c>
      <c r="N3" s="4" t="s">
        <v>589</v>
      </c>
    </row>
    <row r="4" spans="1:15" ht="14" x14ac:dyDescent="0.3">
      <c r="A4" s="1275" t="s">
        <v>575</v>
      </c>
      <c r="B4" s="1275" t="s">
        <v>134</v>
      </c>
      <c r="C4" s="1275" t="s">
        <v>523</v>
      </c>
      <c r="D4" s="1275" t="s">
        <v>621</v>
      </c>
      <c r="E4" s="1289" t="s">
        <v>576</v>
      </c>
      <c r="F4" s="1275">
        <v>50</v>
      </c>
      <c r="G4" s="1275">
        <v>30</v>
      </c>
      <c r="H4" s="1279">
        <v>1.7</v>
      </c>
      <c r="I4" s="1300">
        <v>6</v>
      </c>
      <c r="J4" s="1275" t="s">
        <v>572</v>
      </c>
      <c r="K4" s="1275">
        <v>2022</v>
      </c>
      <c r="L4" s="1276" t="s">
        <v>619</v>
      </c>
      <c r="M4" s="1276" t="s">
        <v>620</v>
      </c>
      <c r="N4" s="1275" t="s">
        <v>576</v>
      </c>
    </row>
    <row r="5" spans="1:15" ht="14" x14ac:dyDescent="0.3">
      <c r="A5" s="1287" t="s">
        <v>575</v>
      </c>
      <c r="B5" s="1275" t="s">
        <v>134</v>
      </c>
      <c r="C5" s="1275" t="s">
        <v>194</v>
      </c>
      <c r="D5" s="1275" t="s">
        <v>605</v>
      </c>
      <c r="E5" s="1278" t="s">
        <v>576</v>
      </c>
      <c r="F5" s="1275">
        <v>100</v>
      </c>
      <c r="G5" s="1275">
        <v>64.900000000000006</v>
      </c>
      <c r="H5" s="1275">
        <v>0.65</v>
      </c>
      <c r="I5" s="1275">
        <v>600</v>
      </c>
      <c r="J5" s="1275" t="s">
        <v>572</v>
      </c>
      <c r="K5" s="1275">
        <v>2022</v>
      </c>
      <c r="L5" s="1276" t="s">
        <v>665</v>
      </c>
      <c r="M5" s="1276" t="s">
        <v>586</v>
      </c>
      <c r="N5" s="4" t="s">
        <v>606</v>
      </c>
    </row>
    <row r="6" spans="1:15" ht="14" x14ac:dyDescent="0.3">
      <c r="A6" s="1275" t="s">
        <v>575</v>
      </c>
      <c r="B6" s="1275" t="s">
        <v>581</v>
      </c>
      <c r="C6" s="1275" t="s">
        <v>418</v>
      </c>
      <c r="D6" s="1275" t="s">
        <v>582</v>
      </c>
      <c r="E6" s="1276" t="s">
        <v>583</v>
      </c>
      <c r="F6" s="1275">
        <v>1</v>
      </c>
      <c r="G6" s="1275">
        <v>98.4</v>
      </c>
      <c r="H6" s="1275">
        <v>98.4</v>
      </c>
      <c r="I6" s="1275">
        <v>1.6</v>
      </c>
      <c r="J6" s="1275" t="s">
        <v>577</v>
      </c>
      <c r="K6" s="1275">
        <v>2022</v>
      </c>
      <c r="L6" s="1276" t="s">
        <v>665</v>
      </c>
      <c r="M6" s="1276" t="s">
        <v>574</v>
      </c>
      <c r="N6" s="4" t="s">
        <v>584</v>
      </c>
      <c r="O6" s="1275"/>
    </row>
    <row r="7" spans="1:15" ht="14" x14ac:dyDescent="0.3">
      <c r="A7" s="1275" t="s">
        <v>575</v>
      </c>
      <c r="B7" s="1275" t="s">
        <v>581</v>
      </c>
      <c r="C7" s="1275" t="s">
        <v>527</v>
      </c>
      <c r="D7" s="1275" t="s">
        <v>594</v>
      </c>
      <c r="E7" s="1276" t="s">
        <v>595</v>
      </c>
      <c r="F7" s="1275">
        <v>1</v>
      </c>
      <c r="G7" s="1275">
        <v>64.2</v>
      </c>
      <c r="H7" s="1275">
        <v>59.9</v>
      </c>
      <c r="I7" s="1275">
        <v>0.8</v>
      </c>
      <c r="J7" s="1275" t="s">
        <v>572</v>
      </c>
      <c r="K7" s="1275">
        <v>2022</v>
      </c>
      <c r="L7" s="1276" t="s">
        <v>665</v>
      </c>
      <c r="M7" s="1276" t="s">
        <v>574</v>
      </c>
      <c r="N7" s="1275" t="s">
        <v>596</v>
      </c>
    </row>
    <row r="8" spans="1:15" ht="14" x14ac:dyDescent="0.3">
      <c r="A8" s="1275" t="s">
        <v>575</v>
      </c>
      <c r="B8" s="1275" t="s">
        <v>581</v>
      </c>
      <c r="C8" s="1275" t="s">
        <v>555</v>
      </c>
      <c r="D8" s="1275" t="s">
        <v>607</v>
      </c>
      <c r="E8" s="1278" t="s">
        <v>608</v>
      </c>
      <c r="F8" s="1275">
        <v>5</v>
      </c>
      <c r="G8" s="1275">
        <v>414</v>
      </c>
      <c r="H8" s="1275">
        <v>82.8</v>
      </c>
      <c r="I8" s="1275">
        <v>0.24</v>
      </c>
      <c r="J8" s="1275" t="s">
        <v>577</v>
      </c>
      <c r="K8" s="1275">
        <v>2022</v>
      </c>
      <c r="L8" s="1276" t="s">
        <v>665</v>
      </c>
      <c r="M8" s="1276" t="s">
        <v>574</v>
      </c>
      <c r="N8" s="4" t="s">
        <v>578</v>
      </c>
    </row>
    <row r="9" spans="1:15" ht="14" x14ac:dyDescent="0.3">
      <c r="A9" s="1275" t="s">
        <v>575</v>
      </c>
      <c r="B9" s="1287" t="s">
        <v>581</v>
      </c>
      <c r="C9" s="1275" t="s">
        <v>615</v>
      </c>
      <c r="D9" s="1275" t="s">
        <v>613</v>
      </c>
      <c r="E9" s="1275" t="s">
        <v>614</v>
      </c>
      <c r="F9" s="1275">
        <v>1</v>
      </c>
      <c r="G9" s="1275">
        <v>127.1</v>
      </c>
      <c r="H9" s="1279">
        <v>127.1</v>
      </c>
      <c r="I9" s="1300">
        <v>1.6</v>
      </c>
      <c r="J9" s="1275" t="s">
        <v>572</v>
      </c>
      <c r="K9" s="1275">
        <v>2020</v>
      </c>
      <c r="L9" s="1276" t="s">
        <v>665</v>
      </c>
      <c r="M9" s="4" t="s">
        <v>574</v>
      </c>
      <c r="N9" s="1275" t="s">
        <v>578</v>
      </c>
    </row>
    <row r="10" spans="1:15" ht="14" x14ac:dyDescent="0.3">
      <c r="A10" s="1275" t="s">
        <v>575</v>
      </c>
      <c r="B10" s="1275" t="s">
        <v>579</v>
      </c>
      <c r="C10" s="1275" t="s">
        <v>590</v>
      </c>
      <c r="D10" s="1275" t="s">
        <v>591</v>
      </c>
      <c r="E10" s="1276" t="s">
        <v>592</v>
      </c>
      <c r="F10" s="1275">
        <v>1</v>
      </c>
      <c r="G10" s="1275">
        <v>33.35</v>
      </c>
      <c r="H10" s="1275">
        <v>33.35</v>
      </c>
      <c r="I10" s="1275">
        <f>5/3</f>
        <v>1.6666666666666667</v>
      </c>
      <c r="J10" s="1275" t="s">
        <v>577</v>
      </c>
      <c r="K10" s="1275">
        <v>2020</v>
      </c>
      <c r="L10" s="1276" t="s">
        <v>573</v>
      </c>
      <c r="M10" s="1276" t="s">
        <v>574</v>
      </c>
      <c r="N10" s="1275" t="s">
        <v>593</v>
      </c>
    </row>
    <row r="11" spans="1:15" ht="14" x14ac:dyDescent="0.3">
      <c r="A11" s="1275" t="s">
        <v>575</v>
      </c>
      <c r="B11" s="1275" t="s">
        <v>579</v>
      </c>
      <c r="C11" s="4" t="s">
        <v>666</v>
      </c>
      <c r="D11" s="1275" t="s">
        <v>604</v>
      </c>
      <c r="E11" s="1278" t="s">
        <v>667</v>
      </c>
      <c r="F11" s="1275">
        <v>5</v>
      </c>
      <c r="G11" s="1275">
        <v>135</v>
      </c>
      <c r="H11" s="1275">
        <f>135/5</f>
        <v>27</v>
      </c>
      <c r="I11" s="1275">
        <f>7.5/3</f>
        <v>2.5</v>
      </c>
      <c r="J11" s="1275" t="s">
        <v>577</v>
      </c>
      <c r="K11" s="1275">
        <v>2020</v>
      </c>
      <c r="L11" s="1276" t="s">
        <v>665</v>
      </c>
      <c r="M11" s="1276" t="s">
        <v>574</v>
      </c>
      <c r="N11" s="4" t="s">
        <v>576</v>
      </c>
    </row>
    <row r="12" spans="1:15" ht="14" x14ac:dyDescent="0.3">
      <c r="A12" s="1287" t="s">
        <v>575</v>
      </c>
      <c r="B12" s="1287" t="s">
        <v>571</v>
      </c>
      <c r="C12" s="1275" t="s">
        <v>600</v>
      </c>
      <c r="D12" s="1275" t="s">
        <v>601</v>
      </c>
      <c r="E12" s="1277" t="s">
        <v>602</v>
      </c>
      <c r="F12" s="1275">
        <v>1</v>
      </c>
      <c r="G12" s="1275">
        <v>189.9</v>
      </c>
      <c r="H12" s="1275">
        <v>189.9</v>
      </c>
      <c r="I12" s="1275">
        <v>0.32</v>
      </c>
      <c r="J12" s="1275" t="s">
        <v>572</v>
      </c>
      <c r="K12" s="1275">
        <v>2020</v>
      </c>
      <c r="L12" s="1276" t="s">
        <v>580</v>
      </c>
      <c r="M12" s="1276" t="s">
        <v>603</v>
      </c>
      <c r="N12" s="4" t="s">
        <v>599</v>
      </c>
    </row>
    <row r="13" spans="1:15" ht="14" x14ac:dyDescent="0.3">
      <c r="A13" s="1275" t="s">
        <v>575</v>
      </c>
      <c r="B13" s="1275" t="s">
        <v>571</v>
      </c>
      <c r="C13" s="1275" t="s">
        <v>609</v>
      </c>
      <c r="D13" s="1275" t="s">
        <v>610</v>
      </c>
      <c r="E13" s="1278" t="s">
        <v>611</v>
      </c>
      <c r="F13" s="1275">
        <v>1</v>
      </c>
      <c r="G13" s="1275">
        <v>428.5</v>
      </c>
      <c r="H13" s="1275">
        <v>428.5</v>
      </c>
      <c r="I13" s="1275">
        <v>0.27</v>
      </c>
      <c r="J13" s="1275" t="s">
        <v>572</v>
      </c>
      <c r="K13" s="1275">
        <v>2020</v>
      </c>
      <c r="L13" s="1276" t="s">
        <v>580</v>
      </c>
      <c r="M13" s="1276" t="s">
        <v>603</v>
      </c>
      <c r="N13" s="4" t="s">
        <v>612</v>
      </c>
    </row>
    <row r="14" spans="1:15" ht="14" x14ac:dyDescent="0.3">
      <c r="A14" s="1275" t="s">
        <v>575</v>
      </c>
      <c r="B14" s="1275" t="s">
        <v>623</v>
      </c>
      <c r="C14" s="1275" t="s">
        <v>556</v>
      </c>
      <c r="D14" s="1275" t="s">
        <v>597</v>
      </c>
      <c r="E14" s="1277" t="s">
        <v>598</v>
      </c>
      <c r="F14" s="1275">
        <v>0.5</v>
      </c>
      <c r="G14" s="1275">
        <v>146.5</v>
      </c>
      <c r="H14" s="1275">
        <v>293</v>
      </c>
      <c r="I14" s="1275">
        <v>0.32</v>
      </c>
      <c r="J14" s="1275" t="s">
        <v>572</v>
      </c>
      <c r="K14" s="1275">
        <v>2022</v>
      </c>
      <c r="L14" s="1276" t="s">
        <v>573</v>
      </c>
      <c r="M14" s="1276" t="s">
        <v>574</v>
      </c>
      <c r="N14" s="4" t="s">
        <v>576</v>
      </c>
    </row>
    <row r="15" spans="1:15" ht="14" x14ac:dyDescent="0.3">
      <c r="A15" s="1287" t="s">
        <v>575</v>
      </c>
      <c r="B15" s="1275" t="s">
        <v>579</v>
      </c>
      <c r="C15" s="1275" t="s">
        <v>629</v>
      </c>
      <c r="D15" s="1275" t="s">
        <v>630</v>
      </c>
      <c r="E15" s="1277" t="s">
        <v>631</v>
      </c>
      <c r="F15" s="1275">
        <v>10</v>
      </c>
      <c r="G15" s="1275">
        <v>227.5</v>
      </c>
      <c r="H15" s="1279">
        <v>22.75</v>
      </c>
      <c r="I15" s="1300">
        <f>3/3</f>
        <v>1</v>
      </c>
      <c r="J15" s="1275" t="s">
        <v>577</v>
      </c>
      <c r="K15" s="1275">
        <v>2022</v>
      </c>
      <c r="L15" s="1276" t="s">
        <v>632</v>
      </c>
      <c r="N15" s="4" t="s">
        <v>576</v>
      </c>
    </row>
    <row r="16" spans="1:15" customFormat="1" ht="14" x14ac:dyDescent="0.3">
      <c r="A16" s="1287" t="s">
        <v>575</v>
      </c>
      <c r="B16" s="1275" t="s">
        <v>581</v>
      </c>
      <c r="C16" s="1275" t="s">
        <v>638</v>
      </c>
      <c r="D16" s="1275" t="s">
        <v>639</v>
      </c>
      <c r="E16" s="1276" t="s">
        <v>640</v>
      </c>
      <c r="F16" s="1275">
        <v>1</v>
      </c>
      <c r="G16" s="1275">
        <v>387</v>
      </c>
      <c r="H16" s="1275">
        <v>387</v>
      </c>
      <c r="I16" s="1275">
        <v>0.32</v>
      </c>
      <c r="J16" s="1275" t="s">
        <v>577</v>
      </c>
      <c r="K16" s="1275">
        <v>2022</v>
      </c>
      <c r="L16" s="1276" t="s">
        <v>573</v>
      </c>
      <c r="M16" s="1276" t="s">
        <v>574</v>
      </c>
      <c r="N16" s="1275" t="s">
        <v>576</v>
      </c>
      <c r="O16" s="1"/>
    </row>
    <row r="17" spans="1:14" ht="14" x14ac:dyDescent="0.3">
      <c r="A17" s="1287" t="s">
        <v>575</v>
      </c>
      <c r="B17" s="1275" t="s">
        <v>581</v>
      </c>
      <c r="C17" s="1275" t="s">
        <v>641</v>
      </c>
      <c r="D17" s="1275" t="s">
        <v>642</v>
      </c>
      <c r="E17" s="1276" t="s">
        <v>643</v>
      </c>
      <c r="F17" s="1275">
        <v>10</v>
      </c>
      <c r="G17" s="1275">
        <v>174</v>
      </c>
      <c r="H17" s="1275">
        <v>17.399999999999999</v>
      </c>
      <c r="I17" s="1275">
        <v>6.9</v>
      </c>
      <c r="J17" s="1275" t="s">
        <v>572</v>
      </c>
      <c r="K17" s="1275">
        <v>2022</v>
      </c>
      <c r="L17" s="1276" t="s">
        <v>644</v>
      </c>
      <c r="M17" s="1276" t="s">
        <v>645</v>
      </c>
      <c r="N17" s="1275" t="s">
        <v>576</v>
      </c>
    </row>
    <row r="18" spans="1:14" ht="14" x14ac:dyDescent="0.3">
      <c r="A18" s="1287" t="s">
        <v>575</v>
      </c>
      <c r="B18" s="1275" t="s">
        <v>581</v>
      </c>
      <c r="C18" s="1275" t="s">
        <v>646</v>
      </c>
      <c r="D18" s="1275" t="s">
        <v>647</v>
      </c>
      <c r="E18" s="1276" t="s">
        <v>648</v>
      </c>
      <c r="F18" s="1275">
        <v>1</v>
      </c>
      <c r="G18" s="1275">
        <v>226</v>
      </c>
      <c r="H18" s="1275">
        <v>226</v>
      </c>
      <c r="I18" s="1275">
        <v>0.24</v>
      </c>
      <c r="J18" s="1275" t="s">
        <v>572</v>
      </c>
      <c r="K18" s="1275">
        <v>2022</v>
      </c>
      <c r="L18" s="1276" t="s">
        <v>573</v>
      </c>
      <c r="M18" s="1276" t="s">
        <v>574</v>
      </c>
      <c r="N18" s="1275" t="s">
        <v>576</v>
      </c>
    </row>
    <row r="19" spans="1:14" ht="14" x14ac:dyDescent="0.3">
      <c r="A19" s="1287" t="s">
        <v>575</v>
      </c>
      <c r="B19" s="1275" t="s">
        <v>571</v>
      </c>
      <c r="C19" s="1275" t="s">
        <v>649</v>
      </c>
      <c r="D19" s="1275" t="s">
        <v>650</v>
      </c>
      <c r="E19" s="1276" t="s">
        <v>651</v>
      </c>
      <c r="F19" s="1275">
        <v>1</v>
      </c>
      <c r="G19" s="1275">
        <v>112.4</v>
      </c>
      <c r="H19" s="1275">
        <v>112.4</v>
      </c>
      <c r="I19" s="1275">
        <v>2</v>
      </c>
      <c r="J19" s="1275" t="s">
        <v>577</v>
      </c>
      <c r="K19" s="1275">
        <v>2022</v>
      </c>
      <c r="L19" s="1276" t="s">
        <v>573</v>
      </c>
      <c r="M19" s="1276" t="s">
        <v>574</v>
      </c>
      <c r="N19" s="1275" t="s">
        <v>652</v>
      </c>
    </row>
    <row r="20" spans="1:14" ht="14" x14ac:dyDescent="0.3">
      <c r="A20" s="1287" t="s">
        <v>575</v>
      </c>
      <c r="B20" s="1275" t="s">
        <v>571</v>
      </c>
      <c r="C20" s="1275" t="s">
        <v>653</v>
      </c>
      <c r="D20" s="1275" t="s">
        <v>654</v>
      </c>
      <c r="E20" s="1277" t="s">
        <v>655</v>
      </c>
      <c r="F20" s="1275">
        <v>0.5</v>
      </c>
      <c r="G20" s="1275">
        <v>288</v>
      </c>
      <c r="H20" s="1275">
        <v>576</v>
      </c>
      <c r="I20" s="1275">
        <v>0.32</v>
      </c>
      <c r="J20" s="1275" t="s">
        <v>577</v>
      </c>
      <c r="K20" s="1275">
        <v>2022</v>
      </c>
      <c r="L20" s="1276" t="s">
        <v>573</v>
      </c>
      <c r="M20" s="1276" t="s">
        <v>574</v>
      </c>
      <c r="N20" s="4" t="s">
        <v>576</v>
      </c>
    </row>
    <row r="21" spans="1:14" ht="14" x14ac:dyDescent="0.3">
      <c r="A21" s="1287" t="s">
        <v>575</v>
      </c>
      <c r="B21" s="1309" t="s">
        <v>571</v>
      </c>
      <c r="C21" s="1281" t="s">
        <v>656</v>
      </c>
      <c r="D21" s="1280" t="s">
        <v>657</v>
      </c>
      <c r="E21" s="1277" t="s">
        <v>658</v>
      </c>
      <c r="F21" s="1275">
        <v>25</v>
      </c>
      <c r="G21" s="1275">
        <v>84.8</v>
      </c>
      <c r="H21" s="1275">
        <v>3.39</v>
      </c>
      <c r="I21" s="1275">
        <v>8</v>
      </c>
      <c r="J21" s="1275" t="s">
        <v>572</v>
      </c>
      <c r="K21" s="1275">
        <v>2022</v>
      </c>
      <c r="L21" s="1276" t="s">
        <v>573</v>
      </c>
      <c r="M21" s="1286" t="s">
        <v>574</v>
      </c>
      <c r="N21" s="1280" t="s">
        <v>576</v>
      </c>
    </row>
    <row r="22" spans="1:14" ht="14" x14ac:dyDescent="0.3">
      <c r="A22" s="1292" t="s">
        <v>575</v>
      </c>
      <c r="B22" s="1292" t="s">
        <v>571</v>
      </c>
      <c r="C22" s="1281" t="s">
        <v>659</v>
      </c>
      <c r="D22" s="1280" t="s">
        <v>660</v>
      </c>
      <c r="E22" s="1281" t="s">
        <v>576</v>
      </c>
      <c r="F22" s="1275">
        <v>20</v>
      </c>
      <c r="G22" s="1275">
        <v>95.4</v>
      </c>
      <c r="H22" s="1275">
        <v>6.51</v>
      </c>
      <c r="I22" s="1275">
        <v>32</v>
      </c>
      <c r="J22" s="1275" t="s">
        <v>577</v>
      </c>
      <c r="K22" s="1275">
        <v>2022</v>
      </c>
      <c r="L22" s="1276" t="s">
        <v>580</v>
      </c>
      <c r="M22" s="1286" t="s">
        <v>661</v>
      </c>
      <c r="N22" s="1280" t="s">
        <v>576</v>
      </c>
    </row>
    <row r="23" spans="1:14" ht="14" x14ac:dyDescent="0.3">
      <c r="A23" s="1287" t="s">
        <v>575</v>
      </c>
      <c r="B23" s="1275" t="s">
        <v>579</v>
      </c>
      <c r="C23" s="1275" t="s">
        <v>662</v>
      </c>
      <c r="D23" s="1275" t="s">
        <v>604</v>
      </c>
      <c r="E23" s="1276" t="s">
        <v>663</v>
      </c>
      <c r="F23" s="1275">
        <v>1</v>
      </c>
      <c r="G23" s="1275">
        <v>34.9</v>
      </c>
      <c r="H23" s="1275">
        <v>34.9</v>
      </c>
      <c r="I23" s="1275">
        <v>6</v>
      </c>
      <c r="J23" s="1275" t="s">
        <v>577</v>
      </c>
      <c r="K23" s="1275">
        <v>2022</v>
      </c>
      <c r="L23" s="1276" t="s">
        <v>665</v>
      </c>
      <c r="M23" s="1276"/>
      <c r="N23" s="1280" t="s">
        <v>576</v>
      </c>
    </row>
    <row r="24" spans="1:14" ht="14" x14ac:dyDescent="0.3">
      <c r="A24" s="1287" t="s">
        <v>575</v>
      </c>
      <c r="B24" s="1275" t="s">
        <v>624</v>
      </c>
      <c r="C24" s="1275" t="s">
        <v>664</v>
      </c>
      <c r="D24" s="1275"/>
      <c r="E24" s="1276"/>
      <c r="F24" s="1275">
        <v>5</v>
      </c>
      <c r="G24" s="1275">
        <v>127</v>
      </c>
      <c r="H24" s="1275">
        <v>25.4</v>
      </c>
      <c r="I24" s="1275">
        <v>2</v>
      </c>
      <c r="J24" s="1275" t="s">
        <v>577</v>
      </c>
      <c r="K24" s="1275">
        <v>2022</v>
      </c>
      <c r="L24" s="1276" t="s">
        <v>665</v>
      </c>
      <c r="M24" s="1276"/>
      <c r="N24" s="4" t="s">
        <v>576</v>
      </c>
    </row>
    <row r="25" spans="1:14" ht="14" x14ac:dyDescent="0.3">
      <c r="A25" s="1275"/>
      <c r="B25" s="1287"/>
      <c r="C25"/>
      <c r="D25" s="1275"/>
      <c r="E25" s="1276"/>
      <c r="F25" s="1275"/>
      <c r="G25" s="1275"/>
      <c r="H25" s="1275"/>
      <c r="I25" s="1275"/>
      <c r="J25" s="1275"/>
      <c r="K25" s="1275"/>
      <c r="L25" s="1276"/>
      <c r="M25" s="1276"/>
      <c r="N25" s="107"/>
    </row>
    <row r="26" spans="1:14" ht="14" x14ac:dyDescent="0.3">
      <c r="A26" s="1275"/>
      <c r="B26" s="1275"/>
      <c r="C26"/>
      <c r="D26" s="1275"/>
      <c r="E26" s="1276"/>
      <c r="F26" s="1275"/>
      <c r="G26" s="1275"/>
      <c r="H26" s="1275"/>
      <c r="I26" s="1275"/>
      <c r="J26" s="1275"/>
      <c r="K26" s="1275"/>
      <c r="L26" s="1276"/>
      <c r="M26" s="1276"/>
      <c r="N26" s="1275"/>
    </row>
    <row r="27" spans="1:14" ht="14" x14ac:dyDescent="0.3">
      <c r="A27" s="1275"/>
      <c r="B27" s="1275"/>
      <c r="C27"/>
      <c r="D27" s="1275"/>
      <c r="E27" s="1278"/>
      <c r="F27" s="1275"/>
      <c r="G27" s="1275"/>
      <c r="H27" s="1275"/>
      <c r="I27" s="1275"/>
      <c r="J27" s="1275"/>
      <c r="K27" s="1275"/>
      <c r="L27" s="1278"/>
      <c r="M27" s="1278"/>
      <c r="N27" s="4"/>
    </row>
    <row r="28" spans="1:14" ht="14" x14ac:dyDescent="0.3">
      <c r="A28" s="1275"/>
      <c r="B28" s="1275"/>
      <c r="C28"/>
      <c r="D28" s="1275"/>
      <c r="E28" s="1278"/>
      <c r="F28" s="1275"/>
      <c r="G28" s="1275"/>
      <c r="H28" s="1275"/>
      <c r="I28" s="1275"/>
      <c r="J28" s="1275"/>
      <c r="K28" s="1275"/>
      <c r="L28" s="1278"/>
      <c r="M28" s="1278"/>
      <c r="N28" s="4"/>
    </row>
    <row r="29" spans="1:14" ht="14" x14ac:dyDescent="0.3">
      <c r="A29" s="1275"/>
      <c r="B29" s="1275"/>
      <c r="C29"/>
      <c r="D29" s="1275"/>
      <c r="E29" s="1278"/>
      <c r="F29" s="1275"/>
      <c r="G29" s="1275"/>
      <c r="H29" s="1275"/>
      <c r="I29" s="1275"/>
      <c r="J29" s="1275"/>
      <c r="K29" s="1275"/>
      <c r="L29" s="1278"/>
      <c r="M29" s="1278"/>
      <c r="N29" s="1275"/>
    </row>
    <row r="30" spans="1:14" ht="14" x14ac:dyDescent="0.3">
      <c r="A30" s="1275"/>
      <c r="B30" s="1275"/>
      <c r="C30"/>
      <c r="D30" s="1275"/>
      <c r="F30" s="1275"/>
      <c r="G30" s="1275"/>
      <c r="H30" s="1275"/>
      <c r="I30" s="1275"/>
      <c r="J30" s="1275"/>
      <c r="K30" s="1275"/>
      <c r="L30" s="1278"/>
      <c r="M30" s="1278"/>
      <c r="N30" s="1275"/>
    </row>
    <row r="31" spans="1:14" ht="14" x14ac:dyDescent="0.3">
      <c r="A31" s="1287"/>
      <c r="B31" s="1287"/>
      <c r="C31"/>
      <c r="D31" s="1275"/>
      <c r="E31" s="1278"/>
      <c r="F31" s="1275"/>
      <c r="G31" s="1275"/>
      <c r="H31" s="1275"/>
      <c r="I31" s="1275"/>
      <c r="J31" s="1275"/>
      <c r="K31" s="1275"/>
      <c r="L31" s="1278"/>
      <c r="M31" s="1278"/>
      <c r="N31" s="1280"/>
    </row>
    <row r="32" spans="1:14" ht="14" x14ac:dyDescent="0.3">
      <c r="A32" s="1275"/>
      <c r="B32" s="1275"/>
      <c r="C32"/>
      <c r="D32" s="1275"/>
      <c r="E32" s="1276"/>
      <c r="F32" s="1275"/>
      <c r="G32" s="1275"/>
      <c r="H32" s="1275"/>
      <c r="I32" s="1275"/>
      <c r="J32" s="1275"/>
      <c r="K32" s="1275"/>
      <c r="L32" s="1276"/>
      <c r="M32" s="1276"/>
      <c r="N32" s="4"/>
    </row>
    <row r="33" spans="1:15" ht="14" x14ac:dyDescent="0.3">
      <c r="A33" s="1275"/>
      <c r="B33" s="1275"/>
      <c r="C33" s="1275"/>
      <c r="D33" s="1275"/>
      <c r="E33" s="1276"/>
      <c r="F33" s="1275"/>
      <c r="G33" s="1275"/>
      <c r="H33" s="1275"/>
      <c r="I33" s="1275"/>
      <c r="J33" s="1275"/>
      <c r="K33" s="1275"/>
      <c r="L33" s="1276"/>
      <c r="M33" s="1276"/>
      <c r="N33" s="4"/>
    </row>
    <row r="34" spans="1:15" ht="14" x14ac:dyDescent="0.3">
      <c r="A34" s="1280"/>
      <c r="B34" s="1281"/>
      <c r="C34" s="1281"/>
      <c r="D34" s="1280"/>
      <c r="E34" s="1281"/>
      <c r="F34" s="1281"/>
      <c r="G34" s="1281"/>
      <c r="H34" s="1283"/>
      <c r="I34" s="1283"/>
      <c r="J34" s="1280"/>
      <c r="K34" s="1280"/>
      <c r="L34" s="1276"/>
      <c r="M34" s="1284"/>
      <c r="N34" s="1280"/>
    </row>
    <row r="35" spans="1:15" ht="14" x14ac:dyDescent="0.3">
      <c r="A35" s="1280"/>
      <c r="B35" s="1281"/>
      <c r="C35" s="1281"/>
      <c r="D35" s="1280"/>
      <c r="E35" s="1281"/>
      <c r="F35" s="1281"/>
      <c r="G35" s="1281"/>
      <c r="H35" s="1282"/>
      <c r="I35" s="1283"/>
      <c r="J35" s="1280"/>
      <c r="K35" s="1280"/>
      <c r="L35" s="1278"/>
      <c r="M35" s="1284"/>
      <c r="N35" s="1280"/>
    </row>
    <row r="36" spans="1:15" ht="14" x14ac:dyDescent="0.3">
      <c r="A36" s="1275"/>
      <c r="B36" s="1275"/>
      <c r="C36" s="1275"/>
      <c r="D36" s="1275"/>
      <c r="E36" s="1278"/>
      <c r="F36" s="1275"/>
      <c r="G36" s="1275"/>
      <c r="H36" s="1275"/>
      <c r="I36" s="1275"/>
      <c r="J36" s="1275"/>
      <c r="K36" s="1275"/>
      <c r="L36" s="1276"/>
      <c r="M36" s="1276"/>
      <c r="N36" s="4"/>
    </row>
    <row r="37" spans="1:15" ht="14" x14ac:dyDescent="0.3">
      <c r="A37" s="1275"/>
      <c r="B37" s="1275"/>
      <c r="C37" s="1275"/>
      <c r="D37" s="1275"/>
      <c r="E37" s="1276"/>
      <c r="F37" s="1275"/>
      <c r="G37" s="1275"/>
      <c r="H37" s="1275"/>
      <c r="I37" s="1275"/>
      <c r="J37" s="1275"/>
      <c r="K37" s="1275"/>
      <c r="L37" s="1276"/>
      <c r="M37" s="1276"/>
      <c r="N37" s="4"/>
    </row>
    <row r="38" spans="1:15" ht="14" x14ac:dyDescent="0.3">
      <c r="A38" s="1287"/>
      <c r="B38" s="1275"/>
      <c r="C38" s="1275"/>
      <c r="D38" s="1275"/>
      <c r="E38" s="1276"/>
      <c r="F38" s="1275"/>
      <c r="G38" s="1275"/>
      <c r="H38" s="1275"/>
      <c r="I38" s="1275"/>
      <c r="J38" s="1275"/>
      <c r="K38" s="1275"/>
      <c r="L38" s="1276"/>
      <c r="M38" s="1276"/>
      <c r="N38" s="1275"/>
    </row>
    <row r="39" spans="1:15" ht="14" x14ac:dyDescent="0.3">
      <c r="A39" s="1275"/>
      <c r="B39" s="1275"/>
      <c r="C39" s="1275"/>
      <c r="D39" s="1275"/>
      <c r="E39" s="1276"/>
      <c r="F39" s="1275"/>
      <c r="G39" s="1275"/>
      <c r="H39" s="1275"/>
      <c r="I39" s="1275"/>
      <c r="J39" s="1275"/>
      <c r="K39" s="1275"/>
      <c r="L39" s="1276"/>
      <c r="M39" s="1276"/>
      <c r="N39" s="4"/>
    </row>
    <row r="40" spans="1:15" ht="14" x14ac:dyDescent="0.3">
      <c r="A40" s="1275"/>
      <c r="B40" s="1275"/>
      <c r="C40" s="1275"/>
      <c r="D40" s="1275"/>
      <c r="E40" s="1276"/>
      <c r="F40" s="1275"/>
      <c r="G40" s="1275"/>
      <c r="H40" s="1275"/>
      <c r="I40" s="1275"/>
      <c r="J40" s="1275"/>
      <c r="K40" s="1275"/>
      <c r="L40" s="1276"/>
      <c r="M40" s="1276"/>
      <c r="N40" s="4"/>
    </row>
    <row r="41" spans="1:15" ht="14" x14ac:dyDescent="0.3">
      <c r="A41" s="1275"/>
      <c r="B41" s="1275"/>
      <c r="C41" s="1275"/>
      <c r="D41" s="1275"/>
      <c r="E41" s="1285"/>
      <c r="F41" s="1275"/>
      <c r="G41" s="1275"/>
      <c r="H41" s="1275"/>
      <c r="I41" s="1275"/>
      <c r="J41" s="1275"/>
      <c r="K41" s="1275"/>
      <c r="L41" s="1278"/>
      <c r="M41" s="1278"/>
      <c r="N41" s="107"/>
    </row>
    <row r="42" spans="1:15" ht="14" x14ac:dyDescent="0.3">
      <c r="A42" s="1275"/>
      <c r="B42" s="1275"/>
      <c r="C42" s="1275"/>
      <c r="D42" s="1275"/>
      <c r="E42" s="1276"/>
      <c r="F42" s="1275"/>
      <c r="G42" s="1275"/>
      <c r="H42" s="1275"/>
      <c r="I42" s="1275"/>
      <c r="J42" s="1275"/>
      <c r="K42" s="1275"/>
      <c r="L42" s="1276"/>
      <c r="M42" s="1276"/>
      <c r="N42" s="1275"/>
    </row>
    <row r="43" spans="1:15" ht="14" x14ac:dyDescent="0.3">
      <c r="A43" s="1275"/>
      <c r="B43" s="1275"/>
      <c r="C43" s="1275"/>
      <c r="D43" s="1275"/>
      <c r="E43" s="1276"/>
      <c r="F43" s="1275"/>
      <c r="G43" s="1275"/>
      <c r="H43" s="1275"/>
      <c r="I43" s="1275"/>
      <c r="J43" s="1275"/>
      <c r="K43" s="1275"/>
      <c r="L43" s="1276"/>
      <c r="M43" s="1276"/>
      <c r="N43" s="1275"/>
    </row>
    <row r="44" spans="1:15" ht="14" x14ac:dyDescent="0.3">
      <c r="A44" s="1287"/>
      <c r="B44" s="1275"/>
      <c r="C44" s="1275"/>
      <c r="D44" s="1275"/>
      <c r="E44" s="1276"/>
      <c r="F44" s="1275"/>
      <c r="G44" s="1275"/>
      <c r="H44" s="1275"/>
      <c r="I44" s="1275"/>
      <c r="J44" s="1275"/>
      <c r="K44" s="1275"/>
      <c r="L44" s="1276"/>
      <c r="M44" s="1276"/>
      <c r="N44" s="1275"/>
    </row>
    <row r="45" spans="1:15" ht="14" x14ac:dyDescent="0.3">
      <c r="A45" s="1275"/>
      <c r="B45" s="1275"/>
      <c r="C45" s="1275"/>
      <c r="D45" s="1275"/>
      <c r="E45" s="1278"/>
      <c r="F45" s="1275"/>
      <c r="G45" s="1275"/>
      <c r="H45" s="1275"/>
      <c r="I45" s="1275"/>
      <c r="J45" s="1275"/>
      <c r="K45" s="1275"/>
      <c r="L45" s="1276"/>
      <c r="M45" s="1276"/>
      <c r="N45" s="4"/>
      <c r="O45" s="4"/>
    </row>
    <row r="46" spans="1:15" ht="14" x14ac:dyDescent="0.3">
      <c r="A46" s="1275"/>
      <c r="B46" s="1275"/>
      <c r="C46" s="1275"/>
      <c r="D46" s="1275"/>
      <c r="E46" s="1278"/>
      <c r="F46" s="1275"/>
      <c r="G46" s="1275"/>
      <c r="H46" s="1275"/>
      <c r="I46" s="1275"/>
      <c r="J46" s="1275"/>
      <c r="K46" s="1275"/>
      <c r="L46" s="1276"/>
      <c r="M46" s="1276"/>
      <c r="N46" s="4"/>
      <c r="O46" s="4"/>
    </row>
    <row r="47" spans="1:15" ht="14" x14ac:dyDescent="0.3">
      <c r="A47" s="1275"/>
      <c r="B47" s="1275"/>
      <c r="C47" s="1275"/>
      <c r="D47" s="1275"/>
      <c r="E47" s="1289"/>
      <c r="F47" s="1275"/>
      <c r="G47" s="1275"/>
      <c r="H47" s="1275"/>
      <c r="I47" s="1300"/>
      <c r="J47" s="1275"/>
      <c r="K47" s="1275"/>
      <c r="L47" s="1276"/>
      <c r="M47" s="1276"/>
      <c r="N47" s="4"/>
    </row>
    <row r="48" spans="1:15" ht="14" x14ac:dyDescent="0.3">
      <c r="A48" s="1287"/>
      <c r="B48" s="1275"/>
      <c r="C48" s="1275"/>
      <c r="D48" s="1275"/>
      <c r="E48" s="1289"/>
      <c r="F48" s="1275"/>
      <c r="G48" s="1275"/>
      <c r="H48" s="1275"/>
      <c r="I48" s="1300"/>
      <c r="J48" s="1275"/>
      <c r="K48" s="1275"/>
      <c r="L48" s="1276"/>
      <c r="M48" s="1276"/>
      <c r="N48" s="4"/>
    </row>
    <row r="49" spans="1:15" ht="14" x14ac:dyDescent="0.3">
      <c r="A49" s="1275"/>
      <c r="B49" s="1275"/>
      <c r="C49" s="1275"/>
      <c r="D49" s="1275"/>
      <c r="E49" s="1289"/>
      <c r="F49" s="1275"/>
      <c r="G49" s="1275"/>
      <c r="H49" s="1275"/>
      <c r="I49" s="1300"/>
      <c r="J49" s="1275"/>
      <c r="K49" s="1275"/>
      <c r="L49" s="1276"/>
      <c r="M49" s="1276"/>
      <c r="N49" s="4"/>
      <c r="O49" s="1280"/>
    </row>
    <row r="50" spans="1:15" ht="14" x14ac:dyDescent="0.3">
      <c r="A50" s="1280"/>
      <c r="B50" s="1287"/>
      <c r="C50" s="1281"/>
      <c r="D50" s="1280"/>
      <c r="E50" s="1301"/>
      <c r="F50" s="1281"/>
      <c r="G50" s="1281"/>
      <c r="H50" s="1283"/>
      <c r="I50" s="1283"/>
      <c r="J50" s="1280"/>
      <c r="K50" s="1280"/>
      <c r="L50" s="1276"/>
      <c r="M50" s="1286"/>
      <c r="N50" s="1280"/>
    </row>
    <row r="51" spans="1:15" x14ac:dyDescent="0.25">
      <c r="A51" s="1275"/>
      <c r="B51" s="1287"/>
      <c r="C51" s="1275"/>
      <c r="D51" s="1275"/>
      <c r="E51" s="1289"/>
      <c r="F51" s="1275"/>
      <c r="G51" s="1275"/>
      <c r="H51" s="1275"/>
      <c r="I51" s="1288"/>
      <c r="J51" s="1275"/>
      <c r="K51" s="1275"/>
      <c r="L51" s="1289"/>
      <c r="M51" s="1289"/>
      <c r="N51" s="1275"/>
    </row>
    <row r="52" spans="1:15" x14ac:dyDescent="0.25">
      <c r="A52" s="1275"/>
      <c r="B52" s="1287"/>
      <c r="C52" s="1275"/>
      <c r="D52" s="1275"/>
      <c r="E52" s="1289"/>
      <c r="F52" s="1275"/>
      <c r="G52" s="1275"/>
      <c r="H52" s="1275"/>
      <c r="I52" s="1288"/>
      <c r="J52" s="1275"/>
      <c r="K52" s="1275"/>
      <c r="L52" s="1289"/>
      <c r="M52" s="1289"/>
      <c r="N52" s="1275"/>
    </row>
    <row r="53" spans="1:15" ht="14" x14ac:dyDescent="0.3">
      <c r="A53" s="1275"/>
      <c r="B53" s="1275"/>
      <c r="C53" s="1275"/>
      <c r="D53" s="1275"/>
      <c r="E53" s="1276"/>
      <c r="F53" s="1275"/>
      <c r="G53" s="1275"/>
      <c r="H53" s="1275"/>
      <c r="I53" s="1275"/>
      <c r="J53" s="1275"/>
      <c r="K53" s="1275"/>
      <c r="L53" s="1276"/>
      <c r="M53" s="1276"/>
      <c r="N53" s="1275"/>
    </row>
    <row r="54" spans="1:15" ht="14" x14ac:dyDescent="0.3">
      <c r="A54" s="1275"/>
      <c r="B54" s="1275"/>
      <c r="C54" s="1275"/>
      <c r="D54" s="1275"/>
      <c r="E54" s="1276"/>
      <c r="F54" s="1275"/>
      <c r="G54" s="1275"/>
      <c r="H54" s="1275"/>
      <c r="I54" s="1275"/>
      <c r="J54" s="1275"/>
      <c r="K54" s="1275"/>
      <c r="L54" s="1276"/>
      <c r="M54" s="1276"/>
      <c r="N54" s="1275"/>
    </row>
    <row r="55" spans="1:15" ht="14" x14ac:dyDescent="0.3">
      <c r="A55" s="1275"/>
      <c r="B55" s="1275"/>
      <c r="C55" s="1275"/>
      <c r="D55" s="1275"/>
      <c r="E55" s="1276"/>
      <c r="F55" s="1275"/>
      <c r="G55" s="1275"/>
      <c r="H55" s="1275"/>
      <c r="I55" s="1300"/>
      <c r="J55" s="1275"/>
      <c r="K55" s="1275"/>
      <c r="L55" s="1276"/>
      <c r="M55" s="1276"/>
      <c r="N55" s="1275"/>
    </row>
    <row r="56" spans="1:15" ht="14" x14ac:dyDescent="0.3">
      <c r="A56" s="1275"/>
      <c r="B56" s="1287"/>
      <c r="C56" s="1275"/>
      <c r="D56" s="1275"/>
      <c r="E56" s="1276"/>
      <c r="F56" s="1275"/>
      <c r="G56" s="1275"/>
      <c r="H56" s="1275"/>
      <c r="I56" s="1300"/>
      <c r="J56" s="1275"/>
      <c r="K56" s="1275"/>
      <c r="L56" s="1276"/>
      <c r="M56" s="1276"/>
      <c r="N56" s="1275"/>
      <c r="O56" s="1280"/>
    </row>
    <row r="57" spans="1:15" ht="14" x14ac:dyDescent="0.3">
      <c r="A57" s="1275"/>
      <c r="B57" s="1275"/>
      <c r="C57" s="1275"/>
      <c r="D57" s="1275"/>
      <c r="E57" s="1276"/>
      <c r="F57" s="1275"/>
      <c r="G57" s="1275"/>
      <c r="H57" s="1275"/>
      <c r="I57" s="1275"/>
      <c r="J57" s="1275"/>
      <c r="K57" s="1275"/>
      <c r="L57" s="1276"/>
      <c r="M57" s="1276"/>
      <c r="N57" s="1275"/>
    </row>
    <row r="58" spans="1:15" ht="14" x14ac:dyDescent="0.3">
      <c r="A58" s="1275"/>
      <c r="B58" s="1275"/>
      <c r="C58" s="1275"/>
      <c r="D58" s="1275"/>
      <c r="E58" s="1289"/>
      <c r="F58" s="1275"/>
      <c r="G58" s="1275"/>
      <c r="H58" s="1279"/>
      <c r="I58" s="1300"/>
      <c r="J58" s="1275"/>
      <c r="K58" s="1275"/>
      <c r="L58" s="1276"/>
      <c r="M58" s="1276"/>
      <c r="N58" s="4"/>
    </row>
    <row r="59" spans="1:15" ht="14" x14ac:dyDescent="0.3">
      <c r="A59" s="1275"/>
      <c r="B59" s="1275"/>
      <c r="C59" s="1275"/>
      <c r="D59" s="1275"/>
      <c r="E59" s="1276"/>
      <c r="F59" s="1275"/>
      <c r="G59" s="1275"/>
      <c r="H59" s="1275"/>
      <c r="I59" s="1275"/>
      <c r="J59" s="1275"/>
      <c r="K59" s="1275"/>
      <c r="L59" s="1276"/>
      <c r="M59" s="1276"/>
      <c r="N59" s="4"/>
    </row>
    <row r="60" spans="1:15" ht="14" x14ac:dyDescent="0.3">
      <c r="A60" s="1275"/>
      <c r="B60" s="1275"/>
      <c r="C60" s="1275"/>
      <c r="D60" s="1275"/>
      <c r="E60" s="1278"/>
      <c r="F60" s="1275"/>
      <c r="G60" s="1275"/>
      <c r="H60" s="1275"/>
      <c r="I60" s="1275"/>
      <c r="J60" s="1275"/>
      <c r="K60" s="1275"/>
      <c r="L60" s="1278"/>
      <c r="M60" s="1278"/>
      <c r="N60" s="1275"/>
    </row>
    <row r="61" spans="1:15" ht="14" x14ac:dyDescent="0.3">
      <c r="A61" s="1275"/>
      <c r="B61" s="1275"/>
      <c r="C61" s="1275"/>
      <c r="D61" s="1275"/>
      <c r="E61" s="1278"/>
      <c r="F61" s="1275"/>
      <c r="G61" s="1275"/>
      <c r="H61" s="1275"/>
      <c r="I61" s="1275"/>
      <c r="J61" s="1275"/>
      <c r="K61" s="1275"/>
      <c r="L61" s="1278"/>
      <c r="M61" s="1278"/>
      <c r="N61" s="1275"/>
    </row>
    <row r="62" spans="1:15" ht="14" x14ac:dyDescent="0.3">
      <c r="A62" s="1275"/>
      <c r="B62" s="1275"/>
      <c r="C62" s="1275"/>
      <c r="D62" s="1275"/>
      <c r="E62" s="1290"/>
      <c r="F62" s="1275"/>
      <c r="G62" s="1275"/>
      <c r="H62" s="1275"/>
      <c r="I62" s="1275"/>
      <c r="J62" s="1275"/>
      <c r="K62" s="1275"/>
      <c r="L62" s="1276"/>
      <c r="M62" s="1276"/>
      <c r="N62" s="4"/>
      <c r="O62" s="4"/>
    </row>
    <row r="63" spans="1:15" ht="14" x14ac:dyDescent="0.3">
      <c r="A63" s="1275"/>
      <c r="B63" s="1275"/>
      <c r="C63" s="1275"/>
      <c r="D63" s="1275"/>
      <c r="E63" s="1278"/>
      <c r="F63" s="1275"/>
      <c r="G63" s="1275"/>
      <c r="H63" s="1275"/>
      <c r="I63" s="1275"/>
      <c r="J63" s="1275"/>
      <c r="K63" s="1275"/>
      <c r="L63" s="1276"/>
      <c r="M63" s="1276"/>
      <c r="N63" s="4"/>
    </row>
    <row r="64" spans="1:15" ht="14" x14ac:dyDescent="0.3">
      <c r="A64" s="1287"/>
      <c r="B64" s="1287"/>
      <c r="C64" s="1275"/>
      <c r="D64" s="1275"/>
      <c r="E64" s="1289"/>
      <c r="F64" s="1275"/>
      <c r="G64" s="1275"/>
      <c r="H64" s="1275"/>
      <c r="I64" s="1300"/>
      <c r="J64" s="1275"/>
      <c r="K64" s="1275"/>
      <c r="L64" s="1276"/>
      <c r="M64" s="1276"/>
      <c r="N64" s="1275"/>
    </row>
    <row r="65" spans="1:15" ht="14" x14ac:dyDescent="0.3">
      <c r="A65" s="1275"/>
      <c r="B65" s="1275"/>
      <c r="C65" s="1275"/>
      <c r="D65" s="1275"/>
      <c r="E65" s="1276"/>
      <c r="F65" s="1275"/>
      <c r="G65" s="1275"/>
      <c r="H65" s="1275"/>
      <c r="I65" s="1275"/>
      <c r="J65" s="1275"/>
      <c r="K65" s="1275"/>
      <c r="L65" s="1276"/>
      <c r="M65" s="1276"/>
      <c r="N65" s="4"/>
    </row>
    <row r="66" spans="1:15" ht="14" x14ac:dyDescent="0.3">
      <c r="A66" s="1275"/>
      <c r="B66" s="1275"/>
      <c r="C66" s="1275"/>
      <c r="D66" s="1275"/>
      <c r="E66" s="1276"/>
      <c r="F66" s="1275"/>
      <c r="G66" s="1275"/>
      <c r="H66" s="1275"/>
      <c r="I66" s="1275"/>
      <c r="J66" s="1275"/>
      <c r="K66" s="1275"/>
      <c r="L66" s="1276"/>
      <c r="M66" s="1276"/>
      <c r="N66" s="4"/>
    </row>
    <row r="67" spans="1:15" ht="14" x14ac:dyDescent="0.3">
      <c r="A67" s="1275"/>
      <c r="B67" s="1275"/>
      <c r="C67" s="1275"/>
      <c r="D67" s="1275"/>
      <c r="E67" s="1276"/>
      <c r="F67" s="1275"/>
      <c r="G67" s="1275"/>
      <c r="H67" s="1275"/>
      <c r="I67" s="1275"/>
      <c r="J67" s="1275"/>
      <c r="K67" s="1275"/>
      <c r="L67" s="1276"/>
      <c r="M67" s="1276"/>
      <c r="N67" s="1275"/>
    </row>
    <row r="68" spans="1:15" ht="14" x14ac:dyDescent="0.3">
      <c r="A68" s="1287"/>
      <c r="B68" s="1287"/>
      <c r="C68" s="1275"/>
      <c r="D68" s="1275"/>
      <c r="E68" s="1289"/>
      <c r="F68" s="1275"/>
      <c r="G68" s="1275"/>
      <c r="H68" s="1275"/>
      <c r="I68" s="1300"/>
      <c r="J68" s="1275"/>
      <c r="K68" s="1275"/>
      <c r="L68" s="1276"/>
      <c r="M68" s="1276"/>
      <c r="N68" s="1275"/>
    </row>
    <row r="69" spans="1:15" ht="14" x14ac:dyDescent="0.3">
      <c r="A69" s="1275"/>
      <c r="B69" s="1275"/>
      <c r="C69" s="1275"/>
      <c r="D69" s="1275"/>
      <c r="E69" s="1276"/>
      <c r="F69" s="1275"/>
      <c r="G69" s="1275"/>
      <c r="H69" s="1275"/>
      <c r="I69" s="1275"/>
      <c r="J69" s="1275"/>
      <c r="K69" s="1275"/>
      <c r="L69" s="1276"/>
      <c r="M69" s="1276"/>
      <c r="N69" s="4"/>
    </row>
    <row r="70" spans="1:15" ht="14" x14ac:dyDescent="0.3">
      <c r="A70" s="1275"/>
      <c r="B70" s="1275"/>
      <c r="C70" s="1275"/>
      <c r="D70" s="1275"/>
      <c r="E70" s="1276"/>
      <c r="F70" s="1275"/>
      <c r="G70" s="1275"/>
      <c r="H70" s="1275"/>
      <c r="I70" s="1275"/>
      <c r="J70" s="1275"/>
      <c r="K70" s="1275"/>
      <c r="L70" s="1276"/>
      <c r="M70" s="1276"/>
      <c r="N70" s="4"/>
    </row>
    <row r="71" spans="1:15" ht="14" x14ac:dyDescent="0.3">
      <c r="A71" s="1275"/>
      <c r="B71" s="1275"/>
      <c r="C71" s="1275"/>
      <c r="D71" s="1275"/>
      <c r="E71" s="1276"/>
      <c r="F71" s="1275"/>
      <c r="G71" s="1275"/>
      <c r="H71" s="1275"/>
      <c r="I71" s="1275"/>
      <c r="J71" s="1275"/>
      <c r="K71" s="1275"/>
      <c r="L71" s="1276"/>
      <c r="M71" s="1276"/>
      <c r="N71" s="1275"/>
    </row>
    <row r="72" spans="1:15" ht="14" x14ac:dyDescent="0.3">
      <c r="A72" s="1275"/>
      <c r="B72" s="1275"/>
      <c r="C72" s="1275"/>
      <c r="D72" s="1275"/>
      <c r="E72" s="1276"/>
      <c r="F72" s="1275"/>
      <c r="G72" s="1275"/>
      <c r="H72" s="1275"/>
      <c r="I72" s="1275"/>
      <c r="J72" s="1275"/>
      <c r="K72" s="1275"/>
      <c r="L72" s="1276"/>
      <c r="M72" s="1276"/>
      <c r="N72" s="1275"/>
    </row>
    <row r="73" spans="1:15" x14ac:dyDescent="0.25">
      <c r="A73" s="1287"/>
      <c r="B73" s="1287"/>
      <c r="C73" s="1275"/>
      <c r="D73" s="1275"/>
      <c r="F73" s="1275"/>
      <c r="G73" s="1275"/>
      <c r="H73" s="1275"/>
      <c r="I73" s="1275"/>
      <c r="J73" s="1275"/>
      <c r="K73" s="1275"/>
      <c r="N73" s="4"/>
    </row>
    <row r="74" spans="1:15" ht="14" x14ac:dyDescent="0.3">
      <c r="A74" s="1275"/>
      <c r="B74" s="1287"/>
      <c r="C74" s="1275"/>
      <c r="D74" s="1275"/>
      <c r="F74" s="1275"/>
      <c r="G74" s="1275"/>
      <c r="H74" s="1275"/>
      <c r="I74" s="1275"/>
      <c r="J74" s="1275"/>
      <c r="K74" s="405"/>
      <c r="L74" s="405"/>
      <c r="M74" s="405"/>
      <c r="N74" s="4"/>
    </row>
    <row r="75" spans="1:15" ht="14" x14ac:dyDescent="0.3">
      <c r="A75" s="1275"/>
      <c r="B75" s="1275"/>
      <c r="C75" s="1275"/>
      <c r="D75" s="1275"/>
      <c r="E75" s="1278"/>
      <c r="F75" s="1275"/>
      <c r="G75" s="1275"/>
      <c r="H75" s="1275"/>
      <c r="I75" s="1275"/>
      <c r="J75" s="1275"/>
      <c r="K75" s="1275"/>
      <c r="L75" s="1278"/>
      <c r="M75" s="1278"/>
      <c r="N75" s="1275"/>
    </row>
    <row r="76" spans="1:15" ht="14" x14ac:dyDescent="0.3">
      <c r="A76" s="1275"/>
      <c r="B76" s="1275"/>
      <c r="C76" s="1275"/>
      <c r="D76" s="1275"/>
      <c r="E76" s="1278"/>
      <c r="F76" s="1275"/>
      <c r="G76" s="1275"/>
      <c r="H76" s="1275"/>
      <c r="I76" s="1275"/>
      <c r="J76" s="1275"/>
      <c r="K76" s="1275"/>
      <c r="L76" s="1278"/>
      <c r="M76" s="1278"/>
      <c r="N76" s="1275"/>
    </row>
    <row r="77" spans="1:15" ht="14" x14ac:dyDescent="0.3">
      <c r="A77" s="1275"/>
      <c r="B77" s="1275"/>
      <c r="C77" s="1275"/>
      <c r="D77" s="1275"/>
      <c r="E77" s="1278"/>
      <c r="F77" s="1275"/>
      <c r="G77" s="1275"/>
      <c r="H77" s="1275"/>
      <c r="I77" s="1275"/>
      <c r="J77" s="1275"/>
      <c r="K77" s="1275"/>
      <c r="L77" s="1278"/>
      <c r="M77" s="1278"/>
      <c r="N77" s="1275"/>
    </row>
    <row r="78" spans="1:15" ht="14" x14ac:dyDescent="0.3">
      <c r="A78" s="1275"/>
      <c r="B78" s="1275"/>
      <c r="C78" s="1275"/>
      <c r="D78" s="1275"/>
      <c r="E78" s="1278"/>
      <c r="F78" s="1275"/>
      <c r="G78" s="1275"/>
      <c r="H78" s="1275"/>
      <c r="I78" s="1275"/>
      <c r="J78" s="1275"/>
      <c r="K78" s="1275"/>
      <c r="L78" s="1278"/>
      <c r="M78" s="1278"/>
      <c r="N78" s="1275"/>
    </row>
    <row r="79" spans="1:15" ht="14" x14ac:dyDescent="0.3">
      <c r="A79" s="4"/>
      <c r="B79" s="720"/>
      <c r="C79" s="1275"/>
      <c r="D79" s="1275"/>
      <c r="E79" s="1289"/>
      <c r="F79" s="1275"/>
      <c r="G79" s="1275"/>
      <c r="H79" s="1279"/>
      <c r="I79" s="1275"/>
      <c r="J79" s="1275"/>
      <c r="K79" s="1275"/>
      <c r="L79" s="1276"/>
      <c r="M79" s="1276"/>
      <c r="N79" s="1275"/>
      <c r="O79" s="1280"/>
    </row>
    <row r="80" spans="1:15" ht="14" x14ac:dyDescent="0.3">
      <c r="A80" s="1275"/>
      <c r="B80" s="1287"/>
      <c r="C80" s="1275"/>
      <c r="D80" s="1275"/>
      <c r="E80" s="1289"/>
      <c r="F80" s="1275"/>
      <c r="G80" s="1275"/>
      <c r="H80" s="1279"/>
      <c r="I80" s="1275"/>
      <c r="J80" s="1275"/>
      <c r="K80" s="1275"/>
      <c r="L80" s="1276"/>
      <c r="M80" s="1276"/>
      <c r="N80" s="1275"/>
      <c r="O80" s="1280"/>
    </row>
    <row r="81" spans="1:15" ht="14" x14ac:dyDescent="0.3">
      <c r="A81" s="1275"/>
      <c r="B81" s="1275"/>
      <c r="C81" s="1275"/>
      <c r="D81" s="1275"/>
      <c r="E81" s="1278"/>
      <c r="F81" s="1275"/>
      <c r="G81" s="1275"/>
      <c r="H81" s="1275"/>
      <c r="I81" s="1275"/>
      <c r="J81" s="1275"/>
      <c r="K81" s="1275"/>
      <c r="L81" s="1278"/>
      <c r="M81" s="1278"/>
      <c r="N81" s="4"/>
    </row>
    <row r="82" spans="1:15" ht="14" x14ac:dyDescent="0.3">
      <c r="A82" s="1280"/>
      <c r="B82" s="1281"/>
      <c r="C82" s="54"/>
      <c r="D82" s="1280"/>
      <c r="E82" s="1281"/>
      <c r="F82" s="1281"/>
      <c r="G82" s="1281"/>
      <c r="H82" s="1282"/>
      <c r="I82" s="1283"/>
      <c r="J82" s="1280"/>
      <c r="K82" s="1280"/>
      <c r="L82" s="1278"/>
      <c r="M82" s="1291"/>
      <c r="N82" s="1280"/>
    </row>
    <row r="83" spans="1:15" ht="14" x14ac:dyDescent="0.3">
      <c r="A83" s="1275"/>
      <c r="B83" s="1275"/>
      <c r="C83" s="1275"/>
      <c r="D83" s="1275"/>
      <c r="E83" s="1276"/>
      <c r="F83" s="1275"/>
      <c r="G83" s="1275"/>
      <c r="H83" s="1275"/>
      <c r="I83" s="1275"/>
      <c r="J83" s="1275"/>
      <c r="K83" s="1275"/>
      <c r="L83" s="1276"/>
      <c r="M83" s="1276"/>
      <c r="N83" s="4"/>
    </row>
    <row r="84" spans="1:15" ht="14" x14ac:dyDescent="0.3">
      <c r="A84" s="1275"/>
      <c r="B84" s="1275"/>
      <c r="C84" s="1275"/>
      <c r="D84" s="1275"/>
      <c r="E84" s="1276"/>
      <c r="F84" s="1275"/>
      <c r="G84" s="1275"/>
      <c r="H84" s="1279"/>
      <c r="I84" s="1275"/>
      <c r="J84" s="1275"/>
      <c r="K84" s="1275"/>
      <c r="L84" s="1276"/>
      <c r="M84" s="1276"/>
      <c r="N84" s="4"/>
    </row>
    <row r="85" spans="1:15" ht="14" x14ac:dyDescent="0.3">
      <c r="A85" s="1275"/>
      <c r="B85" s="1275"/>
      <c r="C85" s="1275"/>
      <c r="D85" s="1275"/>
      <c r="E85" s="1276"/>
      <c r="F85" s="1275"/>
      <c r="G85" s="1275"/>
      <c r="H85" s="1275"/>
      <c r="I85" s="1275"/>
      <c r="J85" s="1275"/>
      <c r="K85" s="1275"/>
      <c r="L85" s="1276"/>
      <c r="M85" s="1276"/>
      <c r="N85" s="4"/>
    </row>
    <row r="86" spans="1:15" ht="14" x14ac:dyDescent="0.3">
      <c r="A86" s="1275"/>
      <c r="B86" s="1275"/>
      <c r="C86" s="1275"/>
      <c r="D86" s="1275"/>
      <c r="E86" s="1276"/>
      <c r="F86" s="1275"/>
      <c r="G86" s="1275"/>
      <c r="H86" s="1275"/>
      <c r="I86" s="1275"/>
      <c r="J86" s="1275"/>
      <c r="K86" s="1275"/>
      <c r="L86" s="1276"/>
      <c r="M86" s="1276"/>
      <c r="N86" s="4"/>
    </row>
    <row r="87" spans="1:15" ht="14" x14ac:dyDescent="0.3">
      <c r="A87" s="1275"/>
      <c r="B87" s="1275"/>
      <c r="C87" s="1275"/>
      <c r="D87" s="1275"/>
      <c r="E87" s="1276"/>
      <c r="F87" s="1275"/>
      <c r="G87" s="1275"/>
      <c r="H87" s="1275"/>
      <c r="I87" s="1275"/>
      <c r="J87" s="1275"/>
      <c r="K87" s="1275"/>
      <c r="L87" s="1276"/>
      <c r="M87" s="1276"/>
      <c r="N87" s="1275"/>
    </row>
    <row r="88" spans="1:15" ht="14" x14ac:dyDescent="0.3">
      <c r="A88" s="1275"/>
      <c r="B88" s="1275"/>
      <c r="C88" s="1275"/>
      <c r="D88" s="1275"/>
      <c r="E88" s="1276"/>
      <c r="F88" s="1275"/>
      <c r="G88" s="1275"/>
      <c r="H88" s="1275"/>
      <c r="I88" s="1275"/>
      <c r="J88" s="1275"/>
      <c r="K88" s="1275"/>
      <c r="L88" s="1276"/>
      <c r="M88" s="1276"/>
      <c r="N88" s="1275"/>
    </row>
    <row r="89" spans="1:15" ht="14" x14ac:dyDescent="0.3">
      <c r="A89" s="1275"/>
      <c r="B89" s="1275"/>
      <c r="C89" s="1275"/>
      <c r="D89" s="1275"/>
      <c r="E89" s="1276"/>
      <c r="F89" s="1275"/>
      <c r="G89" s="1275"/>
      <c r="H89" s="1275"/>
      <c r="I89" s="1275"/>
      <c r="J89" s="1275"/>
      <c r="K89" s="1275"/>
      <c r="L89" s="1276"/>
      <c r="M89" s="1276"/>
      <c r="N89" s="1275"/>
      <c r="O89" s="4"/>
    </row>
    <row r="90" spans="1:15" ht="14" x14ac:dyDescent="0.3">
      <c r="A90" s="1275"/>
      <c r="B90" s="1275"/>
      <c r="C90" s="1275"/>
      <c r="D90" s="1275"/>
      <c r="E90" s="1276"/>
      <c r="F90" s="1275"/>
      <c r="G90" s="1275"/>
      <c r="H90" s="1275"/>
      <c r="I90" s="1275"/>
      <c r="J90" s="1275"/>
      <c r="K90" s="1275"/>
      <c r="L90" s="1276"/>
      <c r="M90" s="1276"/>
      <c r="N90" s="1275"/>
    </row>
    <row r="91" spans="1:15" ht="14" x14ac:dyDescent="0.3">
      <c r="A91" s="1275"/>
      <c r="B91" s="1275"/>
      <c r="C91" s="1275"/>
      <c r="D91" s="1275"/>
      <c r="E91" s="1278"/>
      <c r="F91" s="1275"/>
      <c r="G91" s="1275"/>
      <c r="H91" s="1275"/>
      <c r="I91" s="1275"/>
      <c r="J91" s="1275"/>
      <c r="K91" s="1275"/>
      <c r="L91" s="1276"/>
      <c r="M91" s="1276"/>
      <c r="N91" s="4"/>
      <c r="O91" s="4"/>
    </row>
    <row r="92" spans="1:15" ht="14" x14ac:dyDescent="0.3">
      <c r="A92" s="1275"/>
      <c r="B92" s="1275"/>
      <c r="C92" s="1275"/>
      <c r="D92" s="1275"/>
      <c r="E92" s="1278"/>
      <c r="F92" s="1275"/>
      <c r="G92" s="1275"/>
      <c r="H92" s="1275"/>
      <c r="I92" s="1275"/>
      <c r="J92" s="1275"/>
      <c r="K92" s="1275"/>
      <c r="L92" s="1276"/>
      <c r="M92" s="1276"/>
      <c r="N92" s="4"/>
    </row>
    <row r="93" spans="1:15" ht="14" x14ac:dyDescent="0.3">
      <c r="A93" s="1287"/>
      <c r="B93" s="1287"/>
      <c r="C93" s="1275"/>
      <c r="D93" s="1275"/>
      <c r="E93" s="1289"/>
      <c r="F93" s="1275"/>
      <c r="G93" s="1275"/>
      <c r="H93" s="1275"/>
      <c r="I93" s="1275"/>
      <c r="J93" s="1275"/>
      <c r="K93" s="1275"/>
      <c r="L93" s="1276"/>
      <c r="M93" s="1276"/>
      <c r="N93" s="1275"/>
    </row>
    <row r="94" spans="1:15" ht="14" x14ac:dyDescent="0.3">
      <c r="A94" s="1275"/>
      <c r="B94" s="1275"/>
      <c r="C94" s="1275"/>
      <c r="D94" s="1275"/>
      <c r="E94" s="1278"/>
      <c r="F94" s="1275"/>
      <c r="G94" s="1275"/>
      <c r="H94" s="1275"/>
      <c r="I94" s="1275"/>
      <c r="J94" s="1275"/>
      <c r="K94" s="1275"/>
      <c r="L94" s="1276"/>
      <c r="M94" s="1276"/>
      <c r="N94" s="4"/>
    </row>
    <row r="95" spans="1:15" ht="14" x14ac:dyDescent="0.3">
      <c r="A95" s="1275"/>
      <c r="B95" s="1275"/>
      <c r="C95" s="1275"/>
      <c r="D95" s="1275"/>
      <c r="E95" s="1278"/>
      <c r="F95" s="1275"/>
      <c r="G95" s="1275"/>
      <c r="H95" s="1275"/>
      <c r="I95" s="1275"/>
      <c r="J95" s="1275"/>
      <c r="K95" s="1275"/>
      <c r="L95" s="1276"/>
      <c r="M95" s="1276"/>
      <c r="N95" s="4"/>
    </row>
    <row r="96" spans="1:15" ht="14" x14ac:dyDescent="0.3">
      <c r="A96" s="1280"/>
      <c r="B96" s="1287"/>
      <c r="C96" s="1281"/>
      <c r="D96" s="1280"/>
      <c r="E96" s="1301"/>
      <c r="F96" s="1281"/>
      <c r="G96" s="1281"/>
      <c r="H96" s="1283"/>
      <c r="I96" s="1283"/>
      <c r="J96" s="1280"/>
      <c r="K96" s="1280"/>
      <c r="L96" s="1276"/>
      <c r="M96" s="1286"/>
      <c r="N96" s="1280"/>
    </row>
    <row r="97" spans="1:15" ht="14" x14ac:dyDescent="0.3">
      <c r="A97" s="1275"/>
      <c r="B97" s="1275"/>
      <c r="C97" s="1275"/>
      <c r="D97" s="1275"/>
      <c r="E97" s="1278"/>
      <c r="F97" s="1275"/>
      <c r="G97" s="1275"/>
      <c r="H97" s="1275"/>
      <c r="I97" s="1275"/>
      <c r="J97" s="1275"/>
      <c r="K97" s="1275"/>
      <c r="L97" s="1276"/>
      <c r="M97" s="1276"/>
      <c r="N97" s="4"/>
    </row>
    <row r="98" spans="1:15" ht="14" x14ac:dyDescent="0.3">
      <c r="A98" s="1275"/>
      <c r="B98" s="1275"/>
      <c r="C98" s="1275"/>
      <c r="D98" s="1275"/>
      <c r="E98" s="1278"/>
      <c r="F98" s="1275"/>
      <c r="G98" s="1275"/>
      <c r="H98" s="1275"/>
      <c r="I98" s="1275"/>
      <c r="J98" s="1275"/>
      <c r="K98" s="1275"/>
      <c r="L98" s="1276"/>
      <c r="M98" s="1276"/>
      <c r="N98" s="1275"/>
      <c r="O98" s="1280"/>
    </row>
    <row r="99" spans="1:15" x14ac:dyDescent="0.25">
      <c r="A99" s="1280"/>
      <c r="B99" s="1281"/>
      <c r="C99" s="54"/>
      <c r="D99" s="1280"/>
      <c r="E99" s="1281"/>
      <c r="F99" s="1281"/>
      <c r="G99" s="1281"/>
      <c r="H99" s="1282"/>
      <c r="I99" s="1283"/>
      <c r="J99" s="1280"/>
      <c r="K99" s="1280"/>
      <c r="L99" s="1291"/>
      <c r="M99" s="1291"/>
      <c r="N99" s="1280"/>
    </row>
    <row r="100" spans="1:15" x14ac:dyDescent="0.25">
      <c r="A100" s="1275"/>
      <c r="B100" s="1287"/>
      <c r="C100" s="1275"/>
      <c r="D100" s="1275"/>
      <c r="F100" s="1275"/>
      <c r="G100" s="1275"/>
      <c r="H100" s="1275"/>
      <c r="I100" s="1275"/>
      <c r="J100" s="1275"/>
      <c r="K100" s="1275"/>
      <c r="N100" s="4"/>
    </row>
    <row r="101" spans="1:15" x14ac:dyDescent="0.25">
      <c r="A101" s="1287"/>
      <c r="B101" s="1287"/>
      <c r="C101" s="1275"/>
      <c r="D101" s="1275"/>
      <c r="F101" s="1275"/>
      <c r="G101" s="1275"/>
      <c r="H101" s="1275"/>
      <c r="I101" s="1275"/>
      <c r="J101" s="1275"/>
      <c r="K101" s="1275"/>
      <c r="N101" s="4"/>
    </row>
    <row r="102" spans="1:15" ht="14" x14ac:dyDescent="0.3">
      <c r="A102" s="1275"/>
      <c r="B102" s="1275"/>
      <c r="C102" s="1275"/>
      <c r="D102" s="1275"/>
      <c r="E102" s="1278"/>
      <c r="F102" s="1275"/>
      <c r="G102" s="1275"/>
      <c r="H102" s="1275"/>
      <c r="I102" s="1275"/>
      <c r="J102" s="1275"/>
      <c r="K102" s="1275"/>
      <c r="L102" s="1278"/>
      <c r="M102" s="1278"/>
      <c r="N102" s="4"/>
    </row>
    <row r="103" spans="1:15" ht="14" x14ac:dyDescent="0.3">
      <c r="A103" s="1275"/>
      <c r="B103" s="1275"/>
      <c r="C103" s="1275"/>
      <c r="D103" s="1275"/>
      <c r="E103" s="1278"/>
      <c r="F103" s="1275"/>
      <c r="G103" s="1275"/>
      <c r="H103" s="1275"/>
      <c r="I103" s="1275"/>
      <c r="J103" s="1275"/>
      <c r="K103" s="1275"/>
      <c r="L103" s="1278"/>
      <c r="M103" s="1278"/>
      <c r="N103" s="4"/>
    </row>
    <row r="104" spans="1:15" ht="14" x14ac:dyDescent="0.3">
      <c r="A104" s="1280"/>
      <c r="B104" s="1287"/>
      <c r="C104" s="1281"/>
      <c r="D104" s="1280"/>
      <c r="E104" s="1301"/>
      <c r="F104" s="1281"/>
      <c r="G104" s="1281"/>
      <c r="H104" s="1281"/>
      <c r="I104" s="1283"/>
      <c r="J104" s="1280"/>
      <c r="K104" s="1280"/>
      <c r="L104" s="1276"/>
      <c r="M104" s="1286"/>
      <c r="N104" s="1280"/>
    </row>
    <row r="105" spans="1:15" ht="14" x14ac:dyDescent="0.3">
      <c r="A105" s="1275"/>
      <c r="B105" s="1275"/>
      <c r="C105" s="1275"/>
      <c r="D105" s="1275"/>
      <c r="E105" s="1278"/>
      <c r="F105" s="1275"/>
      <c r="G105" s="1275"/>
      <c r="H105" s="1275"/>
      <c r="I105" s="1275"/>
      <c r="J105" s="1275"/>
      <c r="K105" s="1275"/>
      <c r="L105" s="1276"/>
      <c r="M105" s="1276"/>
      <c r="N105" s="1275"/>
    </row>
    <row r="106" spans="1:15" ht="14" x14ac:dyDescent="0.3">
      <c r="A106" s="1275"/>
      <c r="B106" s="1275"/>
      <c r="C106" s="1275"/>
      <c r="D106" s="1275"/>
      <c r="E106" s="1278"/>
      <c r="F106" s="1275"/>
      <c r="G106" s="1275"/>
      <c r="H106" s="1275"/>
      <c r="I106" s="1275"/>
      <c r="J106" s="1275"/>
      <c r="K106" s="1275"/>
      <c r="L106" s="1276"/>
      <c r="M106" s="1276"/>
      <c r="N106" s="1275"/>
    </row>
    <row r="107" spans="1:15" ht="14" x14ac:dyDescent="0.3">
      <c r="A107" s="1275"/>
      <c r="B107" s="1275"/>
      <c r="C107" s="1275"/>
      <c r="D107" s="1275"/>
      <c r="E107" s="1278"/>
      <c r="F107" s="1275"/>
      <c r="G107" s="1275"/>
      <c r="H107" s="1275"/>
      <c r="I107" s="1275"/>
      <c r="J107" s="1275"/>
      <c r="K107" s="1275"/>
      <c r="L107" s="1276"/>
      <c r="M107" s="1276"/>
      <c r="N107" s="1275"/>
    </row>
    <row r="108" spans="1:15" ht="14" x14ac:dyDescent="0.3">
      <c r="A108" s="1287"/>
      <c r="B108" s="1275"/>
      <c r="C108" s="1275"/>
      <c r="D108" s="1275"/>
      <c r="E108" s="1278"/>
      <c r="F108" s="1275"/>
      <c r="G108" s="1275"/>
      <c r="H108" s="1275"/>
      <c r="I108" s="1275"/>
      <c r="J108" s="1275"/>
      <c r="K108" s="1275"/>
      <c r="L108" s="1276"/>
      <c r="M108" s="1276"/>
      <c r="N108" s="1275"/>
    </row>
    <row r="109" spans="1:15" ht="14" x14ac:dyDescent="0.3">
      <c r="A109" s="1275"/>
      <c r="B109" s="1275"/>
      <c r="C109" s="1275"/>
      <c r="D109" s="1275"/>
      <c r="E109" s="1278"/>
      <c r="F109" s="1275"/>
      <c r="G109" s="1275"/>
      <c r="H109" s="1275"/>
      <c r="I109" s="1275"/>
      <c r="J109" s="1275"/>
      <c r="K109" s="1275"/>
      <c r="L109" s="1276"/>
      <c r="M109" s="1276"/>
      <c r="N109" s="1275"/>
    </row>
    <row r="110" spans="1:15" ht="14" x14ac:dyDescent="0.3">
      <c r="A110" s="1275"/>
      <c r="B110" s="1275"/>
      <c r="C110" s="1275"/>
      <c r="D110" s="1275"/>
      <c r="E110" s="1278"/>
      <c r="F110" s="1275"/>
      <c r="G110" s="1275"/>
      <c r="H110" s="1275"/>
      <c r="I110" s="1275"/>
      <c r="J110" s="1275"/>
      <c r="K110" s="1275"/>
      <c r="L110" s="1276"/>
      <c r="M110" s="1276"/>
      <c r="N110" s="1275"/>
      <c r="O110" s="1280"/>
    </row>
    <row r="111" spans="1:15" ht="14" x14ac:dyDescent="0.3">
      <c r="A111" s="1275"/>
      <c r="B111" s="1275"/>
      <c r="C111" s="1275"/>
      <c r="D111" s="1275"/>
      <c r="E111" s="1276"/>
      <c r="F111" s="1275"/>
      <c r="G111" s="1275"/>
      <c r="H111" s="1275"/>
      <c r="I111" s="1275"/>
      <c r="J111" s="1275"/>
      <c r="K111" s="1275"/>
      <c r="L111" s="1276"/>
      <c r="M111" s="1276"/>
      <c r="N111" s="1275"/>
    </row>
    <row r="112" spans="1:15" ht="14" x14ac:dyDescent="0.3">
      <c r="A112" s="1275"/>
      <c r="B112" s="1275"/>
      <c r="C112" s="1275"/>
      <c r="D112" s="1275"/>
      <c r="E112" s="1276"/>
      <c r="F112" s="1275"/>
      <c r="G112" s="1275"/>
      <c r="H112" s="1275"/>
      <c r="I112" s="1275"/>
      <c r="J112" s="1275"/>
      <c r="K112" s="1275"/>
      <c r="L112" s="1276"/>
      <c r="M112" s="1276"/>
      <c r="N112" s="1275"/>
    </row>
    <row r="113" spans="1:15" ht="14" x14ac:dyDescent="0.3">
      <c r="A113" s="1287"/>
      <c r="B113" s="1275"/>
      <c r="C113" s="1275"/>
      <c r="D113" s="1275"/>
      <c r="E113" s="1276"/>
      <c r="F113" s="1275"/>
      <c r="G113" s="1275"/>
      <c r="H113" s="1275"/>
      <c r="I113" s="1275"/>
      <c r="J113" s="1275"/>
      <c r="K113" s="1275"/>
      <c r="L113" s="1276"/>
      <c r="M113" s="1276"/>
      <c r="N113" s="1275"/>
    </row>
    <row r="114" spans="1:15" ht="14" x14ac:dyDescent="0.3">
      <c r="A114" s="1275"/>
      <c r="B114" s="1275"/>
      <c r="C114" s="1275"/>
      <c r="D114" s="1275"/>
      <c r="E114" s="1278"/>
      <c r="F114" s="1275"/>
      <c r="G114" s="1275"/>
      <c r="H114" s="1275"/>
      <c r="I114" s="1275"/>
      <c r="J114" s="1275"/>
      <c r="K114" s="1275"/>
      <c r="L114" s="1276"/>
      <c r="M114" s="1276"/>
      <c r="N114" s="4"/>
    </row>
    <row r="115" spans="1:15" ht="14" x14ac:dyDescent="0.3">
      <c r="A115" s="1287"/>
      <c r="B115" s="1275"/>
      <c r="C115" s="1275"/>
      <c r="D115" s="1275"/>
      <c r="E115" s="1289"/>
      <c r="F115" s="1275"/>
      <c r="G115" s="1275"/>
      <c r="H115" s="1275"/>
      <c r="I115" s="1275"/>
      <c r="J115" s="1275"/>
      <c r="K115" s="1275"/>
      <c r="L115" s="1276"/>
      <c r="M115" s="1276"/>
      <c r="N115" s="1275"/>
    </row>
    <row r="116" spans="1:15" ht="14" x14ac:dyDescent="0.3">
      <c r="A116" s="720"/>
      <c r="B116" s="1275"/>
      <c r="C116" s="1275"/>
      <c r="D116" s="1275"/>
      <c r="E116" s="1289"/>
      <c r="F116" s="1275"/>
      <c r="G116" s="1275"/>
      <c r="H116" s="1275"/>
      <c r="I116" s="1275"/>
      <c r="J116" s="1275"/>
      <c r="K116" s="1275"/>
      <c r="L116" s="1276"/>
      <c r="M116" s="1276"/>
      <c r="N116" s="1275"/>
    </row>
    <row r="117" spans="1:15" ht="14" x14ac:dyDescent="0.3">
      <c r="A117" s="1287"/>
      <c r="B117" s="1275"/>
      <c r="C117" s="1275"/>
      <c r="D117" s="1275"/>
      <c r="E117" s="1289"/>
      <c r="F117" s="1275"/>
      <c r="G117" s="1275"/>
      <c r="H117" s="1275"/>
      <c r="I117" s="1275"/>
      <c r="J117" s="1275"/>
      <c r="K117" s="1275"/>
      <c r="L117" s="1276"/>
      <c r="M117" s="1276"/>
      <c r="N117" s="1275"/>
    </row>
    <row r="118" spans="1:15" ht="14" x14ac:dyDescent="0.3">
      <c r="A118" s="1275"/>
      <c r="B118" s="1275"/>
      <c r="C118" s="1275"/>
      <c r="D118" s="1275"/>
      <c r="E118" s="1276"/>
      <c r="F118" s="1275"/>
      <c r="G118" s="1275"/>
      <c r="H118" s="1275"/>
      <c r="I118" s="1275"/>
      <c r="J118" s="1275"/>
      <c r="K118" s="1275"/>
      <c r="L118" s="1276"/>
      <c r="M118" s="1276"/>
      <c r="N118" s="4"/>
    </row>
    <row r="119" spans="1:15" ht="14" x14ac:dyDescent="0.3">
      <c r="A119" s="1275"/>
      <c r="B119" s="1275"/>
      <c r="C119" s="1275"/>
      <c r="D119" s="1275"/>
      <c r="E119" s="1276"/>
      <c r="F119" s="1275"/>
      <c r="G119" s="1275"/>
      <c r="H119" s="1275"/>
      <c r="I119" s="1275"/>
      <c r="J119" s="1275"/>
      <c r="K119" s="1275"/>
      <c r="L119" s="1278"/>
      <c r="M119" s="1278"/>
      <c r="N119" s="107"/>
    </row>
    <row r="120" spans="1:15" ht="14" x14ac:dyDescent="0.3">
      <c r="A120" s="1275"/>
      <c r="B120" s="4"/>
      <c r="C120" s="1275"/>
      <c r="D120" s="1275"/>
      <c r="E120" s="1276"/>
      <c r="F120" s="1275"/>
      <c r="G120" s="1275"/>
      <c r="H120" s="1275"/>
      <c r="I120" s="1275"/>
      <c r="J120" s="1275"/>
      <c r="K120" s="1275"/>
      <c r="L120" s="1276"/>
      <c r="M120" s="1276"/>
      <c r="N120" s="1275"/>
    </row>
    <row r="121" spans="1:15" ht="14" x14ac:dyDescent="0.3">
      <c r="A121" s="1275"/>
      <c r="B121" s="1287"/>
      <c r="C121" s="1275"/>
      <c r="D121" s="1275"/>
      <c r="E121" s="1289"/>
      <c r="F121" s="1275"/>
      <c r="G121" s="1275"/>
      <c r="H121" s="1275"/>
      <c r="I121" s="1275"/>
      <c r="J121" s="1275"/>
      <c r="K121" s="1275"/>
      <c r="M121" s="1276"/>
      <c r="N121" s="107"/>
      <c r="O121" s="1280"/>
    </row>
    <row r="122" spans="1:15" ht="14" x14ac:dyDescent="0.3">
      <c r="A122" s="1275"/>
      <c r="B122" s="1287"/>
      <c r="C122" s="1275"/>
      <c r="D122" s="1275"/>
      <c r="E122" s="1289"/>
      <c r="F122" s="1275"/>
      <c r="G122" s="1275"/>
      <c r="H122" s="1279"/>
      <c r="I122" s="1300"/>
      <c r="J122" s="1275"/>
      <c r="K122" s="1275"/>
      <c r="L122" s="1276"/>
      <c r="M122" s="1276"/>
      <c r="N122" s="4"/>
    </row>
    <row r="123" spans="1:15" ht="14" x14ac:dyDescent="0.3">
      <c r="A123" s="1287"/>
      <c r="B123" s="1287"/>
      <c r="C123" s="1275"/>
      <c r="D123" s="1275"/>
      <c r="E123" s="1289"/>
      <c r="F123" s="1275"/>
      <c r="G123" s="1275"/>
      <c r="H123" s="1279"/>
      <c r="I123" s="1300"/>
      <c r="J123" s="1275"/>
      <c r="K123" s="1275"/>
      <c r="L123" s="1276"/>
      <c r="M123" s="1276"/>
      <c r="N123" s="4"/>
    </row>
    <row r="124" spans="1:15" ht="14" x14ac:dyDescent="0.3">
      <c r="A124" s="1275"/>
      <c r="B124" s="1275"/>
      <c r="C124" s="1275"/>
      <c r="D124" s="1275"/>
      <c r="E124" s="1289"/>
      <c r="F124" s="1275"/>
      <c r="G124" s="1275"/>
      <c r="H124" s="1279"/>
      <c r="I124" s="1300"/>
      <c r="J124" s="1275"/>
      <c r="K124" s="1275"/>
      <c r="L124" s="1276"/>
      <c r="M124" s="1276"/>
      <c r="N124" s="4"/>
    </row>
    <row r="125" spans="1:15" ht="14" x14ac:dyDescent="0.3">
      <c r="A125" s="1275"/>
      <c r="B125" s="1287"/>
      <c r="C125" s="1275"/>
      <c r="D125" s="1275"/>
      <c r="E125" s="1289"/>
      <c r="F125" s="1275"/>
      <c r="G125" s="1275"/>
      <c r="H125" s="1279"/>
      <c r="I125" s="1300"/>
      <c r="J125" s="1275"/>
      <c r="K125" s="1275"/>
      <c r="L125" s="1276"/>
      <c r="M125" s="1276"/>
      <c r="N125" s="4"/>
      <c r="O125" s="1280"/>
    </row>
    <row r="126" spans="1:15" ht="14" x14ac:dyDescent="0.3">
      <c r="A126" s="1275"/>
      <c r="B126" s="1275"/>
      <c r="C126" s="1275"/>
      <c r="D126" s="1275"/>
      <c r="E126" s="1276"/>
      <c r="F126" s="1275"/>
      <c r="G126" s="1275"/>
      <c r="H126" s="1275"/>
      <c r="I126" s="1275"/>
      <c r="J126" s="1275"/>
      <c r="K126" s="1275"/>
      <c r="L126" s="1276"/>
      <c r="M126" s="1276"/>
      <c r="N126" s="1275"/>
    </row>
    <row r="127" spans="1:15" ht="14" x14ac:dyDescent="0.3">
      <c r="A127" s="1275"/>
      <c r="B127" s="1275"/>
      <c r="C127" s="1275"/>
      <c r="D127" s="1275"/>
      <c r="E127" s="1276"/>
      <c r="F127" s="1275"/>
      <c r="G127" s="1275"/>
      <c r="H127" s="1275"/>
      <c r="I127" s="1275"/>
      <c r="J127" s="1275"/>
      <c r="K127" s="1275"/>
      <c r="L127" s="1276"/>
      <c r="M127" s="1276"/>
      <c r="N127" s="1275"/>
    </row>
    <row r="128" spans="1:15" ht="14" x14ac:dyDescent="0.3">
      <c r="A128" s="1275"/>
      <c r="B128" s="1275"/>
      <c r="C128" s="1275"/>
      <c r="D128" s="1275"/>
      <c r="E128" s="1276"/>
      <c r="F128" s="1275"/>
      <c r="G128" s="1275"/>
      <c r="H128" s="1275"/>
      <c r="I128" s="1275"/>
      <c r="J128" s="1275"/>
      <c r="K128" s="1275"/>
      <c r="L128" s="1276"/>
      <c r="M128" s="1276"/>
      <c r="N128" s="1275"/>
    </row>
    <row r="129" spans="1:15" ht="14" x14ac:dyDescent="0.3">
      <c r="A129" s="1275"/>
      <c r="B129" s="1275"/>
      <c r="C129" s="1275"/>
      <c r="D129" s="1275"/>
      <c r="E129" s="1276"/>
      <c r="F129" s="1275"/>
      <c r="G129" s="1275"/>
      <c r="H129" s="1275"/>
      <c r="I129" s="1275"/>
      <c r="J129" s="1275"/>
      <c r="K129" s="1275"/>
      <c r="L129" s="1276"/>
      <c r="M129" s="1276"/>
      <c r="N129" s="4"/>
    </row>
    <row r="130" spans="1:15" ht="14" x14ac:dyDescent="0.3">
      <c r="A130" s="1275"/>
      <c r="B130" s="1275"/>
      <c r="C130" s="1275"/>
      <c r="D130" s="1275"/>
      <c r="E130" s="1276"/>
      <c r="F130" s="1275"/>
      <c r="G130" s="1302"/>
      <c r="H130" s="1279"/>
      <c r="I130" s="1300"/>
      <c r="J130" s="1275"/>
      <c r="K130" s="1275"/>
      <c r="L130" s="1276"/>
      <c r="M130" s="1276"/>
      <c r="N130" s="1275"/>
    </row>
    <row r="131" spans="1:15" ht="14" x14ac:dyDescent="0.3">
      <c r="A131" s="1275"/>
      <c r="B131" s="1275"/>
      <c r="C131" s="1275"/>
      <c r="D131" s="1275"/>
      <c r="E131" s="1276"/>
      <c r="F131" s="1275"/>
      <c r="G131" s="1302"/>
      <c r="H131" s="1279"/>
      <c r="I131" s="1300"/>
      <c r="J131" s="1275"/>
      <c r="K131" s="1275"/>
      <c r="L131" s="1276"/>
      <c r="M131" s="1276"/>
      <c r="N131" s="1275"/>
    </row>
    <row r="132" spans="1:15" ht="14" x14ac:dyDescent="0.3">
      <c r="A132" s="1275"/>
      <c r="B132" s="1275"/>
      <c r="C132" s="1275"/>
      <c r="D132" s="1275"/>
      <c r="E132" s="1276"/>
      <c r="F132" s="1275"/>
      <c r="G132" s="1275"/>
      <c r="H132" s="1275"/>
      <c r="I132" s="1275"/>
      <c r="J132" s="1275"/>
      <c r="K132" s="1275"/>
      <c r="L132" s="1276"/>
      <c r="M132" s="1276"/>
      <c r="N132" s="4"/>
    </row>
    <row r="133" spans="1:15" ht="14" x14ac:dyDescent="0.3">
      <c r="A133" s="1275"/>
      <c r="B133" s="1275"/>
      <c r="C133" s="1275"/>
      <c r="D133" s="1275"/>
      <c r="E133" s="1276"/>
      <c r="F133" s="1275"/>
      <c r="G133" s="1275"/>
      <c r="H133" s="1275"/>
      <c r="I133" s="1275"/>
      <c r="J133" s="1275"/>
      <c r="K133" s="1275"/>
      <c r="L133" s="1276"/>
      <c r="M133" s="1276"/>
      <c r="N133" s="4"/>
    </row>
    <row r="134" spans="1:15" ht="14" x14ac:dyDescent="0.3">
      <c r="A134" s="1275"/>
      <c r="B134" s="1275"/>
      <c r="C134" s="1275"/>
      <c r="D134" s="1275"/>
      <c r="E134" s="1276"/>
      <c r="F134" s="1275"/>
      <c r="G134" s="1275"/>
      <c r="H134" s="1275"/>
      <c r="I134" s="1275"/>
      <c r="J134" s="1275"/>
      <c r="K134" s="1275"/>
      <c r="L134" s="1276"/>
      <c r="M134" s="1276"/>
      <c r="N134" s="1275"/>
    </row>
    <row r="135" spans="1:15" ht="14" x14ac:dyDescent="0.3">
      <c r="A135" s="1275"/>
      <c r="B135" s="1275"/>
      <c r="C135" s="1275"/>
      <c r="D135" s="1275"/>
      <c r="E135" s="1289"/>
      <c r="F135" s="1275"/>
      <c r="G135" s="1275"/>
      <c r="H135" s="1279"/>
      <c r="I135" s="1300"/>
      <c r="J135" s="1275"/>
      <c r="K135" s="1275"/>
      <c r="L135" s="1276"/>
      <c r="M135" s="1276"/>
      <c r="N135" s="1275"/>
    </row>
    <row r="136" spans="1:15" ht="14" x14ac:dyDescent="0.3">
      <c r="A136" s="1275"/>
      <c r="B136" s="1275"/>
      <c r="C136" s="1275"/>
      <c r="D136" s="1275"/>
      <c r="E136" s="1289"/>
      <c r="F136" s="1275"/>
      <c r="G136" s="1275"/>
      <c r="H136" s="1279"/>
      <c r="I136" s="1300"/>
      <c r="J136" s="1275"/>
      <c r="K136" s="1275"/>
      <c r="L136" s="1276"/>
      <c r="M136" s="1276"/>
      <c r="N136" s="1275"/>
      <c r="O136" s="1280"/>
    </row>
    <row r="137" spans="1:15" ht="14" x14ac:dyDescent="0.3">
      <c r="A137" s="1280"/>
      <c r="B137" s="1281"/>
      <c r="C137" s="1281"/>
      <c r="D137" s="1280"/>
      <c r="E137" s="1291"/>
      <c r="F137" s="1281"/>
      <c r="G137" s="1281"/>
      <c r="H137" s="1283"/>
      <c r="I137" s="1283"/>
      <c r="J137" s="1280"/>
      <c r="K137" s="1280"/>
      <c r="L137" s="1278"/>
      <c r="M137" s="1284"/>
      <c r="N137" s="1280"/>
    </row>
    <row r="138" spans="1:15" ht="14" x14ac:dyDescent="0.3">
      <c r="A138" s="1275"/>
      <c r="B138" s="1275"/>
      <c r="C138" s="1275"/>
      <c r="D138" s="1275"/>
      <c r="E138" s="1290"/>
      <c r="F138" s="1275"/>
      <c r="G138" s="1275"/>
      <c r="H138" s="1275"/>
      <c r="I138" s="1275"/>
      <c r="J138" s="1275"/>
      <c r="K138" s="1275"/>
      <c r="L138" s="1278"/>
      <c r="M138" s="1278"/>
      <c r="N138" s="107"/>
    </row>
    <row r="139" spans="1:15" ht="14" x14ac:dyDescent="0.3">
      <c r="A139" s="1275"/>
      <c r="B139" s="1275"/>
      <c r="C139" s="1275"/>
      <c r="D139" s="1275"/>
      <c r="E139" s="1276"/>
      <c r="F139" s="1275"/>
      <c r="G139" s="1275"/>
      <c r="H139" s="1275"/>
      <c r="I139" s="1275"/>
      <c r="J139" s="1275"/>
      <c r="K139" s="1275"/>
      <c r="L139" s="1276"/>
      <c r="M139" s="1276"/>
      <c r="N139" s="1275"/>
    </row>
    <row r="140" spans="1:15" ht="14" x14ac:dyDescent="0.3">
      <c r="A140" s="1275"/>
      <c r="B140" s="1275"/>
      <c r="C140" s="1275"/>
      <c r="D140" s="1275"/>
      <c r="E140" s="1276"/>
      <c r="F140" s="1275"/>
      <c r="G140" s="1275"/>
      <c r="H140" s="1275"/>
      <c r="I140" s="1275"/>
      <c r="J140" s="1275"/>
      <c r="K140" s="1275"/>
      <c r="L140" s="1276"/>
      <c r="M140" s="1276"/>
      <c r="N140" s="4"/>
    </row>
    <row r="141" spans="1:15" ht="14" x14ac:dyDescent="0.3">
      <c r="A141" s="1287"/>
      <c r="B141" s="1287"/>
      <c r="C141" s="1275"/>
      <c r="D141" s="1275"/>
      <c r="E141" s="1289"/>
      <c r="F141" s="1275"/>
      <c r="G141" s="1275"/>
      <c r="H141" s="1275"/>
      <c r="I141" s="1275"/>
      <c r="J141" s="1275"/>
      <c r="K141" s="1275"/>
      <c r="L141" s="1276"/>
      <c r="M141" s="1276"/>
      <c r="N141" s="1275"/>
    </row>
    <row r="142" spans="1:15" s="1280" customFormat="1" ht="14" x14ac:dyDescent="0.3">
      <c r="A142" s="1275"/>
      <c r="B142" s="1287"/>
      <c r="C142" s="1275"/>
      <c r="D142" s="1275"/>
      <c r="E142" s="1289"/>
      <c r="F142" s="1275"/>
      <c r="G142" s="1275"/>
      <c r="H142" s="1275"/>
      <c r="I142" s="1275"/>
      <c r="J142" s="1275"/>
      <c r="K142" s="1275"/>
      <c r="L142" s="1276"/>
      <c r="M142" s="1276"/>
      <c r="N142" s="1275"/>
      <c r="O142" s="1"/>
    </row>
    <row r="143" spans="1:15" s="1280" customFormat="1" ht="14" x14ac:dyDescent="0.3">
      <c r="A143" s="1275"/>
      <c r="B143" s="1287"/>
      <c r="C143" s="1275"/>
      <c r="D143" s="1275"/>
      <c r="E143" s="1289"/>
      <c r="F143" s="1275"/>
      <c r="G143" s="1275"/>
      <c r="H143" s="1275"/>
      <c r="I143" s="1275"/>
      <c r="J143" s="1275"/>
      <c r="K143" s="1275"/>
      <c r="L143" s="1276"/>
      <c r="M143" s="1276"/>
      <c r="N143" s="1275"/>
    </row>
    <row r="144" spans="1:15" s="1280" customFormat="1" ht="14" x14ac:dyDescent="0.3">
      <c r="A144" s="1275"/>
      <c r="B144" s="1287"/>
      <c r="C144" s="1275"/>
      <c r="D144" s="1275"/>
      <c r="E144" s="1289"/>
      <c r="F144" s="1275"/>
      <c r="G144" s="1275"/>
      <c r="H144" s="1275"/>
      <c r="I144" s="1275"/>
      <c r="J144" s="1275"/>
      <c r="K144" s="1275"/>
      <c r="L144" s="1276"/>
      <c r="M144" s="1276"/>
      <c r="N144" s="1275"/>
      <c r="O144" s="1"/>
    </row>
    <row r="145" spans="1:15" s="1280" customFormat="1" ht="14" x14ac:dyDescent="0.3">
      <c r="A145" s="1275"/>
      <c r="B145" s="1275"/>
      <c r="C145" s="1275"/>
      <c r="D145" s="1275"/>
      <c r="E145" s="1276"/>
      <c r="F145" s="1275"/>
      <c r="G145" s="1275"/>
      <c r="H145" s="1275"/>
      <c r="I145" s="1275"/>
      <c r="J145" s="1275"/>
      <c r="K145" s="1275"/>
      <c r="L145" s="1276"/>
      <c r="M145" s="1276"/>
      <c r="N145" s="4"/>
      <c r="O145" s="1"/>
    </row>
    <row r="146" spans="1:15" s="1280" customFormat="1" ht="14" x14ac:dyDescent="0.3">
      <c r="A146" s="1275"/>
      <c r="B146" s="1275"/>
      <c r="C146" s="1275"/>
      <c r="D146" s="1275"/>
      <c r="E146" s="1276"/>
      <c r="F146" s="1275"/>
      <c r="G146" s="1275"/>
      <c r="H146" s="1275"/>
      <c r="I146" s="1275"/>
      <c r="J146" s="1275"/>
      <c r="K146" s="1275"/>
      <c r="L146" s="1276"/>
      <c r="M146" s="1276"/>
      <c r="N146" s="4"/>
      <c r="O146" s="1"/>
    </row>
    <row r="147" spans="1:15" s="1280" customFormat="1" ht="14" x14ac:dyDescent="0.3">
      <c r="A147" s="1275"/>
      <c r="B147" s="1275"/>
      <c r="C147" s="1275"/>
      <c r="D147" s="1275"/>
      <c r="E147" s="1276"/>
      <c r="F147" s="1275"/>
      <c r="G147" s="1275"/>
      <c r="H147" s="1275"/>
      <c r="I147" s="1275"/>
      <c r="J147" s="1275"/>
      <c r="K147" s="1275"/>
      <c r="L147" s="1276"/>
      <c r="M147" s="1276"/>
      <c r="N147" s="4"/>
      <c r="O147" s="1"/>
    </row>
    <row r="148" spans="1:15" s="1280" customFormat="1" ht="14" x14ac:dyDescent="0.3">
      <c r="B148" s="1292"/>
      <c r="C148" s="1281"/>
      <c r="E148" s="1281"/>
      <c r="F148" s="1281"/>
      <c r="G148" s="1281"/>
      <c r="H148" s="1282"/>
      <c r="I148" s="1283"/>
      <c r="L148" s="1276"/>
      <c r="M148" s="1286"/>
      <c r="O148" s="1"/>
    </row>
    <row r="149" spans="1:15" s="1280" customFormat="1" ht="14" x14ac:dyDescent="0.3">
      <c r="A149" s="1275"/>
      <c r="B149" s="1275"/>
      <c r="C149" s="1275"/>
      <c r="D149" s="1275"/>
      <c r="E149" s="451"/>
      <c r="F149" s="1275"/>
      <c r="G149" s="1275"/>
      <c r="H149" s="1275"/>
      <c r="I149" s="1275"/>
      <c r="J149" s="1275"/>
      <c r="K149" s="1275"/>
      <c r="L149" s="1276"/>
      <c r="M149" s="1276"/>
      <c r="N149" s="1275"/>
      <c r="O149" s="1"/>
    </row>
    <row r="150" spans="1:15" s="1280" customFormat="1" ht="14" x14ac:dyDescent="0.3">
      <c r="A150" s="1275"/>
      <c r="B150" s="1275"/>
      <c r="C150" s="1275"/>
      <c r="D150" s="1275"/>
      <c r="E150" s="1276"/>
      <c r="F150" s="1275"/>
      <c r="G150" s="1275"/>
      <c r="H150" s="1275"/>
      <c r="I150" s="1275"/>
      <c r="J150" s="1275"/>
      <c r="K150" s="1275"/>
      <c r="L150" s="1276"/>
      <c r="M150" s="1276"/>
      <c r="N150" s="4"/>
      <c r="O150" s="1"/>
    </row>
  </sheetData>
  <hyperlinks>
    <hyperlink ref="E16" r:id="rId1"/>
    <hyperlink ref="E17" r:id="rId2"/>
    <hyperlink ref="E18" r:id="rId3"/>
    <hyperlink ref="E19" r:id="rId4"/>
    <hyperlink ref="E20" r:id="rId5" display="Spinosad"/>
    <hyperlink ref="E21" r:id="rId6"/>
    <hyperlink ref="E23" r:id="rId7" display="https://www.psm.admin.ch/de/wirkstoffe/199"/>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8</vt:i4>
      </vt:variant>
    </vt:vector>
  </HeadingPairs>
  <TitlesOfParts>
    <vt:vector size="22" baseType="lpstr">
      <vt:lpstr>Eingabeseite</vt:lpstr>
      <vt:lpstr>Var Vorgaben</vt:lpstr>
      <vt:lpstr>Var Erstellung</vt:lpstr>
      <vt:lpstr>Var 1.-16. Standjahr</vt:lpstr>
      <vt:lpstr>Var Ertragsphase</vt:lpstr>
      <vt:lpstr>Var Cashflow</vt:lpstr>
      <vt:lpstr>Standard Vorgaben</vt:lpstr>
      <vt:lpstr>Standard Erstellung</vt:lpstr>
      <vt:lpstr>Standard 1.-16. Standjahr</vt:lpstr>
      <vt:lpstr>Standard Ertragsphase</vt:lpstr>
      <vt:lpstr>Standard Cashflow</vt:lpstr>
      <vt:lpstr>Abbildung</vt:lpstr>
      <vt:lpstr>Berechnungen</vt:lpstr>
      <vt:lpstr>Daten_Psm</vt:lpstr>
      <vt:lpstr>Andere</vt:lpstr>
      <vt:lpstr>Anzahl_Behandlungen</vt:lpstr>
      <vt:lpstr>Anzahl_Behandlungen2</vt:lpstr>
      <vt:lpstr>Behang</vt:lpstr>
      <vt:lpstr>Duenger</vt:lpstr>
      <vt:lpstr>Fungizid</vt:lpstr>
      <vt:lpstr>Herbizid</vt:lpstr>
      <vt:lpstr>Insektizid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Arbokost für Apfel</dc:title>
  <dc:subject>Entwicklung</dc:subject>
  <dc:creator>Obstbau</dc:creator>
  <cp:lastModifiedBy>Bravin Esther</cp:lastModifiedBy>
  <cp:lastPrinted>2010-06-21T12:56:08Z</cp:lastPrinted>
  <dcterms:created xsi:type="dcterms:W3CDTF">1999-04-12T09:35:11Z</dcterms:created>
  <dcterms:modified xsi:type="dcterms:W3CDTF">2023-09-29T13:18:09Z</dcterms:modified>
</cp:coreProperties>
</file>